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0 ГОД\new\"/>
    </mc:Choice>
  </mc:AlternateContent>
  <xr:revisionPtr revIDLastSave="0" documentId="13_ncr:1_{0F0312BC-109D-465F-A963-EBA60CA590CF}" xr6:coauthVersionLast="46" xr6:coauthVersionMax="46" xr10:uidLastSave="{00000000-0000-0000-0000-000000000000}"/>
  <bookViews>
    <workbookView xWindow="-120" yWindow="-120" windowWidth="29040" windowHeight="15840" tabRatio="691" xr2:uid="{00000000-000D-0000-FFFF-FFFF00000000}"/>
  </bookViews>
  <sheets>
    <sheet name="Реестр" sheetId="7" r:id="rId1"/>
    <sheet name="Перечень" sheetId="3" r:id="rId2"/>
    <sheet name="Рес обесп" sheetId="4" r:id="rId3"/>
    <sheet name="Плановые показатели" sheetId="5" r:id="rId4"/>
    <sheet name="Спец.счета КП 2020-2022" sheetId="12" r:id="rId5"/>
    <sheet name="Зачет" sheetId="11" r:id="rId6"/>
    <sheet name="Реестр_бонусы" sheetId="8" r:id="rId7"/>
    <sheet name="Перечень_бонусы" sheetId="13" r:id="rId8"/>
    <sheet name="Планируемые показат_бонусы" sheetId="10" r:id="rId9"/>
  </sheets>
  <definedNames>
    <definedName name="_xlnm._FilterDatabase" localSheetId="5" hidden="1">Зачет!$A$12:$AC$14</definedName>
    <definedName name="_xlnm._FilterDatabase" localSheetId="1" hidden="1">Перечень!$A$12:$GI$1335</definedName>
    <definedName name="_xlnm._FilterDatabase" localSheetId="7" hidden="1">Перечень_бонусы!$A$8:$S$238</definedName>
    <definedName name="_xlnm._FilterDatabase" localSheetId="3" hidden="1">'Плановые показатели'!$A$9:$K$211</definedName>
    <definedName name="_xlnm._FilterDatabase" localSheetId="0" hidden="1">Реестр!$A$18:$HP$1342</definedName>
    <definedName name="_xlnm._FilterDatabase" localSheetId="6" hidden="1">Реестр_бонусы!$A$9:$AN$238</definedName>
    <definedName name="_xlnm._FilterDatabase" localSheetId="4" hidden="1">'Спец.счета КП 2020-2022'!$A$7:$AB$482</definedName>
    <definedName name="_xlnm.Print_Area" localSheetId="5">Зачет!$A$1:$AC$19</definedName>
    <definedName name="_xlnm.Print_Area" localSheetId="1">Перечень!$B$1:$AP$1335</definedName>
    <definedName name="_xlnm.Print_Area" localSheetId="0">Реестр!$B$1:$BW$1342</definedName>
    <definedName name="_xlnm.Print_Area" localSheetId="2">'Рес обесп'!$A$1:$C$47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7" i="5" l="1"/>
  <c r="F79" i="5"/>
  <c r="F11" i="5"/>
  <c r="F10" i="5"/>
  <c r="AC1317" i="7"/>
  <c r="D1317" i="7" s="1"/>
  <c r="D1316" i="7" s="1"/>
  <c r="AE1316" i="7"/>
  <c r="AD1316" i="7"/>
  <c r="AC1316" i="7"/>
  <c r="AB1316" i="7"/>
  <c r="AA1316" i="7"/>
  <c r="Z1316" i="7"/>
  <c r="Y1316" i="7"/>
  <c r="X1316" i="7"/>
  <c r="W1316" i="7"/>
  <c r="V1316" i="7"/>
  <c r="U1316" i="7"/>
  <c r="T1316" i="7"/>
  <c r="S1316" i="7"/>
  <c r="R1316" i="7"/>
  <c r="Q1316" i="7"/>
  <c r="P1316" i="7"/>
  <c r="O1316" i="7"/>
  <c r="N1316" i="7"/>
  <c r="M1316" i="7"/>
  <c r="L1316" i="7"/>
  <c r="K1316" i="7"/>
  <c r="J1316" i="7"/>
  <c r="I1316" i="7"/>
  <c r="H1316" i="7"/>
  <c r="G1316" i="7"/>
  <c r="F1316" i="7"/>
  <c r="E1316" i="7"/>
  <c r="AC1315" i="7"/>
  <c r="D1315" i="7"/>
  <c r="AC1314" i="7"/>
  <c r="D1314" i="7" s="1"/>
  <c r="AC1313" i="7"/>
  <c r="D1313" i="7"/>
  <c r="AE1312" i="7"/>
  <c r="AD1312" i="7"/>
  <c r="AC1312" i="7"/>
  <c r="AB1312" i="7"/>
  <c r="AA1312" i="7"/>
  <c r="Z1312" i="7"/>
  <c r="Y1312" i="7"/>
  <c r="X1312" i="7"/>
  <c r="W1312" i="7"/>
  <c r="V1312" i="7"/>
  <c r="U1312" i="7"/>
  <c r="T1312" i="7"/>
  <c r="S1312" i="7"/>
  <c r="R1312" i="7"/>
  <c r="Q1312" i="7"/>
  <c r="P1312" i="7"/>
  <c r="O1312" i="7"/>
  <c r="N1312" i="7"/>
  <c r="M1312" i="7"/>
  <c r="L1312" i="7"/>
  <c r="K1312" i="7"/>
  <c r="J1312" i="7"/>
  <c r="I1312" i="7"/>
  <c r="H1312" i="7"/>
  <c r="G1312" i="7"/>
  <c r="F1312" i="7"/>
  <c r="E1312" i="7"/>
  <c r="D1312" i="7"/>
  <c r="AC1311" i="7"/>
  <c r="AC1310" i="7" s="1"/>
  <c r="N1311" i="7"/>
  <c r="D1311" i="7"/>
  <c r="AE1310" i="7"/>
  <c r="AD1310" i="7"/>
  <c r="AB1310" i="7"/>
  <c r="AA1310" i="7"/>
  <c r="Z1310" i="7"/>
  <c r="Y1310" i="7"/>
  <c r="X1310" i="7"/>
  <c r="W1310" i="7"/>
  <c r="V1310" i="7"/>
  <c r="U1310" i="7"/>
  <c r="T1310" i="7"/>
  <c r="S1310" i="7"/>
  <c r="R1310" i="7"/>
  <c r="Q1310" i="7"/>
  <c r="P1310" i="7"/>
  <c r="O1310" i="7"/>
  <c r="N1310" i="7"/>
  <c r="M1310" i="7"/>
  <c r="L1310" i="7"/>
  <c r="K1310" i="7"/>
  <c r="J1310" i="7"/>
  <c r="I1310" i="7"/>
  <c r="H1310" i="7"/>
  <c r="G1310" i="7"/>
  <c r="F1310" i="7"/>
  <c r="E1310" i="7"/>
  <c r="D1310" i="7"/>
  <c r="AC1309" i="7"/>
  <c r="AE1308" i="7"/>
  <c r="AD1308" i="7"/>
  <c r="AB1308" i="7"/>
  <c r="AA1308" i="7"/>
  <c r="Z1308" i="7"/>
  <c r="Y1308" i="7"/>
  <c r="X1308" i="7"/>
  <c r="W1308" i="7"/>
  <c r="V1308" i="7"/>
  <c r="U1308" i="7"/>
  <c r="T1308" i="7"/>
  <c r="S1308" i="7"/>
  <c r="R1308" i="7"/>
  <c r="Q1308" i="7"/>
  <c r="P1308" i="7"/>
  <c r="O1308" i="7"/>
  <c r="N1308" i="7"/>
  <c r="M1308" i="7"/>
  <c r="L1308" i="7"/>
  <c r="K1308" i="7"/>
  <c r="J1308" i="7"/>
  <c r="I1308" i="7"/>
  <c r="H1308" i="7"/>
  <c r="G1308" i="7"/>
  <c r="F1308" i="7"/>
  <c r="E1308" i="7"/>
  <c r="N1307" i="7"/>
  <c r="AC1307" i="7" s="1"/>
  <c r="AE1306" i="7"/>
  <c r="AD1306" i="7"/>
  <c r="AB1306" i="7"/>
  <c r="AA1306" i="7"/>
  <c r="Z1306" i="7"/>
  <c r="Y1306" i="7"/>
  <c r="X1306" i="7"/>
  <c r="W1306" i="7"/>
  <c r="V1306" i="7"/>
  <c r="U1306" i="7"/>
  <c r="T1306" i="7"/>
  <c r="S1306" i="7"/>
  <c r="R1306" i="7"/>
  <c r="Q1306" i="7"/>
  <c r="P1306" i="7"/>
  <c r="O1306" i="7"/>
  <c r="M1306" i="7"/>
  <c r="L1306" i="7"/>
  <c r="K1306" i="7"/>
  <c r="J1306" i="7"/>
  <c r="I1306" i="7"/>
  <c r="H1306" i="7"/>
  <c r="G1306" i="7"/>
  <c r="F1306" i="7"/>
  <c r="E1306" i="7"/>
  <c r="AC1305" i="7"/>
  <c r="D1305" i="7" s="1"/>
  <c r="AC1304" i="7"/>
  <c r="AC1302" i="7" s="1"/>
  <c r="D1304" i="7"/>
  <c r="AC1303" i="7"/>
  <c r="D1303" i="7" s="1"/>
  <c r="AE1302" i="7"/>
  <c r="AD1302" i="7"/>
  <c r="AB1302" i="7"/>
  <c r="AA1302" i="7"/>
  <c r="Z1302" i="7"/>
  <c r="Y1302" i="7"/>
  <c r="X1302" i="7"/>
  <c r="W1302" i="7"/>
  <c r="V1302" i="7"/>
  <c r="U1302" i="7"/>
  <c r="T1302" i="7"/>
  <c r="S1302" i="7"/>
  <c r="R1302" i="7"/>
  <c r="Q1302" i="7"/>
  <c r="P1302" i="7"/>
  <c r="O1302" i="7"/>
  <c r="N1302" i="7"/>
  <c r="M1302" i="7"/>
  <c r="L1302" i="7"/>
  <c r="K1302" i="7"/>
  <c r="J1302" i="7"/>
  <c r="I1302" i="7"/>
  <c r="H1302" i="7"/>
  <c r="G1302" i="7"/>
  <c r="F1302" i="7"/>
  <c r="E1302" i="7"/>
  <c r="AC1301" i="7"/>
  <c r="AC1299" i="7" s="1"/>
  <c r="D1301" i="7"/>
  <c r="AC1300" i="7"/>
  <c r="D1300" i="7" s="1"/>
  <c r="D1299" i="7" s="1"/>
  <c r="AE1299" i="7"/>
  <c r="AD1299" i="7"/>
  <c r="AB1299" i="7"/>
  <c r="AA1299" i="7"/>
  <c r="Z1299" i="7"/>
  <c r="Y1299" i="7"/>
  <c r="X1299" i="7"/>
  <c r="W1299" i="7"/>
  <c r="V1299" i="7"/>
  <c r="U1299" i="7"/>
  <c r="T1299" i="7"/>
  <c r="S1299" i="7"/>
  <c r="R1299" i="7"/>
  <c r="Q1299" i="7"/>
  <c r="P1299" i="7"/>
  <c r="O1299" i="7"/>
  <c r="N1299" i="7"/>
  <c r="M1299" i="7"/>
  <c r="L1299" i="7"/>
  <c r="K1299" i="7"/>
  <c r="J1299" i="7"/>
  <c r="I1299" i="7"/>
  <c r="H1299" i="7"/>
  <c r="G1299" i="7"/>
  <c r="F1299" i="7"/>
  <c r="E1299" i="7"/>
  <c r="AC1298" i="7"/>
  <c r="D1298" i="7"/>
  <c r="AE1297" i="7"/>
  <c r="AD1297" i="7"/>
  <c r="AC1297" i="7"/>
  <c r="AB1297" i="7"/>
  <c r="AA1297" i="7"/>
  <c r="Z1297" i="7"/>
  <c r="Y1297" i="7"/>
  <c r="X1297" i="7"/>
  <c r="W1297" i="7"/>
  <c r="V1297" i="7"/>
  <c r="U1297" i="7"/>
  <c r="T1297" i="7"/>
  <c r="S1297" i="7"/>
  <c r="R1297" i="7"/>
  <c r="Q1297" i="7"/>
  <c r="P1297" i="7"/>
  <c r="O1297" i="7"/>
  <c r="N1297" i="7"/>
  <c r="M1297" i="7"/>
  <c r="L1297" i="7"/>
  <c r="K1297" i="7"/>
  <c r="J1297" i="7"/>
  <c r="I1297" i="7"/>
  <c r="H1297" i="7"/>
  <c r="G1297" i="7"/>
  <c r="F1297" i="7"/>
  <c r="E1297" i="7"/>
  <c r="D1297" i="7"/>
  <c r="AC1296" i="7"/>
  <c r="D1296" i="7" s="1"/>
  <c r="D1295" i="7" s="1"/>
  <c r="AE1295" i="7"/>
  <c r="AD1295" i="7"/>
  <c r="AC1295" i="7"/>
  <c r="AB1295" i="7"/>
  <c r="AA1295" i="7"/>
  <c r="Z1295" i="7"/>
  <c r="Y1295" i="7"/>
  <c r="X1295" i="7"/>
  <c r="W1295" i="7"/>
  <c r="V1295" i="7"/>
  <c r="U1295" i="7"/>
  <c r="T1295" i="7"/>
  <c r="S1295" i="7"/>
  <c r="R1295" i="7"/>
  <c r="Q1295" i="7"/>
  <c r="P1295" i="7"/>
  <c r="O1295" i="7"/>
  <c r="N1295" i="7"/>
  <c r="M1295" i="7"/>
  <c r="L1295" i="7"/>
  <c r="K1295" i="7"/>
  <c r="J1295" i="7"/>
  <c r="I1295" i="7"/>
  <c r="H1295" i="7"/>
  <c r="G1295" i="7"/>
  <c r="F1295" i="7"/>
  <c r="E1295" i="7"/>
  <c r="AC1294" i="7"/>
  <c r="AC1292" i="7" s="1"/>
  <c r="D1294" i="7"/>
  <c r="AC1293" i="7"/>
  <c r="D1293" i="7" s="1"/>
  <c r="D1292" i="7" s="1"/>
  <c r="AE1292" i="7"/>
  <c r="AD1292" i="7"/>
  <c r="AB1292" i="7"/>
  <c r="AA1292" i="7"/>
  <c r="Z1292" i="7"/>
  <c r="Y1292" i="7"/>
  <c r="X1292" i="7"/>
  <c r="W1292" i="7"/>
  <c r="V1292" i="7"/>
  <c r="U1292" i="7"/>
  <c r="T1292" i="7"/>
  <c r="S1292" i="7"/>
  <c r="R1292" i="7"/>
  <c r="Q1292" i="7"/>
  <c r="P1292" i="7"/>
  <c r="O1292" i="7"/>
  <c r="N1292" i="7"/>
  <c r="M1292" i="7"/>
  <c r="L1292" i="7"/>
  <c r="K1292" i="7"/>
  <c r="J1292" i="7"/>
  <c r="I1292" i="7"/>
  <c r="H1292" i="7"/>
  <c r="G1292" i="7"/>
  <c r="F1292" i="7"/>
  <c r="E1292" i="7"/>
  <c r="AC1291" i="7"/>
  <c r="D1291" i="7"/>
  <c r="AC1290" i="7"/>
  <c r="R1290" i="7"/>
  <c r="D1290" i="7"/>
  <c r="AC1289" i="7"/>
  <c r="AC1288" i="7" s="1"/>
  <c r="P1289" i="7"/>
  <c r="D1289" i="7" s="1"/>
  <c r="D1288" i="7" s="1"/>
  <c r="AE1288" i="7"/>
  <c r="AD1288" i="7"/>
  <c r="AB1288" i="7"/>
  <c r="AA1288" i="7"/>
  <c r="Z1288" i="7"/>
  <c r="Y1288" i="7"/>
  <c r="X1288" i="7"/>
  <c r="W1288" i="7"/>
  <c r="V1288" i="7"/>
  <c r="U1288" i="7"/>
  <c r="T1288" i="7"/>
  <c r="S1288" i="7"/>
  <c r="R1288" i="7"/>
  <c r="Q1288" i="7"/>
  <c r="P1288" i="7"/>
  <c r="O1288" i="7"/>
  <c r="N1288" i="7"/>
  <c r="M1288" i="7"/>
  <c r="L1288" i="7"/>
  <c r="K1288" i="7"/>
  <c r="J1288" i="7"/>
  <c r="I1288" i="7"/>
  <c r="H1288" i="7"/>
  <c r="G1288" i="7"/>
  <c r="F1288" i="7"/>
  <c r="E1288" i="7"/>
  <c r="AC1287" i="7"/>
  <c r="D1287" i="7"/>
  <c r="AC1286" i="7"/>
  <c r="D1286" i="7" s="1"/>
  <c r="AC1285" i="7"/>
  <c r="D1285" i="7"/>
  <c r="AE1284" i="7"/>
  <c r="AD1284" i="7"/>
  <c r="AC1284" i="7"/>
  <c r="AB1284" i="7"/>
  <c r="AA1284" i="7"/>
  <c r="Z1284" i="7"/>
  <c r="Y1284" i="7"/>
  <c r="X1284" i="7"/>
  <c r="W1284" i="7"/>
  <c r="V1284" i="7"/>
  <c r="U1284" i="7"/>
  <c r="T1284" i="7"/>
  <c r="S1284" i="7"/>
  <c r="R1284" i="7"/>
  <c r="Q1284" i="7"/>
  <c r="P1284" i="7"/>
  <c r="O1284" i="7"/>
  <c r="N1284" i="7"/>
  <c r="M1284" i="7"/>
  <c r="L1284" i="7"/>
  <c r="K1284" i="7"/>
  <c r="J1284" i="7"/>
  <c r="I1284" i="7"/>
  <c r="H1284" i="7"/>
  <c r="G1284" i="7"/>
  <c r="F1284" i="7"/>
  <c r="E1284" i="7"/>
  <c r="AC1283" i="7"/>
  <c r="D1283" i="7"/>
  <c r="AC1282" i="7"/>
  <c r="AC1280" i="7" s="1"/>
  <c r="D1282" i="7"/>
  <c r="D1280" i="7" s="1"/>
  <c r="AC1281" i="7"/>
  <c r="D1281" i="7"/>
  <c r="AE1280" i="7"/>
  <c r="AD1280" i="7"/>
  <c r="AB1280" i="7"/>
  <c r="AA1280" i="7"/>
  <c r="Z1280" i="7"/>
  <c r="Y1280" i="7"/>
  <c r="X1280" i="7"/>
  <c r="W1280" i="7"/>
  <c r="V1280" i="7"/>
  <c r="U1280" i="7"/>
  <c r="T1280" i="7"/>
  <c r="S1280" i="7"/>
  <c r="R1280" i="7"/>
  <c r="Q1280" i="7"/>
  <c r="P1280" i="7"/>
  <c r="O1280" i="7"/>
  <c r="N1280" i="7"/>
  <c r="M1280" i="7"/>
  <c r="L1280" i="7"/>
  <c r="K1280" i="7"/>
  <c r="J1280" i="7"/>
  <c r="I1280" i="7"/>
  <c r="H1280" i="7"/>
  <c r="G1280" i="7"/>
  <c r="F1280" i="7"/>
  <c r="E1280" i="7"/>
  <c r="AC1279" i="7"/>
  <c r="AC1277" i="7" s="1"/>
  <c r="D1279" i="7"/>
  <c r="D1277" i="7" s="1"/>
  <c r="AC1278" i="7"/>
  <c r="D1278" i="7"/>
  <c r="AE1277" i="7"/>
  <c r="AD1277" i="7"/>
  <c r="AB1277" i="7"/>
  <c r="AA1277" i="7"/>
  <c r="Z1277" i="7"/>
  <c r="Y1277" i="7"/>
  <c r="X1277" i="7"/>
  <c r="W1277" i="7"/>
  <c r="V1277" i="7"/>
  <c r="U1277" i="7"/>
  <c r="T1277" i="7"/>
  <c r="S1277" i="7"/>
  <c r="R1277" i="7"/>
  <c r="Q1277" i="7"/>
  <c r="P1277" i="7"/>
  <c r="O1277" i="7"/>
  <c r="N1277" i="7"/>
  <c r="M1277" i="7"/>
  <c r="L1277" i="7"/>
  <c r="K1277" i="7"/>
  <c r="J1277" i="7"/>
  <c r="I1277" i="7"/>
  <c r="H1277" i="7"/>
  <c r="G1277" i="7"/>
  <c r="F1277" i="7"/>
  <c r="E1277" i="7"/>
  <c r="N1276" i="7"/>
  <c r="AE1275" i="7"/>
  <c r="AD1275" i="7"/>
  <c r="AB1275" i="7"/>
  <c r="AA1275" i="7"/>
  <c r="Z1275" i="7"/>
  <c r="Y1275" i="7"/>
  <c r="X1275" i="7"/>
  <c r="W1275" i="7"/>
  <c r="V1275" i="7"/>
  <c r="U1275" i="7"/>
  <c r="T1275" i="7"/>
  <c r="S1275" i="7"/>
  <c r="R1275" i="7"/>
  <c r="Q1275" i="7"/>
  <c r="P1275" i="7"/>
  <c r="O1275" i="7"/>
  <c r="M1275" i="7"/>
  <c r="L1275" i="7"/>
  <c r="K1275" i="7"/>
  <c r="J1275" i="7"/>
  <c r="I1275" i="7"/>
  <c r="H1275" i="7"/>
  <c r="G1275" i="7"/>
  <c r="F1275" i="7"/>
  <c r="E1275" i="7"/>
  <c r="AC1274" i="7"/>
  <c r="D1274" i="7"/>
  <c r="AE1273" i="7"/>
  <c r="AD1273" i="7"/>
  <c r="AC1273" i="7"/>
  <c r="AB1273" i="7"/>
  <c r="AA1273" i="7"/>
  <c r="Z1273" i="7"/>
  <c r="Y1273" i="7"/>
  <c r="X1273" i="7"/>
  <c r="W1273" i="7"/>
  <c r="V1273" i="7"/>
  <c r="U1273" i="7"/>
  <c r="T1273" i="7"/>
  <c r="S1273" i="7"/>
  <c r="R1273" i="7"/>
  <c r="Q1273" i="7"/>
  <c r="P1273" i="7"/>
  <c r="O1273" i="7"/>
  <c r="N1273" i="7"/>
  <c r="M1273" i="7"/>
  <c r="L1273" i="7"/>
  <c r="K1273" i="7"/>
  <c r="J1273" i="7"/>
  <c r="I1273" i="7"/>
  <c r="H1273" i="7"/>
  <c r="G1273" i="7"/>
  <c r="F1273" i="7"/>
  <c r="E1273" i="7"/>
  <c r="D1273" i="7"/>
  <c r="AC1272" i="7"/>
  <c r="D1272" i="7" s="1"/>
  <c r="D1271" i="7" s="1"/>
  <c r="AE1271" i="7"/>
  <c r="AD1271" i="7"/>
  <c r="AB1271" i="7"/>
  <c r="AA1271" i="7"/>
  <c r="Z1271" i="7"/>
  <c r="Y1271" i="7"/>
  <c r="X1271" i="7"/>
  <c r="W1271" i="7"/>
  <c r="V1271" i="7"/>
  <c r="U1271" i="7"/>
  <c r="T1271" i="7"/>
  <c r="S1271" i="7"/>
  <c r="R1271" i="7"/>
  <c r="Q1271" i="7"/>
  <c r="P1271" i="7"/>
  <c r="O1271" i="7"/>
  <c r="N1271" i="7"/>
  <c r="M1271" i="7"/>
  <c r="L1271" i="7"/>
  <c r="K1271" i="7"/>
  <c r="J1271" i="7"/>
  <c r="I1271" i="7"/>
  <c r="H1271" i="7"/>
  <c r="G1271" i="7"/>
  <c r="F1271" i="7"/>
  <c r="E1271" i="7"/>
  <c r="AC1270" i="7"/>
  <c r="D1270" i="7"/>
  <c r="AC1269" i="7"/>
  <c r="AC1268" i="7"/>
  <c r="D1268" i="7"/>
  <c r="AE1267" i="7"/>
  <c r="AD1267" i="7"/>
  <c r="AB1267" i="7"/>
  <c r="AA1267" i="7"/>
  <c r="Z1267" i="7"/>
  <c r="Y1267" i="7"/>
  <c r="X1267" i="7"/>
  <c r="W1267" i="7"/>
  <c r="V1267" i="7"/>
  <c r="U1267" i="7"/>
  <c r="T1267" i="7"/>
  <c r="S1267" i="7"/>
  <c r="R1267" i="7"/>
  <c r="Q1267" i="7"/>
  <c r="P1267" i="7"/>
  <c r="O1267" i="7"/>
  <c r="N1267" i="7"/>
  <c r="M1267" i="7"/>
  <c r="L1267" i="7"/>
  <c r="K1267" i="7"/>
  <c r="J1267" i="7"/>
  <c r="I1267" i="7"/>
  <c r="H1267" i="7"/>
  <c r="G1267" i="7"/>
  <c r="F1267" i="7"/>
  <c r="E1267" i="7"/>
  <c r="AC1266" i="7"/>
  <c r="D1266" i="7" s="1"/>
  <c r="D1265" i="7" s="1"/>
  <c r="AE1265" i="7"/>
  <c r="AD1265" i="7"/>
  <c r="AC1265" i="7"/>
  <c r="AB1265" i="7"/>
  <c r="AA1265" i="7"/>
  <c r="Z1265" i="7"/>
  <c r="Y1265" i="7"/>
  <c r="X1265" i="7"/>
  <c r="W1265" i="7"/>
  <c r="V1265" i="7"/>
  <c r="U1265" i="7"/>
  <c r="T1265" i="7"/>
  <c r="S1265" i="7"/>
  <c r="R1265" i="7"/>
  <c r="Q1265" i="7"/>
  <c r="P1265" i="7"/>
  <c r="O1265" i="7"/>
  <c r="N1265" i="7"/>
  <c r="M1265" i="7"/>
  <c r="L1265" i="7"/>
  <c r="K1265" i="7"/>
  <c r="J1265" i="7"/>
  <c r="I1265" i="7"/>
  <c r="H1265" i="7"/>
  <c r="G1265" i="7"/>
  <c r="F1265" i="7"/>
  <c r="E1265" i="7"/>
  <c r="AC1264" i="7"/>
  <c r="D1264" i="7"/>
  <c r="AE1263" i="7"/>
  <c r="AD1263" i="7"/>
  <c r="AC1263" i="7"/>
  <c r="AB1263" i="7"/>
  <c r="AA1263" i="7"/>
  <c r="Z1263" i="7"/>
  <c r="Y1263" i="7"/>
  <c r="X1263" i="7"/>
  <c r="W1263" i="7"/>
  <c r="V1263" i="7"/>
  <c r="U1263" i="7"/>
  <c r="T1263" i="7"/>
  <c r="S1263" i="7"/>
  <c r="R1263" i="7"/>
  <c r="Q1263" i="7"/>
  <c r="P1263" i="7"/>
  <c r="O1263" i="7"/>
  <c r="N1263" i="7"/>
  <c r="M1263" i="7"/>
  <c r="L1263" i="7"/>
  <c r="K1263" i="7"/>
  <c r="J1263" i="7"/>
  <c r="I1263" i="7"/>
  <c r="H1263" i="7"/>
  <c r="G1263" i="7"/>
  <c r="F1263" i="7"/>
  <c r="E1263" i="7"/>
  <c r="D1263" i="7"/>
  <c r="AC1262" i="7"/>
  <c r="AE1261" i="7"/>
  <c r="AD1261" i="7"/>
  <c r="AB1261" i="7"/>
  <c r="AA1261" i="7"/>
  <c r="Z1261" i="7"/>
  <c r="Y1261" i="7"/>
  <c r="X1261" i="7"/>
  <c r="W1261" i="7"/>
  <c r="V1261" i="7"/>
  <c r="U1261" i="7"/>
  <c r="T1261" i="7"/>
  <c r="S1261" i="7"/>
  <c r="R1261" i="7"/>
  <c r="Q1261" i="7"/>
  <c r="P1261" i="7"/>
  <c r="O1261" i="7"/>
  <c r="N1261" i="7"/>
  <c r="M1261" i="7"/>
  <c r="L1261" i="7"/>
  <c r="K1261" i="7"/>
  <c r="J1261" i="7"/>
  <c r="I1261" i="7"/>
  <c r="H1261" i="7"/>
  <c r="G1261" i="7"/>
  <c r="F1261" i="7"/>
  <c r="E1261" i="7"/>
  <c r="AC1260" i="7"/>
  <c r="D1260" i="7"/>
  <c r="AC1259" i="7"/>
  <c r="AC1258" i="7"/>
  <c r="D1258" i="7"/>
  <c r="AE1257" i="7"/>
  <c r="AD1257" i="7"/>
  <c r="AB1257" i="7"/>
  <c r="AA1257" i="7"/>
  <c r="Z1257" i="7"/>
  <c r="Y1257" i="7"/>
  <c r="X1257" i="7"/>
  <c r="W1257" i="7"/>
  <c r="V1257" i="7"/>
  <c r="U1257" i="7"/>
  <c r="T1257" i="7"/>
  <c r="S1257" i="7"/>
  <c r="R1257" i="7"/>
  <c r="Q1257" i="7"/>
  <c r="P1257" i="7"/>
  <c r="O1257" i="7"/>
  <c r="N1257" i="7"/>
  <c r="M1257" i="7"/>
  <c r="L1257" i="7"/>
  <c r="K1257" i="7"/>
  <c r="J1257" i="7"/>
  <c r="I1257" i="7"/>
  <c r="H1257" i="7"/>
  <c r="G1257" i="7"/>
  <c r="F1257" i="7"/>
  <c r="E1257" i="7"/>
  <c r="AC1256" i="7"/>
  <c r="D1256" i="7" s="1"/>
  <c r="D1255" i="7" s="1"/>
  <c r="AE1255" i="7"/>
  <c r="AD1255" i="7"/>
  <c r="AB1255" i="7"/>
  <c r="AA1255" i="7"/>
  <c r="Z1255" i="7"/>
  <c r="Y1255" i="7"/>
  <c r="X1255" i="7"/>
  <c r="W1255" i="7"/>
  <c r="V1255" i="7"/>
  <c r="U1255" i="7"/>
  <c r="T1255" i="7"/>
  <c r="S1255" i="7"/>
  <c r="R1255" i="7"/>
  <c r="Q1255" i="7"/>
  <c r="P1255" i="7"/>
  <c r="O1255" i="7"/>
  <c r="N1255" i="7"/>
  <c r="M1255" i="7"/>
  <c r="L1255" i="7"/>
  <c r="K1255" i="7"/>
  <c r="J1255" i="7"/>
  <c r="I1255" i="7"/>
  <c r="H1255" i="7"/>
  <c r="G1255" i="7"/>
  <c r="F1255" i="7"/>
  <c r="E1255" i="7"/>
  <c r="N1254" i="7"/>
  <c r="AC1254" i="7" s="1"/>
  <c r="AC1253" i="7" s="1"/>
  <c r="D1254" i="7"/>
  <c r="D1253" i="7" s="1"/>
  <c r="AE1253" i="7"/>
  <c r="AD1253" i="7"/>
  <c r="AB1253" i="7"/>
  <c r="AA1253" i="7"/>
  <c r="Z1253" i="7"/>
  <c r="Y1253" i="7"/>
  <c r="X1253" i="7"/>
  <c r="W1253" i="7"/>
  <c r="V1253" i="7"/>
  <c r="U1253" i="7"/>
  <c r="T1253" i="7"/>
  <c r="S1253" i="7"/>
  <c r="R1253" i="7"/>
  <c r="Q1253" i="7"/>
  <c r="P1253" i="7"/>
  <c r="O1253" i="7"/>
  <c r="M1253" i="7"/>
  <c r="L1253" i="7"/>
  <c r="K1253" i="7"/>
  <c r="J1253" i="7"/>
  <c r="I1253" i="7"/>
  <c r="H1253" i="7"/>
  <c r="G1253" i="7"/>
  <c r="F1253" i="7"/>
  <c r="E1253" i="7"/>
  <c r="AC1252" i="7"/>
  <c r="D1252" i="7"/>
  <c r="AE1251" i="7"/>
  <c r="AD1251" i="7"/>
  <c r="AC1251" i="7"/>
  <c r="AB1251" i="7"/>
  <c r="AA1251" i="7"/>
  <c r="Z1251" i="7"/>
  <c r="Y1251" i="7"/>
  <c r="X1251" i="7"/>
  <c r="W1251" i="7"/>
  <c r="V1251" i="7"/>
  <c r="U1251" i="7"/>
  <c r="T1251" i="7"/>
  <c r="S1251" i="7"/>
  <c r="R1251" i="7"/>
  <c r="Q1251" i="7"/>
  <c r="P1251" i="7"/>
  <c r="O1251" i="7"/>
  <c r="N1251" i="7"/>
  <c r="M1251" i="7"/>
  <c r="L1251" i="7"/>
  <c r="K1251" i="7"/>
  <c r="J1251" i="7"/>
  <c r="I1251" i="7"/>
  <c r="H1251" i="7"/>
  <c r="G1251" i="7"/>
  <c r="F1251" i="7"/>
  <c r="E1251" i="7"/>
  <c r="D1251" i="7"/>
  <c r="AC1250" i="7"/>
  <c r="D1250" i="7"/>
  <c r="AE1249" i="7"/>
  <c r="AD1249" i="7"/>
  <c r="AC1249" i="7"/>
  <c r="AB1249" i="7"/>
  <c r="AA1249" i="7"/>
  <c r="Z1249" i="7"/>
  <c r="Y1249" i="7"/>
  <c r="X1249" i="7"/>
  <c r="W1249" i="7"/>
  <c r="V1249" i="7"/>
  <c r="U1249" i="7"/>
  <c r="T1249" i="7"/>
  <c r="S1249" i="7"/>
  <c r="R1249" i="7"/>
  <c r="Q1249" i="7"/>
  <c r="P1249" i="7"/>
  <c r="O1249" i="7"/>
  <c r="N1249" i="7"/>
  <c r="M1249" i="7"/>
  <c r="L1249" i="7"/>
  <c r="K1249" i="7"/>
  <c r="J1249" i="7"/>
  <c r="I1249" i="7"/>
  <c r="H1249" i="7"/>
  <c r="G1249" i="7"/>
  <c r="F1249" i="7"/>
  <c r="E1249" i="7"/>
  <c r="D1249" i="7"/>
  <c r="AC1248" i="7"/>
  <c r="D1248" i="7"/>
  <c r="AE1247" i="7"/>
  <c r="AD1247" i="7"/>
  <c r="AC1247" i="7"/>
  <c r="AB1247" i="7"/>
  <c r="AA1247" i="7"/>
  <c r="Z1247" i="7"/>
  <c r="Y1247" i="7"/>
  <c r="X1247" i="7"/>
  <c r="W1247" i="7"/>
  <c r="V1247" i="7"/>
  <c r="U1247" i="7"/>
  <c r="T1247" i="7"/>
  <c r="S1247" i="7"/>
  <c r="R1247" i="7"/>
  <c r="Q1247" i="7"/>
  <c r="P1247" i="7"/>
  <c r="O1247" i="7"/>
  <c r="N1247" i="7"/>
  <c r="M1247" i="7"/>
  <c r="L1247" i="7"/>
  <c r="K1247" i="7"/>
  <c r="J1247" i="7"/>
  <c r="I1247" i="7"/>
  <c r="H1247" i="7"/>
  <c r="G1247" i="7"/>
  <c r="F1247" i="7"/>
  <c r="E1247" i="7"/>
  <c r="D1247" i="7"/>
  <c r="AC1246" i="7"/>
  <c r="D1246" i="7"/>
  <c r="AE1245" i="7"/>
  <c r="AD1245" i="7"/>
  <c r="AC1245" i="7"/>
  <c r="AB1245" i="7"/>
  <c r="AA1245" i="7"/>
  <c r="Z1245" i="7"/>
  <c r="Y1245" i="7"/>
  <c r="X1245" i="7"/>
  <c r="W1245" i="7"/>
  <c r="V1245" i="7"/>
  <c r="U1245" i="7"/>
  <c r="T1245" i="7"/>
  <c r="S1245" i="7"/>
  <c r="R1245" i="7"/>
  <c r="Q1245" i="7"/>
  <c r="P1245" i="7"/>
  <c r="O1245" i="7"/>
  <c r="N1245" i="7"/>
  <c r="M1245" i="7"/>
  <c r="L1245" i="7"/>
  <c r="K1245" i="7"/>
  <c r="J1245" i="7"/>
  <c r="I1245" i="7"/>
  <c r="H1245" i="7"/>
  <c r="G1245" i="7"/>
  <c r="F1245" i="7"/>
  <c r="E1245" i="7"/>
  <c r="D1245" i="7"/>
  <c r="AC1244" i="7"/>
  <c r="D1244" i="7"/>
  <c r="AC1243" i="7"/>
  <c r="D1243" i="7"/>
  <c r="D1241" i="7" s="1"/>
  <c r="AC1242" i="7"/>
  <c r="D1242" i="7"/>
  <c r="AE1241" i="7"/>
  <c r="AD1241" i="7"/>
  <c r="AC1241" i="7"/>
  <c r="AB1241" i="7"/>
  <c r="AA1241" i="7"/>
  <c r="Z1241" i="7"/>
  <c r="Y1241" i="7"/>
  <c r="X1241" i="7"/>
  <c r="W1241" i="7"/>
  <c r="V1241" i="7"/>
  <c r="U1241" i="7"/>
  <c r="T1241" i="7"/>
  <c r="S1241" i="7"/>
  <c r="R1241" i="7"/>
  <c r="Q1241" i="7"/>
  <c r="P1241" i="7"/>
  <c r="O1241" i="7"/>
  <c r="N1241" i="7"/>
  <c r="M1241" i="7"/>
  <c r="L1241" i="7"/>
  <c r="K1241" i="7"/>
  <c r="J1241" i="7"/>
  <c r="I1241" i="7"/>
  <c r="H1241" i="7"/>
  <c r="G1241" i="7"/>
  <c r="F1241" i="7"/>
  <c r="E1241" i="7"/>
  <c r="AC1240" i="7"/>
  <c r="D1240" i="7"/>
  <c r="AE1239" i="7"/>
  <c r="AD1239" i="7"/>
  <c r="AC1239" i="7"/>
  <c r="AB1239" i="7"/>
  <c r="AA1239" i="7"/>
  <c r="Z1239" i="7"/>
  <c r="Y1239" i="7"/>
  <c r="X1239" i="7"/>
  <c r="W1239" i="7"/>
  <c r="V1239" i="7"/>
  <c r="U1239" i="7"/>
  <c r="T1239" i="7"/>
  <c r="S1239" i="7"/>
  <c r="R1239" i="7"/>
  <c r="Q1239" i="7"/>
  <c r="P1239" i="7"/>
  <c r="O1239" i="7"/>
  <c r="N1239" i="7"/>
  <c r="M1239" i="7"/>
  <c r="L1239" i="7"/>
  <c r="K1239" i="7"/>
  <c r="J1239" i="7"/>
  <c r="I1239" i="7"/>
  <c r="H1239" i="7"/>
  <c r="G1239" i="7"/>
  <c r="F1239" i="7"/>
  <c r="E1239" i="7"/>
  <c r="D1239" i="7"/>
  <c r="AC1238" i="7"/>
  <c r="D1238" i="7"/>
  <c r="AC1237" i="7"/>
  <c r="D1237" i="7"/>
  <c r="AE1236" i="7"/>
  <c r="AD1236" i="7"/>
  <c r="AC1236" i="7"/>
  <c r="AB1236" i="7"/>
  <c r="AA1236" i="7"/>
  <c r="Z1236" i="7"/>
  <c r="Y1236" i="7"/>
  <c r="X1236" i="7"/>
  <c r="W1236" i="7"/>
  <c r="V1236" i="7"/>
  <c r="U1236" i="7"/>
  <c r="T1236" i="7"/>
  <c r="S1236" i="7"/>
  <c r="R1236" i="7"/>
  <c r="Q1236" i="7"/>
  <c r="P1236" i="7"/>
  <c r="O1236" i="7"/>
  <c r="N1236" i="7"/>
  <c r="M1236" i="7"/>
  <c r="L1236" i="7"/>
  <c r="K1236" i="7"/>
  <c r="J1236" i="7"/>
  <c r="I1236" i="7"/>
  <c r="H1236" i="7"/>
  <c r="G1236" i="7"/>
  <c r="F1236" i="7"/>
  <c r="E1236" i="7"/>
  <c r="D1236" i="7"/>
  <c r="AC1235" i="7"/>
  <c r="D1235" i="7"/>
  <c r="AC1234" i="7"/>
  <c r="D1234" i="7"/>
  <c r="D1232" i="7" s="1"/>
  <c r="AC1233" i="7"/>
  <c r="D1233" i="7"/>
  <c r="AE1232" i="7"/>
  <c r="AD1232" i="7"/>
  <c r="AC1232" i="7"/>
  <c r="AB1232" i="7"/>
  <c r="AA1232" i="7"/>
  <c r="Z1232" i="7"/>
  <c r="Y1232" i="7"/>
  <c r="X1232" i="7"/>
  <c r="W1232" i="7"/>
  <c r="V1232" i="7"/>
  <c r="U1232" i="7"/>
  <c r="T1232" i="7"/>
  <c r="S1232" i="7"/>
  <c r="R1232" i="7"/>
  <c r="Q1232" i="7"/>
  <c r="P1232" i="7"/>
  <c r="O1232" i="7"/>
  <c r="N1232" i="7"/>
  <c r="M1232" i="7"/>
  <c r="L1232" i="7"/>
  <c r="K1232" i="7"/>
  <c r="J1232" i="7"/>
  <c r="I1232" i="7"/>
  <c r="H1232" i="7"/>
  <c r="G1232" i="7"/>
  <c r="F1232" i="7"/>
  <c r="E1232" i="7"/>
  <c r="AC1231" i="7"/>
  <c r="AC1229" i="7" s="1"/>
  <c r="D1231" i="7"/>
  <c r="D1229" i="7" s="1"/>
  <c r="AC1230" i="7"/>
  <c r="D1230" i="7"/>
  <c r="AE1229" i="7"/>
  <c r="AD1229" i="7"/>
  <c r="AB1229" i="7"/>
  <c r="AA1229" i="7"/>
  <c r="Z1229" i="7"/>
  <c r="Y1229" i="7"/>
  <c r="X1229" i="7"/>
  <c r="W1229" i="7"/>
  <c r="V1229" i="7"/>
  <c r="U1229" i="7"/>
  <c r="T1229" i="7"/>
  <c r="S1229" i="7"/>
  <c r="R1229" i="7"/>
  <c r="Q1229" i="7"/>
  <c r="P1229" i="7"/>
  <c r="O1229" i="7"/>
  <c r="N1229" i="7"/>
  <c r="M1229" i="7"/>
  <c r="L1229" i="7"/>
  <c r="K1229" i="7"/>
  <c r="J1229" i="7"/>
  <c r="I1229" i="7"/>
  <c r="H1229" i="7"/>
  <c r="G1229" i="7"/>
  <c r="F1229" i="7"/>
  <c r="E1229" i="7"/>
  <c r="U1228" i="7"/>
  <c r="N1227" i="7"/>
  <c r="AC1227" i="7" s="1"/>
  <c r="D1227" i="7"/>
  <c r="AC1226" i="7"/>
  <c r="N1226" i="7"/>
  <c r="D1226" i="7"/>
  <c r="AC1225" i="7"/>
  <c r="N1225" i="7"/>
  <c r="D1225" i="7" s="1"/>
  <c r="AC1224" i="7"/>
  <c r="D1224" i="7"/>
  <c r="AC1223" i="7"/>
  <c r="N1223" i="7"/>
  <c r="D1223" i="7"/>
  <c r="AE1222" i="7"/>
  <c r="AD1222" i="7"/>
  <c r="AB1222" i="7"/>
  <c r="AA1222" i="7"/>
  <c r="Z1222" i="7"/>
  <c r="Y1222" i="7"/>
  <c r="X1222" i="7"/>
  <c r="W1222" i="7"/>
  <c r="V1222" i="7"/>
  <c r="T1222" i="7"/>
  <c r="S1222" i="7"/>
  <c r="R1222" i="7"/>
  <c r="Q1222" i="7"/>
  <c r="P1222" i="7"/>
  <c r="O1222" i="7"/>
  <c r="N1222" i="7"/>
  <c r="M1222" i="7"/>
  <c r="L1222" i="7"/>
  <c r="K1222" i="7"/>
  <c r="J1222" i="7"/>
  <c r="I1222" i="7"/>
  <c r="H1222" i="7"/>
  <c r="G1222" i="7"/>
  <c r="F1222" i="7"/>
  <c r="E1222" i="7"/>
  <c r="AC1221" i="7"/>
  <c r="D1221" i="7" s="1"/>
  <c r="D1220" i="7" s="1"/>
  <c r="AE1220" i="7"/>
  <c r="AD1220" i="7"/>
  <c r="AB1220" i="7"/>
  <c r="AA1220" i="7"/>
  <c r="Z1220" i="7"/>
  <c r="Y1220" i="7"/>
  <c r="X1220" i="7"/>
  <c r="W1220" i="7"/>
  <c r="V1220" i="7"/>
  <c r="U1220" i="7"/>
  <c r="T1220" i="7"/>
  <c r="S1220" i="7"/>
  <c r="R1220" i="7"/>
  <c r="Q1220" i="7"/>
  <c r="P1220" i="7"/>
  <c r="O1220" i="7"/>
  <c r="N1220" i="7"/>
  <c r="M1220" i="7"/>
  <c r="L1220" i="7"/>
  <c r="K1220" i="7"/>
  <c r="J1220" i="7"/>
  <c r="I1220" i="7"/>
  <c r="H1220" i="7"/>
  <c r="G1220" i="7"/>
  <c r="F1220" i="7"/>
  <c r="E1220" i="7"/>
  <c r="N1219" i="7"/>
  <c r="AC1219" i="7" s="1"/>
  <c r="AC1218" i="7" s="1"/>
  <c r="D1219" i="7"/>
  <c r="D1218" i="7" s="1"/>
  <c r="AE1218" i="7"/>
  <c r="AD1218" i="7"/>
  <c r="AB1218" i="7"/>
  <c r="AA1218" i="7"/>
  <c r="Z1218" i="7"/>
  <c r="Y1218" i="7"/>
  <c r="X1218" i="7"/>
  <c r="W1218" i="7"/>
  <c r="V1218" i="7"/>
  <c r="U1218" i="7"/>
  <c r="T1218" i="7"/>
  <c r="S1218" i="7"/>
  <c r="R1218" i="7"/>
  <c r="Q1218" i="7"/>
  <c r="P1218" i="7"/>
  <c r="O1218" i="7"/>
  <c r="N1218" i="7"/>
  <c r="M1218" i="7"/>
  <c r="L1218" i="7"/>
  <c r="K1218" i="7"/>
  <c r="J1218" i="7"/>
  <c r="I1218" i="7"/>
  <c r="H1218" i="7"/>
  <c r="G1218" i="7"/>
  <c r="F1218" i="7"/>
  <c r="E1218" i="7"/>
  <c r="AC1217" i="7"/>
  <c r="D1217" i="7"/>
  <c r="AE1216" i="7"/>
  <c r="AD1216" i="7"/>
  <c r="AC1216" i="7"/>
  <c r="AB1216" i="7"/>
  <c r="AA1216" i="7"/>
  <c r="Z1216" i="7"/>
  <c r="Y1216" i="7"/>
  <c r="X1216" i="7"/>
  <c r="W1216" i="7"/>
  <c r="V1216" i="7"/>
  <c r="U1216" i="7"/>
  <c r="T1216" i="7"/>
  <c r="S1216" i="7"/>
  <c r="R1216" i="7"/>
  <c r="Q1216" i="7"/>
  <c r="P1216" i="7"/>
  <c r="O1216" i="7"/>
  <c r="N1216" i="7"/>
  <c r="M1216" i="7"/>
  <c r="L1216" i="7"/>
  <c r="K1216" i="7"/>
  <c r="J1216" i="7"/>
  <c r="I1216" i="7"/>
  <c r="H1216" i="7"/>
  <c r="G1216" i="7"/>
  <c r="F1216" i="7"/>
  <c r="E1216" i="7"/>
  <c r="D1216" i="7"/>
  <c r="AC1215" i="7"/>
  <c r="D1215" i="7"/>
  <c r="AC1214" i="7"/>
  <c r="D1214" i="7" s="1"/>
  <c r="D1213" i="7" s="1"/>
  <c r="AE1213" i="7"/>
  <c r="AD1213" i="7"/>
  <c r="AC1213" i="7"/>
  <c r="AB1213" i="7"/>
  <c r="AA1213" i="7"/>
  <c r="Z1213" i="7"/>
  <c r="Y1213" i="7"/>
  <c r="X1213" i="7"/>
  <c r="W1213" i="7"/>
  <c r="V1213" i="7"/>
  <c r="U1213" i="7"/>
  <c r="T1213" i="7"/>
  <c r="S1213" i="7"/>
  <c r="R1213" i="7"/>
  <c r="Q1213" i="7"/>
  <c r="P1213" i="7"/>
  <c r="O1213" i="7"/>
  <c r="N1213" i="7"/>
  <c r="M1213" i="7"/>
  <c r="L1213" i="7"/>
  <c r="K1213" i="7"/>
  <c r="J1213" i="7"/>
  <c r="I1213" i="7"/>
  <c r="H1213" i="7"/>
  <c r="G1213" i="7"/>
  <c r="F1213" i="7"/>
  <c r="E1213" i="7"/>
  <c r="N1212" i="7"/>
  <c r="AC1211" i="7"/>
  <c r="D1211" i="7" s="1"/>
  <c r="AE1210" i="7"/>
  <c r="AD1210" i="7"/>
  <c r="AB1210" i="7"/>
  <c r="AA1210" i="7"/>
  <c r="Z1210" i="7"/>
  <c r="Y1210" i="7"/>
  <c r="X1210" i="7"/>
  <c r="W1210" i="7"/>
  <c r="V1210" i="7"/>
  <c r="U1210" i="7"/>
  <c r="T1210" i="7"/>
  <c r="S1210" i="7"/>
  <c r="R1210" i="7"/>
  <c r="Q1210" i="7"/>
  <c r="P1210" i="7"/>
  <c r="O1210" i="7"/>
  <c r="M1210" i="7"/>
  <c r="L1210" i="7"/>
  <c r="K1210" i="7"/>
  <c r="J1210" i="7"/>
  <c r="I1210" i="7"/>
  <c r="H1210" i="7"/>
  <c r="G1210" i="7"/>
  <c r="F1210" i="7"/>
  <c r="E1210" i="7"/>
  <c r="AC1209" i="7"/>
  <c r="D1209" i="7" s="1"/>
  <c r="D1208" i="7" s="1"/>
  <c r="AE1208" i="7"/>
  <c r="AD1208" i="7"/>
  <c r="AB1208" i="7"/>
  <c r="AA1208" i="7"/>
  <c r="Z1208" i="7"/>
  <c r="Y1208" i="7"/>
  <c r="X1208" i="7"/>
  <c r="W1208" i="7"/>
  <c r="V1208" i="7"/>
  <c r="U1208" i="7"/>
  <c r="T1208" i="7"/>
  <c r="S1208" i="7"/>
  <c r="R1208" i="7"/>
  <c r="Q1208" i="7"/>
  <c r="P1208" i="7"/>
  <c r="O1208" i="7"/>
  <c r="N1208" i="7"/>
  <c r="M1208" i="7"/>
  <c r="L1208" i="7"/>
  <c r="K1208" i="7"/>
  <c r="J1208" i="7"/>
  <c r="I1208" i="7"/>
  <c r="H1208" i="7"/>
  <c r="G1208" i="7"/>
  <c r="F1208" i="7"/>
  <c r="E1208" i="7"/>
  <c r="AC1207" i="7"/>
  <c r="D1207" i="7" s="1"/>
  <c r="D1206" i="7" s="1"/>
  <c r="AE1206" i="7"/>
  <c r="AD1206" i="7"/>
  <c r="AC1206" i="7"/>
  <c r="AB1206" i="7"/>
  <c r="AA1206" i="7"/>
  <c r="Z1206" i="7"/>
  <c r="Y1206" i="7"/>
  <c r="X1206" i="7"/>
  <c r="W1206" i="7"/>
  <c r="V1206" i="7"/>
  <c r="U1206" i="7"/>
  <c r="T1206" i="7"/>
  <c r="S1206" i="7"/>
  <c r="R1206" i="7"/>
  <c r="Q1206" i="7"/>
  <c r="P1206" i="7"/>
  <c r="O1206" i="7"/>
  <c r="N1206" i="7"/>
  <c r="M1206" i="7"/>
  <c r="L1206" i="7"/>
  <c r="K1206" i="7"/>
  <c r="J1206" i="7"/>
  <c r="I1206" i="7"/>
  <c r="H1206" i="7"/>
  <c r="G1206" i="7"/>
  <c r="G1034" i="7" s="1"/>
  <c r="F1206" i="7"/>
  <c r="E1206" i="7"/>
  <c r="AC1205" i="7"/>
  <c r="D1205" i="7" s="1"/>
  <c r="D1204" i="7" s="1"/>
  <c r="AE1204" i="7"/>
  <c r="AD1204" i="7"/>
  <c r="AB1204" i="7"/>
  <c r="AA1204" i="7"/>
  <c r="Z1204" i="7"/>
  <c r="Y1204" i="7"/>
  <c r="X1204" i="7"/>
  <c r="W1204" i="7"/>
  <c r="V1204" i="7"/>
  <c r="U1204" i="7"/>
  <c r="T1204" i="7"/>
  <c r="S1204" i="7"/>
  <c r="R1204" i="7"/>
  <c r="Q1204" i="7"/>
  <c r="P1204" i="7"/>
  <c r="O1204" i="7"/>
  <c r="N1204" i="7"/>
  <c r="M1204" i="7"/>
  <c r="L1204" i="7"/>
  <c r="K1204" i="7"/>
  <c r="J1204" i="7"/>
  <c r="I1204" i="7"/>
  <c r="H1204" i="7"/>
  <c r="G1204" i="7"/>
  <c r="F1204" i="7"/>
  <c r="E1204" i="7"/>
  <c r="AC1203" i="7"/>
  <c r="D1203" i="7" s="1"/>
  <c r="AC1202" i="7"/>
  <c r="AC1201" i="7"/>
  <c r="D1201" i="7" s="1"/>
  <c r="AE1200" i="7"/>
  <c r="AD1200" i="7"/>
  <c r="AB1200" i="7"/>
  <c r="AA1200" i="7"/>
  <c r="Z1200" i="7"/>
  <c r="Y1200" i="7"/>
  <c r="X1200" i="7"/>
  <c r="W1200" i="7"/>
  <c r="V1200" i="7"/>
  <c r="U1200" i="7"/>
  <c r="T1200" i="7"/>
  <c r="S1200" i="7"/>
  <c r="R1200" i="7"/>
  <c r="Q1200" i="7"/>
  <c r="P1200" i="7"/>
  <c r="O1200" i="7"/>
  <c r="N1200" i="7"/>
  <c r="M1200" i="7"/>
  <c r="L1200" i="7"/>
  <c r="K1200" i="7"/>
  <c r="J1200" i="7"/>
  <c r="I1200" i="7"/>
  <c r="H1200" i="7"/>
  <c r="G1200" i="7"/>
  <c r="F1200" i="7"/>
  <c r="E1200" i="7"/>
  <c r="AC1199" i="7"/>
  <c r="D1199" i="7" s="1"/>
  <c r="AC1198" i="7"/>
  <c r="D1198" i="7" s="1"/>
  <c r="AC1197" i="7"/>
  <c r="D1197" i="7" s="1"/>
  <c r="AC1196" i="7"/>
  <c r="D1196" i="7" s="1"/>
  <c r="AC1195" i="7"/>
  <c r="AC1194" i="7"/>
  <c r="D1194" i="7" s="1"/>
  <c r="AE1193" i="7"/>
  <c r="AD1193" i="7"/>
  <c r="AB1193" i="7"/>
  <c r="AA1193" i="7"/>
  <c r="Z1193" i="7"/>
  <c r="Y1193" i="7"/>
  <c r="X1193" i="7"/>
  <c r="W1193" i="7"/>
  <c r="V1193" i="7"/>
  <c r="U1193" i="7"/>
  <c r="T1193" i="7"/>
  <c r="S1193" i="7"/>
  <c r="R1193" i="7"/>
  <c r="Q1193" i="7"/>
  <c r="P1193" i="7"/>
  <c r="O1193" i="7"/>
  <c r="N1193" i="7"/>
  <c r="M1193" i="7"/>
  <c r="L1193" i="7"/>
  <c r="K1193" i="7"/>
  <c r="J1193" i="7"/>
  <c r="I1193" i="7"/>
  <c r="H1193" i="7"/>
  <c r="G1193" i="7"/>
  <c r="F1193" i="7"/>
  <c r="E1193" i="7"/>
  <c r="AC1192" i="7"/>
  <c r="AE1191" i="7"/>
  <c r="AD1191" i="7"/>
  <c r="AB1191" i="7"/>
  <c r="AA1191" i="7"/>
  <c r="Z1191" i="7"/>
  <c r="Y1191" i="7"/>
  <c r="X1191" i="7"/>
  <c r="W1191" i="7"/>
  <c r="V1191" i="7"/>
  <c r="U1191" i="7"/>
  <c r="T1191" i="7"/>
  <c r="S1191" i="7"/>
  <c r="R1191" i="7"/>
  <c r="Q1191" i="7"/>
  <c r="P1191" i="7"/>
  <c r="O1191" i="7"/>
  <c r="N1191" i="7"/>
  <c r="M1191" i="7"/>
  <c r="L1191" i="7"/>
  <c r="K1191" i="7"/>
  <c r="J1191" i="7"/>
  <c r="I1191" i="7"/>
  <c r="H1191" i="7"/>
  <c r="G1191" i="7"/>
  <c r="F1191" i="7"/>
  <c r="E1191" i="7"/>
  <c r="AC1190" i="7"/>
  <c r="D1190" i="7" s="1"/>
  <c r="D1189" i="7" s="1"/>
  <c r="AE1189" i="7"/>
  <c r="AD1189" i="7"/>
  <c r="AC1189" i="7"/>
  <c r="AB1189" i="7"/>
  <c r="AA1189" i="7"/>
  <c r="Z1189" i="7"/>
  <c r="Y1189" i="7"/>
  <c r="X1189" i="7"/>
  <c r="W1189" i="7"/>
  <c r="V1189" i="7"/>
  <c r="U1189" i="7"/>
  <c r="T1189" i="7"/>
  <c r="S1189" i="7"/>
  <c r="R1189" i="7"/>
  <c r="Q1189" i="7"/>
  <c r="P1189" i="7"/>
  <c r="O1189" i="7"/>
  <c r="N1189" i="7"/>
  <c r="M1189" i="7"/>
  <c r="L1189" i="7"/>
  <c r="K1189" i="7"/>
  <c r="J1189" i="7"/>
  <c r="I1189" i="7"/>
  <c r="H1189" i="7"/>
  <c r="G1189" i="7"/>
  <c r="F1189" i="7"/>
  <c r="E1189" i="7"/>
  <c r="AC1188" i="7"/>
  <c r="AC1187" i="7"/>
  <c r="D1187" i="7"/>
  <c r="AE1186" i="7"/>
  <c r="AD1186" i="7"/>
  <c r="AB1186" i="7"/>
  <c r="AA1186" i="7"/>
  <c r="Z1186" i="7"/>
  <c r="Y1186" i="7"/>
  <c r="X1186" i="7"/>
  <c r="W1186" i="7"/>
  <c r="V1186" i="7"/>
  <c r="U1186" i="7"/>
  <c r="T1186" i="7"/>
  <c r="S1186" i="7"/>
  <c r="R1186" i="7"/>
  <c r="Q1186" i="7"/>
  <c r="P1186" i="7"/>
  <c r="O1186" i="7"/>
  <c r="N1186" i="7"/>
  <c r="M1186" i="7"/>
  <c r="L1186" i="7"/>
  <c r="K1186" i="7"/>
  <c r="J1186" i="7"/>
  <c r="I1186" i="7"/>
  <c r="H1186" i="7"/>
  <c r="G1186" i="7"/>
  <c r="F1186" i="7"/>
  <c r="E1186" i="7"/>
  <c r="AC1185" i="7"/>
  <c r="D1185" i="7" s="1"/>
  <c r="D1184" i="7" s="1"/>
  <c r="AE1184" i="7"/>
  <c r="AD1184" i="7"/>
  <c r="AC1184" i="7"/>
  <c r="AB1184" i="7"/>
  <c r="AA1184" i="7"/>
  <c r="Z1184" i="7"/>
  <c r="Y1184" i="7"/>
  <c r="X1184" i="7"/>
  <c r="W1184" i="7"/>
  <c r="V1184" i="7"/>
  <c r="U1184" i="7"/>
  <c r="T1184" i="7"/>
  <c r="S1184" i="7"/>
  <c r="R1184" i="7"/>
  <c r="Q1184" i="7"/>
  <c r="P1184" i="7"/>
  <c r="O1184" i="7"/>
  <c r="N1184" i="7"/>
  <c r="M1184" i="7"/>
  <c r="L1184" i="7"/>
  <c r="K1184" i="7"/>
  <c r="J1184" i="7"/>
  <c r="I1184" i="7"/>
  <c r="H1184" i="7"/>
  <c r="G1184" i="7"/>
  <c r="F1184" i="7"/>
  <c r="E1184" i="7"/>
  <c r="AC1183" i="7"/>
  <c r="D1183" i="7"/>
  <c r="AE1182" i="7"/>
  <c r="AD1182" i="7"/>
  <c r="AC1182" i="7"/>
  <c r="AB1182" i="7"/>
  <c r="AA1182" i="7"/>
  <c r="Z1182" i="7"/>
  <c r="Y1182" i="7"/>
  <c r="X1182" i="7"/>
  <c r="W1182" i="7"/>
  <c r="V1182" i="7"/>
  <c r="U1182" i="7"/>
  <c r="T1182" i="7"/>
  <c r="S1182" i="7"/>
  <c r="R1182" i="7"/>
  <c r="Q1182" i="7"/>
  <c r="P1182" i="7"/>
  <c r="O1182" i="7"/>
  <c r="N1182" i="7"/>
  <c r="M1182" i="7"/>
  <c r="L1182" i="7"/>
  <c r="K1182" i="7"/>
  <c r="J1182" i="7"/>
  <c r="I1182" i="7"/>
  <c r="H1182" i="7"/>
  <c r="G1182" i="7"/>
  <c r="F1182" i="7"/>
  <c r="E1182" i="7"/>
  <c r="D1182" i="7"/>
  <c r="AC1181" i="7"/>
  <c r="AC1180" i="7"/>
  <c r="D1180" i="7" s="1"/>
  <c r="AE1179" i="7"/>
  <c r="AD1179" i="7"/>
  <c r="AB1179" i="7"/>
  <c r="AA1179" i="7"/>
  <c r="Z1179" i="7"/>
  <c r="Y1179" i="7"/>
  <c r="X1179" i="7"/>
  <c r="W1179" i="7"/>
  <c r="V1179" i="7"/>
  <c r="U1179" i="7"/>
  <c r="T1179" i="7"/>
  <c r="S1179" i="7"/>
  <c r="R1179" i="7"/>
  <c r="Q1179" i="7"/>
  <c r="P1179" i="7"/>
  <c r="O1179" i="7"/>
  <c r="N1179" i="7"/>
  <c r="M1179" i="7"/>
  <c r="L1179" i="7"/>
  <c r="K1179" i="7"/>
  <c r="J1179" i="7"/>
  <c r="I1179" i="7"/>
  <c r="H1179" i="7"/>
  <c r="G1179" i="7"/>
  <c r="F1179" i="7"/>
  <c r="E1179" i="7"/>
  <c r="AC1178" i="7"/>
  <c r="D1178" i="7" s="1"/>
  <c r="H1178" i="7"/>
  <c r="T1177" i="7"/>
  <c r="AC1176" i="7"/>
  <c r="D1176" i="7" s="1"/>
  <c r="AE1175" i="7"/>
  <c r="AD1175" i="7"/>
  <c r="AB1175" i="7"/>
  <c r="AA1175" i="7"/>
  <c r="Z1175" i="7"/>
  <c r="Y1175" i="7"/>
  <c r="X1175" i="7"/>
  <c r="W1175" i="7"/>
  <c r="V1175" i="7"/>
  <c r="U1175" i="7"/>
  <c r="S1175" i="7"/>
  <c r="R1175" i="7"/>
  <c r="Q1175" i="7"/>
  <c r="P1175" i="7"/>
  <c r="O1175" i="7"/>
  <c r="N1175" i="7"/>
  <c r="M1175" i="7"/>
  <c r="L1175" i="7"/>
  <c r="K1175" i="7"/>
  <c r="J1175" i="7"/>
  <c r="I1175" i="7"/>
  <c r="H1175" i="7"/>
  <c r="G1175" i="7"/>
  <c r="F1175" i="7"/>
  <c r="E1175" i="7"/>
  <c r="AC1174" i="7"/>
  <c r="AC1173" i="7"/>
  <c r="D1173" i="7" s="1"/>
  <c r="AE1172" i="7"/>
  <c r="AD1172" i="7"/>
  <c r="AB1172" i="7"/>
  <c r="AA1172" i="7"/>
  <c r="Z1172" i="7"/>
  <c r="Y1172" i="7"/>
  <c r="X1172" i="7"/>
  <c r="W1172" i="7"/>
  <c r="V1172" i="7"/>
  <c r="U1172" i="7"/>
  <c r="T1172" i="7"/>
  <c r="S1172" i="7"/>
  <c r="R1172" i="7"/>
  <c r="Q1172" i="7"/>
  <c r="P1172" i="7"/>
  <c r="O1172" i="7"/>
  <c r="N1172" i="7"/>
  <c r="M1172" i="7"/>
  <c r="L1172" i="7"/>
  <c r="K1172" i="7"/>
  <c r="J1172" i="7"/>
  <c r="I1172" i="7"/>
  <c r="H1172" i="7"/>
  <c r="G1172" i="7"/>
  <c r="F1172" i="7"/>
  <c r="E1172" i="7"/>
  <c r="AC1171" i="7"/>
  <c r="D1171" i="7" s="1"/>
  <c r="AC1170" i="7"/>
  <c r="D1170" i="7" s="1"/>
  <c r="AC1169" i="7"/>
  <c r="D1169" i="7" s="1"/>
  <c r="M1169" i="7"/>
  <c r="AC1168" i="7"/>
  <c r="D1168" i="7"/>
  <c r="AC1167" i="7"/>
  <c r="D1167" i="7"/>
  <c r="N1166" i="7"/>
  <c r="AC1165" i="7"/>
  <c r="D1165" i="7" s="1"/>
  <c r="AC1164" i="7"/>
  <c r="D1164" i="7" s="1"/>
  <c r="AE1163" i="7"/>
  <c r="AD1163" i="7"/>
  <c r="AB1163" i="7"/>
  <c r="AA1163" i="7"/>
  <c r="Z1163" i="7"/>
  <c r="Y1163" i="7"/>
  <c r="X1163" i="7"/>
  <c r="W1163" i="7"/>
  <c r="V1163" i="7"/>
  <c r="U1163" i="7"/>
  <c r="T1163" i="7"/>
  <c r="S1163" i="7"/>
  <c r="R1163" i="7"/>
  <c r="Q1163" i="7"/>
  <c r="P1163" i="7"/>
  <c r="O1163" i="7"/>
  <c r="M1163" i="7"/>
  <c r="L1163" i="7"/>
  <c r="K1163" i="7"/>
  <c r="J1163" i="7"/>
  <c r="I1163" i="7"/>
  <c r="H1163" i="7"/>
  <c r="G1163" i="7"/>
  <c r="F1163" i="7"/>
  <c r="E1163" i="7"/>
  <c r="AC1162" i="7"/>
  <c r="D1162" i="7" s="1"/>
  <c r="AC1161" i="7"/>
  <c r="D1161" i="7" s="1"/>
  <c r="AE1160" i="7"/>
  <c r="AD1160" i="7"/>
  <c r="AC1160" i="7"/>
  <c r="AB1160" i="7"/>
  <c r="AA1160" i="7"/>
  <c r="Z1160" i="7"/>
  <c r="Y1160" i="7"/>
  <c r="X1160" i="7"/>
  <c r="W1160" i="7"/>
  <c r="V1160" i="7"/>
  <c r="U1160" i="7"/>
  <c r="T1160" i="7"/>
  <c r="S1160" i="7"/>
  <c r="R1160" i="7"/>
  <c r="Q1160" i="7"/>
  <c r="P1160" i="7"/>
  <c r="O1160" i="7"/>
  <c r="N1160" i="7"/>
  <c r="M1160" i="7"/>
  <c r="L1160" i="7"/>
  <c r="K1160" i="7"/>
  <c r="J1160" i="7"/>
  <c r="I1160" i="7"/>
  <c r="H1160" i="7"/>
  <c r="G1160" i="7"/>
  <c r="F1160" i="7"/>
  <c r="E1160" i="7"/>
  <c r="AC1159" i="7"/>
  <c r="L1159" i="7"/>
  <c r="D1159" i="7"/>
  <c r="AC1158" i="7"/>
  <c r="L1158" i="7"/>
  <c r="D1158" i="7" s="1"/>
  <c r="AC1157" i="7"/>
  <c r="D1157" i="7" s="1"/>
  <c r="L1157" i="7"/>
  <c r="AC1156" i="7"/>
  <c r="D1156" i="7"/>
  <c r="AC1155" i="7"/>
  <c r="D1155" i="7" s="1"/>
  <c r="N1154" i="7"/>
  <c r="AC1153" i="7"/>
  <c r="N1153" i="7"/>
  <c r="D1153" i="7"/>
  <c r="AC1152" i="7"/>
  <c r="D1152" i="7" s="1"/>
  <c r="AC1151" i="7"/>
  <c r="D1151" i="7"/>
  <c r="AC1150" i="7"/>
  <c r="D1150" i="7" s="1"/>
  <c r="AC1149" i="7"/>
  <c r="D1149" i="7"/>
  <c r="AC1148" i="7"/>
  <c r="D1148" i="7" s="1"/>
  <c r="AC1147" i="7"/>
  <c r="D1147" i="7"/>
  <c r="AE1146" i="7"/>
  <c r="AD1146" i="7"/>
  <c r="AB1146" i="7"/>
  <c r="AA1146" i="7"/>
  <c r="Z1146" i="7"/>
  <c r="Y1146" i="7"/>
  <c r="X1146" i="7"/>
  <c r="W1146" i="7"/>
  <c r="V1146" i="7"/>
  <c r="U1146" i="7"/>
  <c r="T1146" i="7"/>
  <c r="S1146" i="7"/>
  <c r="R1146" i="7"/>
  <c r="Q1146" i="7"/>
  <c r="P1146" i="7"/>
  <c r="O1146" i="7"/>
  <c r="M1146" i="7"/>
  <c r="L1146" i="7"/>
  <c r="K1146" i="7"/>
  <c r="J1146" i="7"/>
  <c r="I1146" i="7"/>
  <c r="H1146" i="7"/>
  <c r="G1146" i="7"/>
  <c r="F1146" i="7"/>
  <c r="E1146" i="7"/>
  <c r="D1145" i="7"/>
  <c r="AC1144" i="7"/>
  <c r="D1144" i="7" s="1"/>
  <c r="AC1143" i="7"/>
  <c r="D1143" i="7" s="1"/>
  <c r="AC1142" i="7"/>
  <c r="D1142" i="7" s="1"/>
  <c r="AC1141" i="7"/>
  <c r="D1141" i="7" s="1"/>
  <c r="AC1140" i="7"/>
  <c r="D1140" i="7" s="1"/>
  <c r="AC1139" i="7"/>
  <c r="D1139" i="7" s="1"/>
  <c r="AC1138" i="7"/>
  <c r="D1138" i="7" s="1"/>
  <c r="AC1137" i="7"/>
  <c r="D1137" i="7" s="1"/>
  <c r="AC1136" i="7"/>
  <c r="D1136" i="7" s="1"/>
  <c r="AC1135" i="7"/>
  <c r="D1135" i="7" s="1"/>
  <c r="AC1134" i="7"/>
  <c r="D1134" i="7" s="1"/>
  <c r="D1133" i="7"/>
  <c r="AC1132" i="7"/>
  <c r="D1132" i="7" s="1"/>
  <c r="T1131" i="7"/>
  <c r="AC1130" i="7"/>
  <c r="D1130" i="7" s="1"/>
  <c r="AC1129" i="7"/>
  <c r="D1129" i="7" s="1"/>
  <c r="AC1128" i="7"/>
  <c r="D1128" i="7" s="1"/>
  <c r="AC1127" i="7"/>
  <c r="D1127" i="7" s="1"/>
  <c r="AC1126" i="7"/>
  <c r="D1126" i="7" s="1"/>
  <c r="AC1125" i="7"/>
  <c r="D1125" i="7" s="1"/>
  <c r="AC1124" i="7"/>
  <c r="D1124" i="7" s="1"/>
  <c r="AC1123" i="7"/>
  <c r="D1123" i="7" s="1"/>
  <c r="AC1122" i="7"/>
  <c r="D1122" i="7" s="1"/>
  <c r="AC1121" i="7"/>
  <c r="G1121" i="7"/>
  <c r="D1121" i="7" s="1"/>
  <c r="AC1120" i="7"/>
  <c r="D1120" i="7"/>
  <c r="AE1119" i="7"/>
  <c r="AD1119" i="7"/>
  <c r="AB1119" i="7"/>
  <c r="AA1119" i="7"/>
  <c r="Z1119" i="7"/>
  <c r="Y1119" i="7"/>
  <c r="X1119" i="7"/>
  <c r="W1119" i="7"/>
  <c r="V1119" i="7"/>
  <c r="U1119" i="7"/>
  <c r="T1119" i="7"/>
  <c r="S1119" i="7"/>
  <c r="R1119" i="7"/>
  <c r="Q1119" i="7"/>
  <c r="P1119" i="7"/>
  <c r="O1119" i="7"/>
  <c r="N1119" i="7"/>
  <c r="M1119" i="7"/>
  <c r="L1119" i="7"/>
  <c r="K1119" i="7"/>
  <c r="J1119" i="7"/>
  <c r="I1119" i="7"/>
  <c r="H1119" i="7"/>
  <c r="G1119" i="7"/>
  <c r="F1119" i="7"/>
  <c r="E1119" i="7"/>
  <c r="AC1118" i="7"/>
  <c r="D1118" i="7" s="1"/>
  <c r="AC1117" i="7"/>
  <c r="D1117" i="7"/>
  <c r="AC1116" i="7"/>
  <c r="D1116" i="7" s="1"/>
  <c r="N1116" i="7"/>
  <c r="AC1115" i="7"/>
  <c r="D1115" i="7" s="1"/>
  <c r="N1114" i="7"/>
  <c r="AC1114" i="7" s="1"/>
  <c r="AC1113" i="7"/>
  <c r="D1113" i="7"/>
  <c r="AC1112" i="7"/>
  <c r="D1112" i="7"/>
  <c r="AC1111" i="7"/>
  <c r="D1111" i="7"/>
  <c r="AC1110" i="7"/>
  <c r="D1110" i="7"/>
  <c r="AC1109" i="7"/>
  <c r="D1109" i="7"/>
  <c r="AC1108" i="7"/>
  <c r="D1108" i="7"/>
  <c r="AC1107" i="7"/>
  <c r="D1107" i="7"/>
  <c r="AC1106" i="7"/>
  <c r="D1106" i="7"/>
  <c r="AC1105" i="7"/>
  <c r="D1105" i="7"/>
  <c r="AE1104" i="7"/>
  <c r="AD1104" i="7"/>
  <c r="AB1104" i="7"/>
  <c r="AA1104" i="7"/>
  <c r="Z1104" i="7"/>
  <c r="Y1104" i="7"/>
  <c r="X1104" i="7"/>
  <c r="W1104" i="7"/>
  <c r="V1104" i="7"/>
  <c r="U1104" i="7"/>
  <c r="T1104" i="7"/>
  <c r="S1104" i="7"/>
  <c r="R1104" i="7"/>
  <c r="Q1104" i="7"/>
  <c r="P1104" i="7"/>
  <c r="O1104" i="7"/>
  <c r="N1104" i="7"/>
  <c r="M1104" i="7"/>
  <c r="L1104" i="7"/>
  <c r="K1104" i="7"/>
  <c r="J1104" i="7"/>
  <c r="I1104" i="7"/>
  <c r="H1104" i="7"/>
  <c r="G1104" i="7"/>
  <c r="F1104" i="7"/>
  <c r="E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N1087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5" i="7" s="1"/>
  <c r="D1038" i="7"/>
  <c r="D1037" i="7"/>
  <c r="D1036" i="7"/>
  <c r="AE1035" i="7"/>
  <c r="AD1035" i="7"/>
  <c r="AC1035" i="7"/>
  <c r="AB1035" i="7"/>
  <c r="AA1035" i="7"/>
  <c r="Z1035" i="7"/>
  <c r="Y1035" i="7"/>
  <c r="X1035" i="7"/>
  <c r="W1035" i="7"/>
  <c r="V1035" i="7"/>
  <c r="U1035" i="7"/>
  <c r="T1035" i="7"/>
  <c r="S1035" i="7"/>
  <c r="R1035" i="7"/>
  <c r="Q1035" i="7"/>
  <c r="P1035" i="7"/>
  <c r="O1035" i="7"/>
  <c r="N1035" i="7"/>
  <c r="M1035" i="7"/>
  <c r="L1035" i="7"/>
  <c r="K1035" i="7"/>
  <c r="J1035" i="7"/>
  <c r="I1035" i="7"/>
  <c r="H1035" i="7"/>
  <c r="G1035" i="7"/>
  <c r="F1035" i="7"/>
  <c r="E1035" i="7"/>
  <c r="W1034" i="7"/>
  <c r="AC1033" i="7"/>
  <c r="H1033" i="7"/>
  <c r="AE1032" i="7"/>
  <c r="AD1032" i="7"/>
  <c r="AB1032" i="7"/>
  <c r="AA1032" i="7"/>
  <c r="Z1032" i="7"/>
  <c r="Y1032" i="7"/>
  <c r="X1032" i="7"/>
  <c r="W1032" i="7"/>
  <c r="V1032" i="7"/>
  <c r="U1032" i="7"/>
  <c r="T1032" i="7"/>
  <c r="S1032" i="7"/>
  <c r="R1032" i="7"/>
  <c r="Q1032" i="7"/>
  <c r="P1032" i="7"/>
  <c r="O1032" i="7"/>
  <c r="N1032" i="7"/>
  <c r="M1032" i="7"/>
  <c r="L1032" i="7"/>
  <c r="K1032" i="7"/>
  <c r="J1032" i="7"/>
  <c r="I1032" i="7"/>
  <c r="H1032" i="7"/>
  <c r="G1032" i="7"/>
  <c r="F1032" i="7"/>
  <c r="E1032" i="7"/>
  <c r="N1031" i="7"/>
  <c r="AE1030" i="7"/>
  <c r="AD1030" i="7"/>
  <c r="AB1030" i="7"/>
  <c r="AA1030" i="7"/>
  <c r="Z1030" i="7"/>
  <c r="Y1030" i="7"/>
  <c r="X1030" i="7"/>
  <c r="W1030" i="7"/>
  <c r="V1030" i="7"/>
  <c r="U1030" i="7"/>
  <c r="T1030" i="7"/>
  <c r="S1030" i="7"/>
  <c r="R1030" i="7"/>
  <c r="Q1030" i="7"/>
  <c r="P1030" i="7"/>
  <c r="O1030" i="7"/>
  <c r="M1030" i="7"/>
  <c r="L1030" i="7"/>
  <c r="K1030" i="7"/>
  <c r="J1030" i="7"/>
  <c r="I1030" i="7"/>
  <c r="H1030" i="7"/>
  <c r="G1030" i="7"/>
  <c r="F1030" i="7"/>
  <c r="E1030" i="7"/>
  <c r="D1029" i="7"/>
  <c r="D1028" i="7"/>
  <c r="D1027" i="7"/>
  <c r="AC1026" i="7"/>
  <c r="D1026" i="7"/>
  <c r="N1025" i="7"/>
  <c r="AE1024" i="7"/>
  <c r="AD1024" i="7"/>
  <c r="AB1024" i="7"/>
  <c r="AA1024" i="7"/>
  <c r="Z1024" i="7"/>
  <c r="Y1024" i="7"/>
  <c r="X1024" i="7"/>
  <c r="W1024" i="7"/>
  <c r="V1024" i="7"/>
  <c r="U1024" i="7"/>
  <c r="T1024" i="7"/>
  <c r="S1024" i="7"/>
  <c r="R1024" i="7"/>
  <c r="Q1024" i="7"/>
  <c r="P1024" i="7"/>
  <c r="O1024" i="7"/>
  <c r="M1024" i="7"/>
  <c r="L1024" i="7"/>
  <c r="K1024" i="7"/>
  <c r="J1024" i="7"/>
  <c r="I1024" i="7"/>
  <c r="H1024" i="7"/>
  <c r="G1024" i="7"/>
  <c r="F1024" i="7"/>
  <c r="E1024" i="7"/>
  <c r="AC1023" i="7"/>
  <c r="D1023" i="7" s="1"/>
  <c r="AC1022" i="7"/>
  <c r="D1022" i="7" s="1"/>
  <c r="AC1021" i="7"/>
  <c r="D1021" i="7" s="1"/>
  <c r="AC1020" i="7"/>
  <c r="D1020" i="7" s="1"/>
  <c r="AC1019" i="7"/>
  <c r="G1019" i="7"/>
  <c r="D1019" i="7"/>
  <c r="N1018" i="7"/>
  <c r="AC1018" i="7" s="1"/>
  <c r="AC1017" i="7"/>
  <c r="N1017" i="7"/>
  <c r="AE1016" i="7"/>
  <c r="AD1016" i="7"/>
  <c r="AB1016" i="7"/>
  <c r="AA1016" i="7"/>
  <c r="Z1016" i="7"/>
  <c r="Y1016" i="7"/>
  <c r="X1016" i="7"/>
  <c r="W1016" i="7"/>
  <c r="V1016" i="7"/>
  <c r="U1016" i="7"/>
  <c r="T1016" i="7"/>
  <c r="S1016" i="7"/>
  <c r="R1016" i="7"/>
  <c r="Q1016" i="7"/>
  <c r="P1016" i="7"/>
  <c r="O1016" i="7"/>
  <c r="N1016" i="7"/>
  <c r="M1016" i="7"/>
  <c r="L1016" i="7"/>
  <c r="K1016" i="7"/>
  <c r="J1016" i="7"/>
  <c r="I1016" i="7"/>
  <c r="H1016" i="7"/>
  <c r="G1016" i="7"/>
  <c r="F1016" i="7"/>
  <c r="E1016" i="7"/>
  <c r="AC1015" i="7"/>
  <c r="D1015" i="7"/>
  <c r="AE1014" i="7"/>
  <c r="AD1014" i="7"/>
  <c r="AC1014" i="7"/>
  <c r="AB1014" i="7"/>
  <c r="AA1014" i="7"/>
  <c r="Z1014" i="7"/>
  <c r="Y1014" i="7"/>
  <c r="X1014" i="7"/>
  <c r="W1014" i="7"/>
  <c r="V1014" i="7"/>
  <c r="U1014" i="7"/>
  <c r="T1014" i="7"/>
  <c r="S1014" i="7"/>
  <c r="R1014" i="7"/>
  <c r="Q1014" i="7"/>
  <c r="P1014" i="7"/>
  <c r="O1014" i="7"/>
  <c r="N1014" i="7"/>
  <c r="M1014" i="7"/>
  <c r="L1014" i="7"/>
  <c r="K1014" i="7"/>
  <c r="J1014" i="7"/>
  <c r="I1014" i="7"/>
  <c r="H1014" i="7"/>
  <c r="G1014" i="7"/>
  <c r="F1014" i="7"/>
  <c r="E1014" i="7"/>
  <c r="D1014" i="7"/>
  <c r="N1013" i="7"/>
  <c r="AC1013" i="7" s="1"/>
  <c r="AC1012" i="7" s="1"/>
  <c r="AE1012" i="7"/>
  <c r="AD1012" i="7"/>
  <c r="AB1012" i="7"/>
  <c r="AA1012" i="7"/>
  <c r="Z1012" i="7"/>
  <c r="Y1012" i="7"/>
  <c r="X1012" i="7"/>
  <c r="W1012" i="7"/>
  <c r="V1012" i="7"/>
  <c r="U1012" i="7"/>
  <c r="T1012" i="7"/>
  <c r="S1012" i="7"/>
  <c r="R1012" i="7"/>
  <c r="Q1012" i="7"/>
  <c r="P1012" i="7"/>
  <c r="O1012" i="7"/>
  <c r="M1012" i="7"/>
  <c r="L1012" i="7"/>
  <c r="K1012" i="7"/>
  <c r="J1012" i="7"/>
  <c r="I1012" i="7"/>
  <c r="H1012" i="7"/>
  <c r="G1012" i="7"/>
  <c r="F1012" i="7"/>
  <c r="E1012" i="7"/>
  <c r="AC1011" i="7"/>
  <c r="AE1010" i="7"/>
  <c r="AD1010" i="7"/>
  <c r="AB1010" i="7"/>
  <c r="AA1010" i="7"/>
  <c r="Z1010" i="7"/>
  <c r="Y1010" i="7"/>
  <c r="X1010" i="7"/>
  <c r="W1010" i="7"/>
  <c r="V1010" i="7"/>
  <c r="U1010" i="7"/>
  <c r="T1010" i="7"/>
  <c r="S1010" i="7"/>
  <c r="R1010" i="7"/>
  <c r="Q1010" i="7"/>
  <c r="P1010" i="7"/>
  <c r="O1010" i="7"/>
  <c r="N1010" i="7"/>
  <c r="M1010" i="7"/>
  <c r="L1010" i="7"/>
  <c r="K1010" i="7"/>
  <c r="J1010" i="7"/>
  <c r="I1010" i="7"/>
  <c r="H1010" i="7"/>
  <c r="G1010" i="7"/>
  <c r="F1010" i="7"/>
  <c r="E1010" i="7"/>
  <c r="AC1009" i="7"/>
  <c r="D1009" i="7" s="1"/>
  <c r="AC1008" i="7"/>
  <c r="D1008" i="7" s="1"/>
  <c r="N1008" i="7"/>
  <c r="AC1007" i="7"/>
  <c r="D1007" i="7"/>
  <c r="N1006" i="7"/>
  <c r="AC1006" i="7" s="1"/>
  <c r="AC1005" i="7"/>
  <c r="N1005" i="7"/>
  <c r="AE1004" i="7"/>
  <c r="AD1004" i="7"/>
  <c r="AB1004" i="7"/>
  <c r="AA1004" i="7"/>
  <c r="Z1004" i="7"/>
  <c r="Y1004" i="7"/>
  <c r="X1004" i="7"/>
  <c r="W1004" i="7"/>
  <c r="V1004" i="7"/>
  <c r="U1004" i="7"/>
  <c r="T1004" i="7"/>
  <c r="S1004" i="7"/>
  <c r="R1004" i="7"/>
  <c r="Q1004" i="7"/>
  <c r="P1004" i="7"/>
  <c r="O1004" i="7"/>
  <c r="N1004" i="7"/>
  <c r="M1004" i="7"/>
  <c r="L1004" i="7"/>
  <c r="K1004" i="7"/>
  <c r="J1004" i="7"/>
  <c r="I1004" i="7"/>
  <c r="H1004" i="7"/>
  <c r="G1004" i="7"/>
  <c r="F1004" i="7"/>
  <c r="E1004" i="7"/>
  <c r="N1003" i="7"/>
  <c r="AE1002" i="7"/>
  <c r="AD1002" i="7"/>
  <c r="AB1002" i="7"/>
  <c r="AA1002" i="7"/>
  <c r="Z1002" i="7"/>
  <c r="Y1002" i="7"/>
  <c r="X1002" i="7"/>
  <c r="W1002" i="7"/>
  <c r="V1002" i="7"/>
  <c r="U1002" i="7"/>
  <c r="T1002" i="7"/>
  <c r="S1002" i="7"/>
  <c r="R1002" i="7"/>
  <c r="Q1002" i="7"/>
  <c r="P1002" i="7"/>
  <c r="O1002" i="7"/>
  <c r="N1002" i="7"/>
  <c r="M1002" i="7"/>
  <c r="L1002" i="7"/>
  <c r="K1002" i="7"/>
  <c r="J1002" i="7"/>
  <c r="I1002" i="7"/>
  <c r="H1002" i="7"/>
  <c r="G1002" i="7"/>
  <c r="F1002" i="7"/>
  <c r="E1002" i="7"/>
  <c r="H1001" i="7"/>
  <c r="AE1000" i="7"/>
  <c r="AD1000" i="7"/>
  <c r="AB1000" i="7"/>
  <c r="AA1000" i="7"/>
  <c r="Z1000" i="7"/>
  <c r="Y1000" i="7"/>
  <c r="X1000" i="7"/>
  <c r="W1000" i="7"/>
  <c r="V1000" i="7"/>
  <c r="U1000" i="7"/>
  <c r="T1000" i="7"/>
  <c r="S1000" i="7"/>
  <c r="R1000" i="7"/>
  <c r="Q1000" i="7"/>
  <c r="P1000" i="7"/>
  <c r="O1000" i="7"/>
  <c r="N1000" i="7"/>
  <c r="M1000" i="7"/>
  <c r="L1000" i="7"/>
  <c r="K1000" i="7"/>
  <c r="J1000" i="7"/>
  <c r="I1000" i="7"/>
  <c r="G1000" i="7"/>
  <c r="F1000" i="7"/>
  <c r="E1000" i="7"/>
  <c r="N999" i="7"/>
  <c r="AC999" i="7" s="1"/>
  <c r="AE998" i="7"/>
  <c r="AD998" i="7"/>
  <c r="AB998" i="7"/>
  <c r="AB556" i="7" s="1"/>
  <c r="AA998" i="7"/>
  <c r="Z998" i="7"/>
  <c r="Y998" i="7"/>
  <c r="X998" i="7"/>
  <c r="W998" i="7"/>
  <c r="V998" i="7"/>
  <c r="U998" i="7"/>
  <c r="T998" i="7"/>
  <c r="S998" i="7"/>
  <c r="R998" i="7"/>
  <c r="Q998" i="7"/>
  <c r="P998" i="7"/>
  <c r="P556" i="7" s="1"/>
  <c r="O998" i="7"/>
  <c r="M998" i="7"/>
  <c r="L998" i="7"/>
  <c r="K998" i="7"/>
  <c r="J998" i="7"/>
  <c r="I998" i="7"/>
  <c r="H998" i="7"/>
  <c r="G998" i="7"/>
  <c r="F998" i="7"/>
  <c r="E998" i="7"/>
  <c r="AC997" i="7"/>
  <c r="AC996" i="7" s="1"/>
  <c r="N997" i="7"/>
  <c r="AE996" i="7"/>
  <c r="AD996" i="7"/>
  <c r="AB996" i="7"/>
  <c r="AA996" i="7"/>
  <c r="Z996" i="7"/>
  <c r="Y996" i="7"/>
  <c r="X996" i="7"/>
  <c r="W996" i="7"/>
  <c r="V996" i="7"/>
  <c r="U996" i="7"/>
  <c r="T996" i="7"/>
  <c r="S996" i="7"/>
  <c r="R996" i="7"/>
  <c r="Q996" i="7"/>
  <c r="P996" i="7"/>
  <c r="O996" i="7"/>
  <c r="N996" i="7"/>
  <c r="M996" i="7"/>
  <c r="L996" i="7"/>
  <c r="K996" i="7"/>
  <c r="J996" i="7"/>
  <c r="I996" i="7"/>
  <c r="H996" i="7"/>
  <c r="G996" i="7"/>
  <c r="F996" i="7"/>
  <c r="E996" i="7"/>
  <c r="AC995" i="7"/>
  <c r="R995" i="7"/>
  <c r="R992" i="7" s="1"/>
  <c r="N995" i="7"/>
  <c r="AC994" i="7"/>
  <c r="N994" i="7"/>
  <c r="D994" i="7" s="1"/>
  <c r="AC993" i="7"/>
  <c r="D993" i="7"/>
  <c r="AE992" i="7"/>
  <c r="AD992" i="7"/>
  <c r="AB992" i="7"/>
  <c r="AA992" i="7"/>
  <c r="Z992" i="7"/>
  <c r="Y992" i="7"/>
  <c r="X992" i="7"/>
  <c r="W992" i="7"/>
  <c r="V992" i="7"/>
  <c r="U992" i="7"/>
  <c r="T992" i="7"/>
  <c r="S992" i="7"/>
  <c r="Q992" i="7"/>
  <c r="P992" i="7"/>
  <c r="O992" i="7"/>
  <c r="M992" i="7"/>
  <c r="L992" i="7"/>
  <c r="K992" i="7"/>
  <c r="J992" i="7"/>
  <c r="I992" i="7"/>
  <c r="H992" i="7"/>
  <c r="G992" i="7"/>
  <c r="F992" i="7"/>
  <c r="E992" i="7"/>
  <c r="AC991" i="7"/>
  <c r="D991" i="7" s="1"/>
  <c r="AC990" i="7"/>
  <c r="D990" i="7"/>
  <c r="AC989" i="7"/>
  <c r="D989" i="7" s="1"/>
  <c r="N989" i="7"/>
  <c r="AC988" i="7"/>
  <c r="AC985" i="7" s="1"/>
  <c r="N988" i="7"/>
  <c r="AC987" i="7"/>
  <c r="D987" i="7"/>
  <c r="AC986" i="7"/>
  <c r="D986" i="7" s="1"/>
  <c r="AE985" i="7"/>
  <c r="AD985" i="7"/>
  <c r="AB985" i="7"/>
  <c r="AA985" i="7"/>
  <c r="Z985" i="7"/>
  <c r="Y985" i="7"/>
  <c r="X985" i="7"/>
  <c r="W985" i="7"/>
  <c r="V985" i="7"/>
  <c r="U985" i="7"/>
  <c r="T985" i="7"/>
  <c r="S985" i="7"/>
  <c r="R985" i="7"/>
  <c r="Q985" i="7"/>
  <c r="P985" i="7"/>
  <c r="O985" i="7"/>
  <c r="N985" i="7"/>
  <c r="M985" i="7"/>
  <c r="L985" i="7"/>
  <c r="K985" i="7"/>
  <c r="J985" i="7"/>
  <c r="I985" i="7"/>
  <c r="H985" i="7"/>
  <c r="G985" i="7"/>
  <c r="F985" i="7"/>
  <c r="E985" i="7"/>
  <c r="N984" i="7"/>
  <c r="AC983" i="7"/>
  <c r="D983" i="7"/>
  <c r="AC982" i="7"/>
  <c r="D982" i="7" s="1"/>
  <c r="AC981" i="7"/>
  <c r="D981" i="7"/>
  <c r="AC980" i="7"/>
  <c r="N980" i="7"/>
  <c r="D980" i="7" s="1"/>
  <c r="AE979" i="7"/>
  <c r="AD979" i="7"/>
  <c r="AB979" i="7"/>
  <c r="AA979" i="7"/>
  <c r="Z979" i="7"/>
  <c r="Y979" i="7"/>
  <c r="X979" i="7"/>
  <c r="W979" i="7"/>
  <c r="V979" i="7"/>
  <c r="U979" i="7"/>
  <c r="T979" i="7"/>
  <c r="S979" i="7"/>
  <c r="R979" i="7"/>
  <c r="Q979" i="7"/>
  <c r="P979" i="7"/>
  <c r="O979" i="7"/>
  <c r="N979" i="7"/>
  <c r="M979" i="7"/>
  <c r="L979" i="7"/>
  <c r="K979" i="7"/>
  <c r="J979" i="7"/>
  <c r="I979" i="7"/>
  <c r="H979" i="7"/>
  <c r="G979" i="7"/>
  <c r="F979" i="7"/>
  <c r="E979" i="7"/>
  <c r="N978" i="7"/>
  <c r="U977" i="7"/>
  <c r="AC977" i="7" s="1"/>
  <c r="D977" i="7"/>
  <c r="AC976" i="7"/>
  <c r="N976" i="7"/>
  <c r="AE975" i="7"/>
  <c r="AD975" i="7"/>
  <c r="AB975" i="7"/>
  <c r="AA975" i="7"/>
  <c r="Z975" i="7"/>
  <c r="Y975" i="7"/>
  <c r="X975" i="7"/>
  <c r="W975" i="7"/>
  <c r="V975" i="7"/>
  <c r="T975" i="7"/>
  <c r="S975" i="7"/>
  <c r="R975" i="7"/>
  <c r="Q975" i="7"/>
  <c r="P975" i="7"/>
  <c r="O975" i="7"/>
  <c r="M975" i="7"/>
  <c r="L975" i="7"/>
  <c r="K975" i="7"/>
  <c r="J975" i="7"/>
  <c r="I975" i="7"/>
  <c r="H975" i="7"/>
  <c r="G975" i="7"/>
  <c r="F975" i="7"/>
  <c r="E975" i="7"/>
  <c r="AC974" i="7"/>
  <c r="AC973" i="7" s="1"/>
  <c r="N974" i="7"/>
  <c r="D974" i="7" s="1"/>
  <c r="D973" i="7" s="1"/>
  <c r="AE973" i="7"/>
  <c r="AD973" i="7"/>
  <c r="AB973" i="7"/>
  <c r="AA973" i="7"/>
  <c r="Z973" i="7"/>
  <c r="Y973" i="7"/>
  <c r="X973" i="7"/>
  <c r="W973" i="7"/>
  <c r="V973" i="7"/>
  <c r="U973" i="7"/>
  <c r="T973" i="7"/>
  <c r="S973" i="7"/>
  <c r="R973" i="7"/>
  <c r="Q973" i="7"/>
  <c r="P973" i="7"/>
  <c r="O973" i="7"/>
  <c r="N973" i="7"/>
  <c r="M973" i="7"/>
  <c r="L973" i="7"/>
  <c r="K973" i="7"/>
  <c r="J973" i="7"/>
  <c r="I973" i="7"/>
  <c r="H973" i="7"/>
  <c r="G973" i="7"/>
  <c r="F973" i="7"/>
  <c r="E973" i="7"/>
  <c r="N972" i="7"/>
  <c r="AE971" i="7"/>
  <c r="AD971" i="7"/>
  <c r="AB971" i="7"/>
  <c r="AA971" i="7"/>
  <c r="Z971" i="7"/>
  <c r="Y971" i="7"/>
  <c r="X971" i="7"/>
  <c r="W971" i="7"/>
  <c r="V971" i="7"/>
  <c r="U971" i="7"/>
  <c r="T971" i="7"/>
  <c r="S971" i="7"/>
  <c r="R971" i="7"/>
  <c r="Q971" i="7"/>
  <c r="P971" i="7"/>
  <c r="O971" i="7"/>
  <c r="M971" i="7"/>
  <c r="L971" i="7"/>
  <c r="K971" i="7"/>
  <c r="J971" i="7"/>
  <c r="I971" i="7"/>
  <c r="H971" i="7"/>
  <c r="G971" i="7"/>
  <c r="F971" i="7"/>
  <c r="E971" i="7"/>
  <c r="N970" i="7"/>
  <c r="AC970" i="7" s="1"/>
  <c r="AC969" i="7" s="1"/>
  <c r="D970" i="7"/>
  <c r="D969" i="7" s="1"/>
  <c r="AE969" i="7"/>
  <c r="AD969" i="7"/>
  <c r="AB969" i="7"/>
  <c r="AA969" i="7"/>
  <c r="Z969" i="7"/>
  <c r="Y969" i="7"/>
  <c r="X969" i="7"/>
  <c r="W969" i="7"/>
  <c r="V969" i="7"/>
  <c r="U969" i="7"/>
  <c r="T969" i="7"/>
  <c r="S969" i="7"/>
  <c r="R969" i="7"/>
  <c r="Q969" i="7"/>
  <c r="P969" i="7"/>
  <c r="O969" i="7"/>
  <c r="M969" i="7"/>
  <c r="L969" i="7"/>
  <c r="K969" i="7"/>
  <c r="J969" i="7"/>
  <c r="I969" i="7"/>
  <c r="H969" i="7"/>
  <c r="G969" i="7"/>
  <c r="F969" i="7"/>
  <c r="E969" i="7"/>
  <c r="AC968" i="7"/>
  <c r="D968" i="7" s="1"/>
  <c r="N967" i="7"/>
  <c r="AE966" i="7"/>
  <c r="AD966" i="7"/>
  <c r="AB966" i="7"/>
  <c r="AA966" i="7"/>
  <c r="Z966" i="7"/>
  <c r="Y966" i="7"/>
  <c r="X966" i="7"/>
  <c r="W966" i="7"/>
  <c r="V966" i="7"/>
  <c r="U966" i="7"/>
  <c r="T966" i="7"/>
  <c r="S966" i="7"/>
  <c r="R966" i="7"/>
  <c r="Q966" i="7"/>
  <c r="P966" i="7"/>
  <c r="O966" i="7"/>
  <c r="M966" i="7"/>
  <c r="L966" i="7"/>
  <c r="K966" i="7"/>
  <c r="J966" i="7"/>
  <c r="I966" i="7"/>
  <c r="H966" i="7"/>
  <c r="G966" i="7"/>
  <c r="F966" i="7"/>
  <c r="E966" i="7"/>
  <c r="N965" i="7"/>
  <c r="AC965" i="7" s="1"/>
  <c r="AC964" i="7" s="1"/>
  <c r="D965" i="7"/>
  <c r="D964" i="7" s="1"/>
  <c r="AE964" i="7"/>
  <c r="AD964" i="7"/>
  <c r="AB964" i="7"/>
  <c r="AA964" i="7"/>
  <c r="Z964" i="7"/>
  <c r="Y964" i="7"/>
  <c r="X964" i="7"/>
  <c r="W964" i="7"/>
  <c r="V964" i="7"/>
  <c r="U964" i="7"/>
  <c r="T964" i="7"/>
  <c r="S964" i="7"/>
  <c r="R964" i="7"/>
  <c r="Q964" i="7"/>
  <c r="P964" i="7"/>
  <c r="O964" i="7"/>
  <c r="M964" i="7"/>
  <c r="L964" i="7"/>
  <c r="K964" i="7"/>
  <c r="J964" i="7"/>
  <c r="I964" i="7"/>
  <c r="H964" i="7"/>
  <c r="G964" i="7"/>
  <c r="F964" i="7"/>
  <c r="E964" i="7"/>
  <c r="AC963" i="7"/>
  <c r="D963" i="7" s="1"/>
  <c r="N962" i="7"/>
  <c r="N961" i="7"/>
  <c r="AC961" i="7" s="1"/>
  <c r="AE960" i="7"/>
  <c r="AD960" i="7"/>
  <c r="AB960" i="7"/>
  <c r="AA960" i="7"/>
  <c r="Z960" i="7"/>
  <c r="Y960" i="7"/>
  <c r="X960" i="7"/>
  <c r="W960" i="7"/>
  <c r="V960" i="7"/>
  <c r="U960" i="7"/>
  <c r="T960" i="7"/>
  <c r="S960" i="7"/>
  <c r="R960" i="7"/>
  <c r="Q960" i="7"/>
  <c r="P960" i="7"/>
  <c r="O960" i="7"/>
  <c r="M960" i="7"/>
  <c r="L960" i="7"/>
  <c r="K960" i="7"/>
  <c r="J960" i="7"/>
  <c r="I960" i="7"/>
  <c r="H960" i="7"/>
  <c r="G960" i="7"/>
  <c r="F960" i="7"/>
  <c r="E960" i="7"/>
  <c r="AC959" i="7"/>
  <c r="D959" i="7" s="1"/>
  <c r="AC958" i="7"/>
  <c r="D958" i="7"/>
  <c r="AC957" i="7"/>
  <c r="D957" i="7" s="1"/>
  <c r="AC956" i="7"/>
  <c r="D956" i="7"/>
  <c r="AC955" i="7"/>
  <c r="D955" i="7" s="1"/>
  <c r="AC954" i="7"/>
  <c r="D954" i="7"/>
  <c r="AC953" i="7"/>
  <c r="D953" i="7" s="1"/>
  <c r="N953" i="7"/>
  <c r="AC952" i="7"/>
  <c r="AC951" i="7" s="1"/>
  <c r="N952" i="7"/>
  <c r="D952" i="7" s="1"/>
  <c r="D951" i="7" s="1"/>
  <c r="AE951" i="7"/>
  <c r="AD951" i="7"/>
  <c r="AB951" i="7"/>
  <c r="AA951" i="7"/>
  <c r="Z951" i="7"/>
  <c r="Y951" i="7"/>
  <c r="X951" i="7"/>
  <c r="W951" i="7"/>
  <c r="V951" i="7"/>
  <c r="U951" i="7"/>
  <c r="T951" i="7"/>
  <c r="S951" i="7"/>
  <c r="R951" i="7"/>
  <c r="Q951" i="7"/>
  <c r="P951" i="7"/>
  <c r="O951" i="7"/>
  <c r="N951" i="7"/>
  <c r="M951" i="7"/>
  <c r="L951" i="7"/>
  <c r="K951" i="7"/>
  <c r="J951" i="7"/>
  <c r="I951" i="7"/>
  <c r="H951" i="7"/>
  <c r="G951" i="7"/>
  <c r="F951" i="7"/>
  <c r="E951" i="7"/>
  <c r="N950" i="7"/>
  <c r="AE949" i="7"/>
  <c r="AD949" i="7"/>
  <c r="AB949" i="7"/>
  <c r="AA949" i="7"/>
  <c r="Z949" i="7"/>
  <c r="Y949" i="7"/>
  <c r="X949" i="7"/>
  <c r="W949" i="7"/>
  <c r="V949" i="7"/>
  <c r="U949" i="7"/>
  <c r="T949" i="7"/>
  <c r="S949" i="7"/>
  <c r="R949" i="7"/>
  <c r="Q949" i="7"/>
  <c r="P949" i="7"/>
  <c r="O949" i="7"/>
  <c r="M949" i="7"/>
  <c r="L949" i="7"/>
  <c r="K949" i="7"/>
  <c r="J949" i="7"/>
  <c r="I949" i="7"/>
  <c r="H949" i="7"/>
  <c r="G949" i="7"/>
  <c r="F949" i="7"/>
  <c r="E949" i="7"/>
  <c r="H948" i="7"/>
  <c r="AC948" i="7" s="1"/>
  <c r="D948" i="7"/>
  <c r="AC947" i="7"/>
  <c r="D947" i="7" s="1"/>
  <c r="N947" i="7"/>
  <c r="AC946" i="7"/>
  <c r="AC945" i="7" s="1"/>
  <c r="N946" i="7"/>
  <c r="D946" i="7" s="1"/>
  <c r="AE945" i="7"/>
  <c r="AD945" i="7"/>
  <c r="AB945" i="7"/>
  <c r="AA945" i="7"/>
  <c r="Z945" i="7"/>
  <c r="Y945" i="7"/>
  <c r="X945" i="7"/>
  <c r="W945" i="7"/>
  <c r="V945" i="7"/>
  <c r="U945" i="7"/>
  <c r="T945" i="7"/>
  <c r="S945" i="7"/>
  <c r="R945" i="7"/>
  <c r="Q945" i="7"/>
  <c r="P945" i="7"/>
  <c r="O945" i="7"/>
  <c r="N945" i="7"/>
  <c r="M945" i="7"/>
  <c r="L945" i="7"/>
  <c r="K945" i="7"/>
  <c r="J945" i="7"/>
  <c r="I945" i="7"/>
  <c r="G945" i="7"/>
  <c r="F945" i="7"/>
  <c r="E945" i="7"/>
  <c r="G944" i="7"/>
  <c r="N943" i="7"/>
  <c r="AC943" i="7" s="1"/>
  <c r="D943" i="7"/>
  <c r="AC942" i="7"/>
  <c r="D942" i="7" s="1"/>
  <c r="N942" i="7"/>
  <c r="AC941" i="7"/>
  <c r="N941" i="7"/>
  <c r="D941" i="7" s="1"/>
  <c r="AC940" i="7"/>
  <c r="D940" i="7"/>
  <c r="AE939" i="7"/>
  <c r="AD939" i="7"/>
  <c r="AB939" i="7"/>
  <c r="AA939" i="7"/>
  <c r="Z939" i="7"/>
  <c r="Y939" i="7"/>
  <c r="X939" i="7"/>
  <c r="W939" i="7"/>
  <c r="V939" i="7"/>
  <c r="U939" i="7"/>
  <c r="T939" i="7"/>
  <c r="S939" i="7"/>
  <c r="R939" i="7"/>
  <c r="Q939" i="7"/>
  <c r="P939" i="7"/>
  <c r="O939" i="7"/>
  <c r="M939" i="7"/>
  <c r="L939" i="7"/>
  <c r="K939" i="7"/>
  <c r="J939" i="7"/>
  <c r="I939" i="7"/>
  <c r="H939" i="7"/>
  <c r="F939" i="7"/>
  <c r="E939" i="7"/>
  <c r="AC938" i="7"/>
  <c r="D938" i="7" s="1"/>
  <c r="N938" i="7"/>
  <c r="AC937" i="7"/>
  <c r="D937" i="7" s="1"/>
  <c r="AE936" i="7"/>
  <c r="AD936" i="7"/>
  <c r="AC936" i="7"/>
  <c r="AB936" i="7"/>
  <c r="AA936" i="7"/>
  <c r="Z936" i="7"/>
  <c r="Y936" i="7"/>
  <c r="X936" i="7"/>
  <c r="W936" i="7"/>
  <c r="V936" i="7"/>
  <c r="U936" i="7"/>
  <c r="T936" i="7"/>
  <c r="S936" i="7"/>
  <c r="R936" i="7"/>
  <c r="Q936" i="7"/>
  <c r="P936" i="7"/>
  <c r="O936" i="7"/>
  <c r="N936" i="7"/>
  <c r="M936" i="7"/>
  <c r="L936" i="7"/>
  <c r="K936" i="7"/>
  <c r="J936" i="7"/>
  <c r="I936" i="7"/>
  <c r="H936" i="7"/>
  <c r="G936" i="7"/>
  <c r="F936" i="7"/>
  <c r="E936" i="7"/>
  <c r="N935" i="7"/>
  <c r="AC935" i="7" s="1"/>
  <c r="D935" i="7" s="1"/>
  <c r="AC934" i="7"/>
  <c r="D934" i="7" s="1"/>
  <c r="N934" i="7"/>
  <c r="AC933" i="7"/>
  <c r="D933" i="7" s="1"/>
  <c r="N932" i="7"/>
  <c r="AC932" i="7" s="1"/>
  <c r="D932" i="7"/>
  <c r="D931" i="7" s="1"/>
  <c r="AE931" i="7"/>
  <c r="AD931" i="7"/>
  <c r="AB931" i="7"/>
  <c r="AA931" i="7"/>
  <c r="Z931" i="7"/>
  <c r="Y931" i="7"/>
  <c r="X931" i="7"/>
  <c r="W931" i="7"/>
  <c r="V931" i="7"/>
  <c r="U931" i="7"/>
  <c r="T931" i="7"/>
  <c r="S931" i="7"/>
  <c r="R931" i="7"/>
  <c r="Q931" i="7"/>
  <c r="P931" i="7"/>
  <c r="O931" i="7"/>
  <c r="M931" i="7"/>
  <c r="L931" i="7"/>
  <c r="K931" i="7"/>
  <c r="J931" i="7"/>
  <c r="I931" i="7"/>
  <c r="H931" i="7"/>
  <c r="G931" i="7"/>
  <c r="F931" i="7"/>
  <c r="E931" i="7"/>
  <c r="AC930" i="7"/>
  <c r="AC929" i="7" s="1"/>
  <c r="N930" i="7"/>
  <c r="AE929" i="7"/>
  <c r="AD929" i="7"/>
  <c r="AB929" i="7"/>
  <c r="AA929" i="7"/>
  <c r="Z929" i="7"/>
  <c r="Y929" i="7"/>
  <c r="X929" i="7"/>
  <c r="W929" i="7"/>
  <c r="V929" i="7"/>
  <c r="U929" i="7"/>
  <c r="T929" i="7"/>
  <c r="S929" i="7"/>
  <c r="R929" i="7"/>
  <c r="Q929" i="7"/>
  <c r="P929" i="7"/>
  <c r="O929" i="7"/>
  <c r="N929" i="7"/>
  <c r="M929" i="7"/>
  <c r="L929" i="7"/>
  <c r="K929" i="7"/>
  <c r="J929" i="7"/>
  <c r="I929" i="7"/>
  <c r="H929" i="7"/>
  <c r="G929" i="7"/>
  <c r="F929" i="7"/>
  <c r="E929" i="7"/>
  <c r="AC928" i="7"/>
  <c r="AC927" i="7" s="1"/>
  <c r="N928" i="7"/>
  <c r="D928" i="7" s="1"/>
  <c r="D927" i="7" s="1"/>
  <c r="AE927" i="7"/>
  <c r="AD927" i="7"/>
  <c r="AB927" i="7"/>
  <c r="AA927" i="7"/>
  <c r="Z927" i="7"/>
  <c r="Y927" i="7"/>
  <c r="X927" i="7"/>
  <c r="W927" i="7"/>
  <c r="V927" i="7"/>
  <c r="U927" i="7"/>
  <c r="T927" i="7"/>
  <c r="S927" i="7"/>
  <c r="R927" i="7"/>
  <c r="Q927" i="7"/>
  <c r="P927" i="7"/>
  <c r="O927" i="7"/>
  <c r="N927" i="7"/>
  <c r="M927" i="7"/>
  <c r="L927" i="7"/>
  <c r="K927" i="7"/>
  <c r="J927" i="7"/>
  <c r="I927" i="7"/>
  <c r="H927" i="7"/>
  <c r="G927" i="7"/>
  <c r="F927" i="7"/>
  <c r="E927" i="7"/>
  <c r="N926" i="7"/>
  <c r="AE925" i="7"/>
  <c r="AD925" i="7"/>
  <c r="AB925" i="7"/>
  <c r="AA925" i="7"/>
  <c r="Z925" i="7"/>
  <c r="Y925" i="7"/>
  <c r="X925" i="7"/>
  <c r="W925" i="7"/>
  <c r="V925" i="7"/>
  <c r="U925" i="7"/>
  <c r="T925" i="7"/>
  <c r="S925" i="7"/>
  <c r="R925" i="7"/>
  <c r="Q925" i="7"/>
  <c r="P925" i="7"/>
  <c r="O925" i="7"/>
  <c r="M925" i="7"/>
  <c r="L925" i="7"/>
  <c r="K925" i="7"/>
  <c r="J925" i="7"/>
  <c r="I925" i="7"/>
  <c r="H925" i="7"/>
  <c r="G925" i="7"/>
  <c r="F925" i="7"/>
  <c r="E925" i="7"/>
  <c r="AC924" i="7"/>
  <c r="D924" i="7"/>
  <c r="AE923" i="7"/>
  <c r="AD923" i="7"/>
  <c r="AC923" i="7"/>
  <c r="AB923" i="7"/>
  <c r="AA923" i="7"/>
  <c r="Z923" i="7"/>
  <c r="Y923" i="7"/>
  <c r="X923" i="7"/>
  <c r="W923" i="7"/>
  <c r="V923" i="7"/>
  <c r="U923" i="7"/>
  <c r="T923" i="7"/>
  <c r="S923" i="7"/>
  <c r="R923" i="7"/>
  <c r="Q923" i="7"/>
  <c r="P923" i="7"/>
  <c r="O923" i="7"/>
  <c r="N923" i="7"/>
  <c r="M923" i="7"/>
  <c r="L923" i="7"/>
  <c r="K923" i="7"/>
  <c r="J923" i="7"/>
  <c r="I923" i="7"/>
  <c r="H923" i="7"/>
  <c r="G923" i="7"/>
  <c r="F923" i="7"/>
  <c r="E923" i="7"/>
  <c r="D923" i="7"/>
  <c r="AC922" i="7"/>
  <c r="N922" i="7"/>
  <c r="D922" i="7" s="1"/>
  <c r="AC921" i="7"/>
  <c r="D921" i="7"/>
  <c r="AC920" i="7"/>
  <c r="D920" i="7" s="1"/>
  <c r="N920" i="7"/>
  <c r="AC919" i="7"/>
  <c r="N919" i="7"/>
  <c r="AE918" i="7"/>
  <c r="AD918" i="7"/>
  <c r="AB918" i="7"/>
  <c r="AA918" i="7"/>
  <c r="Z918" i="7"/>
  <c r="Y918" i="7"/>
  <c r="X918" i="7"/>
  <c r="W918" i="7"/>
  <c r="V918" i="7"/>
  <c r="U918" i="7"/>
  <c r="T918" i="7"/>
  <c r="S918" i="7"/>
  <c r="R918" i="7"/>
  <c r="Q918" i="7"/>
  <c r="P918" i="7"/>
  <c r="O918" i="7"/>
  <c r="N918" i="7"/>
  <c r="M918" i="7"/>
  <c r="L918" i="7"/>
  <c r="K918" i="7"/>
  <c r="J918" i="7"/>
  <c r="I918" i="7"/>
  <c r="H918" i="7"/>
  <c r="G918" i="7"/>
  <c r="F918" i="7"/>
  <c r="E918" i="7"/>
  <c r="AC917" i="7"/>
  <c r="D917" i="7"/>
  <c r="AE916" i="7"/>
  <c r="AD916" i="7"/>
  <c r="AC916" i="7"/>
  <c r="AB916" i="7"/>
  <c r="AA916" i="7"/>
  <c r="Z916" i="7"/>
  <c r="Y916" i="7"/>
  <c r="X916" i="7"/>
  <c r="W916" i="7"/>
  <c r="V916" i="7"/>
  <c r="U916" i="7"/>
  <c r="T916" i="7"/>
  <c r="S916" i="7"/>
  <c r="R916" i="7"/>
  <c r="Q916" i="7"/>
  <c r="P916" i="7"/>
  <c r="O916" i="7"/>
  <c r="N916" i="7"/>
  <c r="M916" i="7"/>
  <c r="L916" i="7"/>
  <c r="K916" i="7"/>
  <c r="J916" i="7"/>
  <c r="I916" i="7"/>
  <c r="H916" i="7"/>
  <c r="G916" i="7"/>
  <c r="F916" i="7"/>
  <c r="E916" i="7"/>
  <c r="D916" i="7"/>
  <c r="AC915" i="7"/>
  <c r="D915" i="7" s="1"/>
  <c r="N914" i="7"/>
  <c r="N913" i="7"/>
  <c r="AC913" i="7" s="1"/>
  <c r="D913" i="7" s="1"/>
  <c r="AE912" i="7"/>
  <c r="AD912" i="7"/>
  <c r="AB912" i="7"/>
  <c r="AA912" i="7"/>
  <c r="Z912" i="7"/>
  <c r="Y912" i="7"/>
  <c r="X912" i="7"/>
  <c r="W912" i="7"/>
  <c r="V912" i="7"/>
  <c r="U912" i="7"/>
  <c r="T912" i="7"/>
  <c r="S912" i="7"/>
  <c r="R912" i="7"/>
  <c r="Q912" i="7"/>
  <c r="P912" i="7"/>
  <c r="O912" i="7"/>
  <c r="M912" i="7"/>
  <c r="L912" i="7"/>
  <c r="K912" i="7"/>
  <c r="J912" i="7"/>
  <c r="I912" i="7"/>
  <c r="H912" i="7"/>
  <c r="G912" i="7"/>
  <c r="F912" i="7"/>
  <c r="E912" i="7"/>
  <c r="AC911" i="7"/>
  <c r="D911" i="7" s="1"/>
  <c r="N910" i="7"/>
  <c r="AC909" i="7"/>
  <c r="D909" i="7"/>
  <c r="AC908" i="7"/>
  <c r="D908" i="7" s="1"/>
  <c r="AC907" i="7"/>
  <c r="D907" i="7"/>
  <c r="AC906" i="7"/>
  <c r="D906" i="7" s="1"/>
  <c r="N905" i="7"/>
  <c r="AC905" i="7" s="1"/>
  <c r="D905" i="7" s="1"/>
  <c r="AC904" i="7"/>
  <c r="N904" i="7"/>
  <c r="AE903" i="7"/>
  <c r="AD903" i="7"/>
  <c r="AB903" i="7"/>
  <c r="AA903" i="7"/>
  <c r="Z903" i="7"/>
  <c r="Y903" i="7"/>
  <c r="X903" i="7"/>
  <c r="W903" i="7"/>
  <c r="V903" i="7"/>
  <c r="U903" i="7"/>
  <c r="T903" i="7"/>
  <c r="S903" i="7"/>
  <c r="R903" i="7"/>
  <c r="Q903" i="7"/>
  <c r="P903" i="7"/>
  <c r="O903" i="7"/>
  <c r="M903" i="7"/>
  <c r="L903" i="7"/>
  <c r="K903" i="7"/>
  <c r="J903" i="7"/>
  <c r="I903" i="7"/>
  <c r="H903" i="7"/>
  <c r="G903" i="7"/>
  <c r="F903" i="7"/>
  <c r="E903" i="7"/>
  <c r="AC902" i="7"/>
  <c r="AC900" i="7" s="1"/>
  <c r="N902" i="7"/>
  <c r="D902" i="7" s="1"/>
  <c r="AC901" i="7"/>
  <c r="D901" i="7"/>
  <c r="AE900" i="7"/>
  <c r="AD900" i="7"/>
  <c r="AB900" i="7"/>
  <c r="AA900" i="7"/>
  <c r="Z900" i="7"/>
  <c r="Y900" i="7"/>
  <c r="X900" i="7"/>
  <c r="W900" i="7"/>
  <c r="V900" i="7"/>
  <c r="U900" i="7"/>
  <c r="T900" i="7"/>
  <c r="S900" i="7"/>
  <c r="R900" i="7"/>
  <c r="Q900" i="7"/>
  <c r="P900" i="7"/>
  <c r="O900" i="7"/>
  <c r="M900" i="7"/>
  <c r="L900" i="7"/>
  <c r="K900" i="7"/>
  <c r="J900" i="7"/>
  <c r="I900" i="7"/>
  <c r="H900" i="7"/>
  <c r="G900" i="7"/>
  <c r="F900" i="7"/>
  <c r="E900" i="7"/>
  <c r="D900" i="7"/>
  <c r="AD899" i="7"/>
  <c r="D899" i="7" s="1"/>
  <c r="AC899" i="7"/>
  <c r="AC898" i="7"/>
  <c r="D898" i="7" s="1"/>
  <c r="AE897" i="7"/>
  <c r="AC897" i="7"/>
  <c r="AB897" i="7"/>
  <c r="AA897" i="7"/>
  <c r="Z897" i="7"/>
  <c r="Y897" i="7"/>
  <c r="X897" i="7"/>
  <c r="W897" i="7"/>
  <c r="V897" i="7"/>
  <c r="U897" i="7"/>
  <c r="T897" i="7"/>
  <c r="S897" i="7"/>
  <c r="R897" i="7"/>
  <c r="Q897" i="7"/>
  <c r="P897" i="7"/>
  <c r="O897" i="7"/>
  <c r="N897" i="7"/>
  <c r="M897" i="7"/>
  <c r="L897" i="7"/>
  <c r="K897" i="7"/>
  <c r="J897" i="7"/>
  <c r="I897" i="7"/>
  <c r="H897" i="7"/>
  <c r="G897" i="7"/>
  <c r="F897" i="7"/>
  <c r="E897" i="7"/>
  <c r="AC896" i="7"/>
  <c r="D896" i="7"/>
  <c r="AC895" i="7"/>
  <c r="D895" i="7" s="1"/>
  <c r="D894" i="7" s="1"/>
  <c r="AE894" i="7"/>
  <c r="AD894" i="7"/>
  <c r="AB894" i="7"/>
  <c r="AA894" i="7"/>
  <c r="Z894" i="7"/>
  <c r="Y894" i="7"/>
  <c r="X894" i="7"/>
  <c r="W894" i="7"/>
  <c r="V894" i="7"/>
  <c r="U894" i="7"/>
  <c r="T894" i="7"/>
  <c r="S894" i="7"/>
  <c r="R894" i="7"/>
  <c r="Q894" i="7"/>
  <c r="P894" i="7"/>
  <c r="O894" i="7"/>
  <c r="N894" i="7"/>
  <c r="M894" i="7"/>
  <c r="L894" i="7"/>
  <c r="K894" i="7"/>
  <c r="J894" i="7"/>
  <c r="I894" i="7"/>
  <c r="H894" i="7"/>
  <c r="G894" i="7"/>
  <c r="F894" i="7"/>
  <c r="E894" i="7"/>
  <c r="AC893" i="7"/>
  <c r="D893" i="7"/>
  <c r="AC892" i="7"/>
  <c r="AC891" i="7"/>
  <c r="D891" i="7"/>
  <c r="AE890" i="7"/>
  <c r="AD890" i="7"/>
  <c r="AB890" i="7"/>
  <c r="AA890" i="7"/>
  <c r="Z890" i="7"/>
  <c r="Y890" i="7"/>
  <c r="X890" i="7"/>
  <c r="W890" i="7"/>
  <c r="V890" i="7"/>
  <c r="U890" i="7"/>
  <c r="T890" i="7"/>
  <c r="S890" i="7"/>
  <c r="R890" i="7"/>
  <c r="Q890" i="7"/>
  <c r="P890" i="7"/>
  <c r="O890" i="7"/>
  <c r="N890" i="7"/>
  <c r="M890" i="7"/>
  <c r="L890" i="7"/>
  <c r="K890" i="7"/>
  <c r="J890" i="7"/>
  <c r="I890" i="7"/>
  <c r="H890" i="7"/>
  <c r="G890" i="7"/>
  <c r="F890" i="7"/>
  <c r="E890" i="7"/>
  <c r="AC889" i="7"/>
  <c r="N889" i="7"/>
  <c r="D889" i="7" s="1"/>
  <c r="U888" i="7"/>
  <c r="AE887" i="7"/>
  <c r="AD887" i="7"/>
  <c r="AB887" i="7"/>
  <c r="AA887" i="7"/>
  <c r="Z887" i="7"/>
  <c r="Y887" i="7"/>
  <c r="X887" i="7"/>
  <c r="W887" i="7"/>
  <c r="V887" i="7"/>
  <c r="T887" i="7"/>
  <c r="S887" i="7"/>
  <c r="R887" i="7"/>
  <c r="Q887" i="7"/>
  <c r="P887" i="7"/>
  <c r="O887" i="7"/>
  <c r="M887" i="7"/>
  <c r="L887" i="7"/>
  <c r="K887" i="7"/>
  <c r="J887" i="7"/>
  <c r="I887" i="7"/>
  <c r="H887" i="7"/>
  <c r="G887" i="7"/>
  <c r="F887" i="7"/>
  <c r="E887" i="7"/>
  <c r="N886" i="7"/>
  <c r="AC886" i="7" s="1"/>
  <c r="D886" i="7"/>
  <c r="AC885" i="7"/>
  <c r="D885" i="7" s="1"/>
  <c r="AC884" i="7"/>
  <c r="D884" i="7"/>
  <c r="AC883" i="7"/>
  <c r="D883" i="7" s="1"/>
  <c r="N882" i="7"/>
  <c r="AC881" i="7"/>
  <c r="D881" i="7"/>
  <c r="AC880" i="7"/>
  <c r="N880" i="7"/>
  <c r="AC879" i="7"/>
  <c r="D879" i="7"/>
  <c r="AC878" i="7"/>
  <c r="D878" i="7" s="1"/>
  <c r="N878" i="7"/>
  <c r="AC877" i="7"/>
  <c r="D877" i="7" s="1"/>
  <c r="AC876" i="7"/>
  <c r="D876" i="7"/>
  <c r="AC875" i="7"/>
  <c r="D875" i="7" s="1"/>
  <c r="AE874" i="7"/>
  <c r="AD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O874" i="7"/>
  <c r="M874" i="7"/>
  <c r="L874" i="7"/>
  <c r="K874" i="7"/>
  <c r="J874" i="7"/>
  <c r="I874" i="7"/>
  <c r="H874" i="7"/>
  <c r="G874" i="7"/>
  <c r="F874" i="7"/>
  <c r="E874" i="7"/>
  <c r="AC873" i="7"/>
  <c r="D873" i="7"/>
  <c r="AE872" i="7"/>
  <c r="AD872" i="7"/>
  <c r="AC872" i="7"/>
  <c r="AB872" i="7"/>
  <c r="AA872" i="7"/>
  <c r="Z872" i="7"/>
  <c r="Y872" i="7"/>
  <c r="X872" i="7"/>
  <c r="W872" i="7"/>
  <c r="V872" i="7"/>
  <c r="U872" i="7"/>
  <c r="T872" i="7"/>
  <c r="S872" i="7"/>
  <c r="R872" i="7"/>
  <c r="Q872" i="7"/>
  <c r="P872" i="7"/>
  <c r="O872" i="7"/>
  <c r="N872" i="7"/>
  <c r="M872" i="7"/>
  <c r="L872" i="7"/>
  <c r="K872" i="7"/>
  <c r="J872" i="7"/>
  <c r="I872" i="7"/>
  <c r="H872" i="7"/>
  <c r="G872" i="7"/>
  <c r="F872" i="7"/>
  <c r="E872" i="7"/>
  <c r="D872" i="7"/>
  <c r="AC871" i="7"/>
  <c r="D871" i="7" s="1"/>
  <c r="AC870" i="7"/>
  <c r="D870" i="7"/>
  <c r="AC869" i="7"/>
  <c r="N869" i="7"/>
  <c r="AD868" i="7"/>
  <c r="AC868" i="7"/>
  <c r="AC867" i="7" s="1"/>
  <c r="N868" i="7"/>
  <c r="AE867" i="7"/>
  <c r="AD867" i="7"/>
  <c r="AB867" i="7"/>
  <c r="AA867" i="7"/>
  <c r="Z867" i="7"/>
  <c r="Y867" i="7"/>
  <c r="X867" i="7"/>
  <c r="W867" i="7"/>
  <c r="V867" i="7"/>
  <c r="U867" i="7"/>
  <c r="T867" i="7"/>
  <c r="S867" i="7"/>
  <c r="R867" i="7"/>
  <c r="Q867" i="7"/>
  <c r="P867" i="7"/>
  <c r="O867" i="7"/>
  <c r="N867" i="7"/>
  <c r="M867" i="7"/>
  <c r="L867" i="7"/>
  <c r="K867" i="7"/>
  <c r="J867" i="7"/>
  <c r="I867" i="7"/>
  <c r="H867" i="7"/>
  <c r="G867" i="7"/>
  <c r="F867" i="7"/>
  <c r="E867" i="7"/>
  <c r="AC866" i="7"/>
  <c r="D866" i="7"/>
  <c r="AE865" i="7"/>
  <c r="AD865" i="7"/>
  <c r="AC865" i="7"/>
  <c r="AB865" i="7"/>
  <c r="AA865" i="7"/>
  <c r="Z865" i="7"/>
  <c r="Y865" i="7"/>
  <c r="X865" i="7"/>
  <c r="W865" i="7"/>
  <c r="V865" i="7"/>
  <c r="U865" i="7"/>
  <c r="T865" i="7"/>
  <c r="S865" i="7"/>
  <c r="R865" i="7"/>
  <c r="Q865" i="7"/>
  <c r="P865" i="7"/>
  <c r="O865" i="7"/>
  <c r="N865" i="7"/>
  <c r="M865" i="7"/>
  <c r="L865" i="7"/>
  <c r="K865" i="7"/>
  <c r="J865" i="7"/>
  <c r="I865" i="7"/>
  <c r="H865" i="7"/>
  <c r="G865" i="7"/>
  <c r="F865" i="7"/>
  <c r="E865" i="7"/>
  <c r="D865" i="7"/>
  <c r="AC864" i="7"/>
  <c r="AC863" i="7" s="1"/>
  <c r="N864" i="7"/>
  <c r="D864" i="7"/>
  <c r="D863" i="7" s="1"/>
  <c r="AE863" i="7"/>
  <c r="AD863" i="7"/>
  <c r="AB863" i="7"/>
  <c r="AA863" i="7"/>
  <c r="Z863" i="7"/>
  <c r="Y863" i="7"/>
  <c r="X863" i="7"/>
  <c r="W863" i="7"/>
  <c r="V863" i="7"/>
  <c r="U863" i="7"/>
  <c r="T863" i="7"/>
  <c r="S863" i="7"/>
  <c r="R863" i="7"/>
  <c r="Q863" i="7"/>
  <c r="P863" i="7"/>
  <c r="O863" i="7"/>
  <c r="N863" i="7"/>
  <c r="M863" i="7"/>
  <c r="L863" i="7"/>
  <c r="K863" i="7"/>
  <c r="J863" i="7"/>
  <c r="I863" i="7"/>
  <c r="H863" i="7"/>
  <c r="G863" i="7"/>
  <c r="F863" i="7"/>
  <c r="E863" i="7"/>
  <c r="AC862" i="7"/>
  <c r="D862" i="7" s="1"/>
  <c r="D861" i="7" s="1"/>
  <c r="AE861" i="7"/>
  <c r="AD861" i="7"/>
  <c r="AC861" i="7"/>
  <c r="AB861" i="7"/>
  <c r="AA861" i="7"/>
  <c r="Z861" i="7"/>
  <c r="Y861" i="7"/>
  <c r="X861" i="7"/>
  <c r="W861" i="7"/>
  <c r="V861" i="7"/>
  <c r="U861" i="7"/>
  <c r="T861" i="7"/>
  <c r="S861" i="7"/>
  <c r="R861" i="7"/>
  <c r="Q861" i="7"/>
  <c r="P861" i="7"/>
  <c r="O861" i="7"/>
  <c r="N861" i="7"/>
  <c r="M861" i="7"/>
  <c r="L861" i="7"/>
  <c r="K861" i="7"/>
  <c r="J861" i="7"/>
  <c r="I861" i="7"/>
  <c r="H861" i="7"/>
  <c r="G861" i="7"/>
  <c r="F861" i="7"/>
  <c r="E861" i="7"/>
  <c r="AC860" i="7"/>
  <c r="D860" i="7"/>
  <c r="AE859" i="7"/>
  <c r="AD859" i="7"/>
  <c r="AC859" i="7"/>
  <c r="AB859" i="7"/>
  <c r="AA859" i="7"/>
  <c r="Z859" i="7"/>
  <c r="Y859" i="7"/>
  <c r="X859" i="7"/>
  <c r="W859" i="7"/>
  <c r="V859" i="7"/>
  <c r="U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D859" i="7"/>
  <c r="AC858" i="7"/>
  <c r="D858" i="7" s="1"/>
  <c r="D857" i="7" s="1"/>
  <c r="AE857" i="7"/>
  <c r="AD857" i="7"/>
  <c r="AC857" i="7"/>
  <c r="AB857" i="7"/>
  <c r="AA857" i="7"/>
  <c r="Z857" i="7"/>
  <c r="Y857" i="7"/>
  <c r="X857" i="7"/>
  <c r="W857" i="7"/>
  <c r="V857" i="7"/>
  <c r="U857" i="7"/>
  <c r="T857" i="7"/>
  <c r="S857" i="7"/>
  <c r="R857" i="7"/>
  <c r="Q857" i="7"/>
  <c r="P857" i="7"/>
  <c r="O857" i="7"/>
  <c r="N857" i="7"/>
  <c r="M857" i="7"/>
  <c r="L857" i="7"/>
  <c r="K857" i="7"/>
  <c r="J857" i="7"/>
  <c r="I857" i="7"/>
  <c r="H857" i="7"/>
  <c r="G857" i="7"/>
  <c r="F857" i="7"/>
  <c r="E857" i="7"/>
  <c r="AC856" i="7"/>
  <c r="D856" i="7"/>
  <c r="AE855" i="7"/>
  <c r="AD855" i="7"/>
  <c r="AC855" i="7"/>
  <c r="AB855" i="7"/>
  <c r="AA855" i="7"/>
  <c r="Z855" i="7"/>
  <c r="Y855" i="7"/>
  <c r="X855" i="7"/>
  <c r="W855" i="7"/>
  <c r="V855" i="7"/>
  <c r="U855" i="7"/>
  <c r="T855" i="7"/>
  <c r="S855" i="7"/>
  <c r="R855" i="7"/>
  <c r="Q855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D855" i="7"/>
  <c r="AC854" i="7"/>
  <c r="AC852" i="7" s="1"/>
  <c r="R854" i="7"/>
  <c r="AC853" i="7"/>
  <c r="D853" i="7"/>
  <c r="AE852" i="7"/>
  <c r="AD852" i="7"/>
  <c r="AB852" i="7"/>
  <c r="AA852" i="7"/>
  <c r="Z852" i="7"/>
  <c r="Y852" i="7"/>
  <c r="X852" i="7"/>
  <c r="W852" i="7"/>
  <c r="V852" i="7"/>
  <c r="U852" i="7"/>
  <c r="T852" i="7"/>
  <c r="S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AC851" i="7"/>
  <c r="D851" i="7" s="1"/>
  <c r="D849" i="7" s="1"/>
  <c r="R851" i="7"/>
  <c r="AC850" i="7"/>
  <c r="D850" i="7"/>
  <c r="AE849" i="7"/>
  <c r="AD849" i="7"/>
  <c r="AB849" i="7"/>
  <c r="AA849" i="7"/>
  <c r="Z849" i="7"/>
  <c r="Y849" i="7"/>
  <c r="X849" i="7"/>
  <c r="W849" i="7"/>
  <c r="V849" i="7"/>
  <c r="U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AC848" i="7"/>
  <c r="D848" i="7"/>
  <c r="AC847" i="7"/>
  <c r="D847" i="7"/>
  <c r="AC846" i="7"/>
  <c r="D846" i="7"/>
  <c r="N845" i="7"/>
  <c r="AC844" i="7"/>
  <c r="D844" i="7" s="1"/>
  <c r="AC843" i="7"/>
  <c r="D843" i="7" s="1"/>
  <c r="AC842" i="7"/>
  <c r="D842" i="7"/>
  <c r="AC841" i="7"/>
  <c r="D841" i="7" s="1"/>
  <c r="AC840" i="7"/>
  <c r="D840" i="7"/>
  <c r="AC839" i="7"/>
  <c r="N839" i="7"/>
  <c r="AE838" i="7"/>
  <c r="AD838" i="7"/>
  <c r="AB838" i="7"/>
  <c r="AA838" i="7"/>
  <c r="Z838" i="7"/>
  <c r="Y838" i="7"/>
  <c r="X838" i="7"/>
  <c r="W838" i="7"/>
  <c r="V838" i="7"/>
  <c r="U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AC837" i="7"/>
  <c r="D837" i="7"/>
  <c r="AC836" i="7"/>
  <c r="N836" i="7"/>
  <c r="D836" i="7"/>
  <c r="AC835" i="7"/>
  <c r="R835" i="7"/>
  <c r="D835" i="7" s="1"/>
  <c r="T834" i="7"/>
  <c r="N833" i="7"/>
  <c r="AC833" i="7" s="1"/>
  <c r="D833" i="7" s="1"/>
  <c r="AC832" i="7"/>
  <c r="N832" i="7"/>
  <c r="D832" i="7"/>
  <c r="AC831" i="7"/>
  <c r="D831" i="7" s="1"/>
  <c r="AC830" i="7"/>
  <c r="D830" i="7"/>
  <c r="AC829" i="7"/>
  <c r="N829" i="7"/>
  <c r="AC828" i="7"/>
  <c r="D828" i="7"/>
  <c r="AC827" i="7"/>
  <c r="D827" i="7" s="1"/>
  <c r="N826" i="7"/>
  <c r="N825" i="7"/>
  <c r="AC825" i="7" s="1"/>
  <c r="D825" i="7" s="1"/>
  <c r="AC824" i="7"/>
  <c r="D824" i="7" s="1"/>
  <c r="AC823" i="7"/>
  <c r="D823" i="7"/>
  <c r="AC822" i="7"/>
  <c r="D822" i="7" s="1"/>
  <c r="AE821" i="7"/>
  <c r="AD821" i="7"/>
  <c r="AB821" i="7"/>
  <c r="AA821" i="7"/>
  <c r="Z821" i="7"/>
  <c r="Y821" i="7"/>
  <c r="X821" i="7"/>
  <c r="W821" i="7"/>
  <c r="V821" i="7"/>
  <c r="U821" i="7"/>
  <c r="S821" i="7"/>
  <c r="R821" i="7"/>
  <c r="Q821" i="7"/>
  <c r="P821" i="7"/>
  <c r="O821" i="7"/>
  <c r="M821" i="7"/>
  <c r="L821" i="7"/>
  <c r="K821" i="7"/>
  <c r="J821" i="7"/>
  <c r="I821" i="7"/>
  <c r="H821" i="7"/>
  <c r="G821" i="7"/>
  <c r="F821" i="7"/>
  <c r="E821" i="7"/>
  <c r="N820" i="7"/>
  <c r="AE819" i="7"/>
  <c r="AD819" i="7"/>
  <c r="AB819" i="7"/>
  <c r="AA819" i="7"/>
  <c r="Z819" i="7"/>
  <c r="Y819" i="7"/>
  <c r="X819" i="7"/>
  <c r="W819" i="7"/>
  <c r="V819" i="7"/>
  <c r="U819" i="7"/>
  <c r="T819" i="7"/>
  <c r="S819" i="7"/>
  <c r="R819" i="7"/>
  <c r="Q819" i="7"/>
  <c r="P819" i="7"/>
  <c r="O819" i="7"/>
  <c r="M819" i="7"/>
  <c r="L819" i="7"/>
  <c r="K819" i="7"/>
  <c r="J819" i="7"/>
  <c r="I819" i="7"/>
  <c r="H819" i="7"/>
  <c r="G819" i="7"/>
  <c r="F819" i="7"/>
  <c r="E819" i="7"/>
  <c r="AC818" i="7"/>
  <c r="D818" i="7"/>
  <c r="AE817" i="7"/>
  <c r="AD817" i="7"/>
  <c r="AC817" i="7"/>
  <c r="AB817" i="7"/>
  <c r="AA817" i="7"/>
  <c r="Z817" i="7"/>
  <c r="Y817" i="7"/>
  <c r="X817" i="7"/>
  <c r="W817" i="7"/>
  <c r="V817" i="7"/>
  <c r="U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AC816" i="7"/>
  <c r="AC815" i="7"/>
  <c r="D815" i="7"/>
  <c r="AE814" i="7"/>
  <c r="AD814" i="7"/>
  <c r="AB814" i="7"/>
  <c r="AA814" i="7"/>
  <c r="Z814" i="7"/>
  <c r="Y814" i="7"/>
  <c r="X814" i="7"/>
  <c r="W814" i="7"/>
  <c r="V814" i="7"/>
  <c r="U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AC813" i="7"/>
  <c r="D813" i="7" s="1"/>
  <c r="D812" i="7" s="1"/>
  <c r="AE812" i="7"/>
  <c r="AD812" i="7"/>
  <c r="AC812" i="7"/>
  <c r="AB812" i="7"/>
  <c r="AA812" i="7"/>
  <c r="Z812" i="7"/>
  <c r="Y812" i="7"/>
  <c r="X812" i="7"/>
  <c r="W812" i="7"/>
  <c r="V812" i="7"/>
  <c r="U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AC811" i="7"/>
  <c r="D811" i="7"/>
  <c r="AC810" i="7"/>
  <c r="G810" i="7"/>
  <c r="D810" i="7" s="1"/>
  <c r="AC809" i="7"/>
  <c r="D809" i="7"/>
  <c r="AC808" i="7"/>
  <c r="D808" i="7" s="1"/>
  <c r="AE807" i="7"/>
  <c r="AD807" i="7"/>
  <c r="AB807" i="7"/>
  <c r="AA807" i="7"/>
  <c r="Z807" i="7"/>
  <c r="Y807" i="7"/>
  <c r="X807" i="7"/>
  <c r="W807" i="7"/>
  <c r="V807" i="7"/>
  <c r="U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AC806" i="7"/>
  <c r="D806" i="7"/>
  <c r="AC805" i="7"/>
  <c r="D805" i="7" s="1"/>
  <c r="N804" i="7"/>
  <c r="AC803" i="7"/>
  <c r="D803" i="7"/>
  <c r="AC802" i="7"/>
  <c r="N802" i="7"/>
  <c r="AC801" i="7"/>
  <c r="D801" i="7"/>
  <c r="AE800" i="7"/>
  <c r="AD800" i="7"/>
  <c r="AB800" i="7"/>
  <c r="AA800" i="7"/>
  <c r="Z800" i="7"/>
  <c r="Y800" i="7"/>
  <c r="X800" i="7"/>
  <c r="W800" i="7"/>
  <c r="V800" i="7"/>
  <c r="U800" i="7"/>
  <c r="T800" i="7"/>
  <c r="S800" i="7"/>
  <c r="R800" i="7"/>
  <c r="Q800" i="7"/>
  <c r="P800" i="7"/>
  <c r="O800" i="7"/>
  <c r="M800" i="7"/>
  <c r="L800" i="7"/>
  <c r="K800" i="7"/>
  <c r="J800" i="7"/>
  <c r="I800" i="7"/>
  <c r="H800" i="7"/>
  <c r="G800" i="7"/>
  <c r="F800" i="7"/>
  <c r="E800" i="7"/>
  <c r="AC799" i="7"/>
  <c r="D799" i="7" s="1"/>
  <c r="AC798" i="7"/>
  <c r="D798" i="7"/>
  <c r="AC797" i="7"/>
  <c r="D797" i="7" s="1"/>
  <c r="N796" i="7"/>
  <c r="AC795" i="7"/>
  <c r="D795" i="7"/>
  <c r="AC794" i="7"/>
  <c r="AC793" i="7"/>
  <c r="D793" i="7"/>
  <c r="AE792" i="7"/>
  <c r="AE556" i="7" s="1"/>
  <c r="AD792" i="7"/>
  <c r="AB792" i="7"/>
  <c r="AA792" i="7"/>
  <c r="Z792" i="7"/>
  <c r="Y792" i="7"/>
  <c r="X792" i="7"/>
  <c r="W792" i="7"/>
  <c r="V792" i="7"/>
  <c r="U792" i="7"/>
  <c r="T792" i="7"/>
  <c r="S792" i="7"/>
  <c r="R792" i="7"/>
  <c r="Q792" i="7"/>
  <c r="P792" i="7"/>
  <c r="O792" i="7"/>
  <c r="M792" i="7"/>
  <c r="L792" i="7"/>
  <c r="K792" i="7"/>
  <c r="J792" i="7"/>
  <c r="I792" i="7"/>
  <c r="H792" i="7"/>
  <c r="G792" i="7"/>
  <c r="F792" i="7"/>
  <c r="E792" i="7"/>
  <c r="AC791" i="7"/>
  <c r="D791" i="7" s="1"/>
  <c r="AD790" i="7"/>
  <c r="N790" i="7"/>
  <c r="AD789" i="7"/>
  <c r="N789" i="7"/>
  <c r="N788" i="7"/>
  <c r="AC788" i="7" s="1"/>
  <c r="D788" i="7" s="1"/>
  <c r="AC787" i="7"/>
  <c r="D787" i="7" s="1"/>
  <c r="G786" i="7"/>
  <c r="U785" i="7"/>
  <c r="AC785" i="7" s="1"/>
  <c r="D785" i="7" s="1"/>
  <c r="AC784" i="7"/>
  <c r="D784" i="7" s="1"/>
  <c r="T783" i="7"/>
  <c r="AC783" i="7" s="1"/>
  <c r="R783" i="7"/>
  <c r="D783" i="7" s="1"/>
  <c r="AC782" i="7"/>
  <c r="D782" i="7"/>
  <c r="AC781" i="7"/>
  <c r="D781" i="7" s="1"/>
  <c r="AC780" i="7"/>
  <c r="D780" i="7"/>
  <c r="AC779" i="7"/>
  <c r="D779" i="7" s="1"/>
  <c r="N778" i="7"/>
  <c r="AC777" i="7"/>
  <c r="D777" i="7"/>
  <c r="AC776" i="7"/>
  <c r="D775" i="7"/>
  <c r="AC774" i="7"/>
  <c r="D774" i="7"/>
  <c r="AC773" i="7"/>
  <c r="D773" i="7" s="1"/>
  <c r="AC772" i="7"/>
  <c r="D772" i="7"/>
  <c r="AC771" i="7"/>
  <c r="D771" i="7" s="1"/>
  <c r="AC770" i="7"/>
  <c r="D770" i="7"/>
  <c r="AC769" i="7"/>
  <c r="D769" i="7" s="1"/>
  <c r="AC768" i="7"/>
  <c r="D768" i="7"/>
  <c r="AC767" i="7"/>
  <c r="D767" i="7" s="1"/>
  <c r="AC766" i="7"/>
  <c r="D766" i="7"/>
  <c r="AE765" i="7"/>
  <c r="AD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M765" i="7"/>
  <c r="L765" i="7"/>
  <c r="K765" i="7"/>
  <c r="J765" i="7"/>
  <c r="I765" i="7"/>
  <c r="H765" i="7"/>
  <c r="F765" i="7"/>
  <c r="E765" i="7"/>
  <c r="AC764" i="7"/>
  <c r="D764" i="7" s="1"/>
  <c r="AC763" i="7"/>
  <c r="D763" i="7"/>
  <c r="AC762" i="7"/>
  <c r="D762" i="7" s="1"/>
  <c r="AC761" i="7"/>
  <c r="D761" i="7"/>
  <c r="AC760" i="7"/>
  <c r="D760" i="7" s="1"/>
  <c r="AC759" i="7"/>
  <c r="D759" i="7"/>
  <c r="L758" i="7"/>
  <c r="D758" i="7"/>
  <c r="AC757" i="7"/>
  <c r="D757" i="7"/>
  <c r="G756" i="7"/>
  <c r="AC756" i="7" s="1"/>
  <c r="D756" i="7" s="1"/>
  <c r="AC755" i="7"/>
  <c r="AC754" i="7"/>
  <c r="D754" i="7"/>
  <c r="D753" i="7"/>
  <c r="AE752" i="7"/>
  <c r="AD752" i="7"/>
  <c r="AB752" i="7"/>
  <c r="AA752" i="7"/>
  <c r="Z752" i="7"/>
  <c r="Y752" i="7"/>
  <c r="X752" i="7"/>
  <c r="W752" i="7"/>
  <c r="V752" i="7"/>
  <c r="U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AC751" i="7"/>
  <c r="D751" i="7"/>
  <c r="AC750" i="7"/>
  <c r="D750" i="7"/>
  <c r="AC749" i="7"/>
  <c r="D749" i="7"/>
  <c r="AC748" i="7"/>
  <c r="D748" i="7"/>
  <c r="AC747" i="7"/>
  <c r="D747" i="7"/>
  <c r="AC746" i="7"/>
  <c r="L746" i="7"/>
  <c r="D746" i="7" s="1"/>
  <c r="AC745" i="7"/>
  <c r="D745" i="7"/>
  <c r="AC744" i="7"/>
  <c r="D744" i="7" s="1"/>
  <c r="L743" i="7"/>
  <c r="D743" i="7"/>
  <c r="D742" i="7"/>
  <c r="D741" i="7"/>
  <c r="N740" i="7"/>
  <c r="AC740" i="7" s="1"/>
  <c r="D740" i="7"/>
  <c r="AC739" i="7"/>
  <c r="D739" i="7"/>
  <c r="N738" i="7"/>
  <c r="AC737" i="7"/>
  <c r="D737" i="7"/>
  <c r="AC736" i="7"/>
  <c r="D736" i="7" s="1"/>
  <c r="G735" i="7"/>
  <c r="G723" i="7" s="1"/>
  <c r="AC734" i="7"/>
  <c r="D734" i="7"/>
  <c r="AC733" i="7"/>
  <c r="D733" i="7"/>
  <c r="AC732" i="7"/>
  <c r="D732" i="7"/>
  <c r="AC731" i="7"/>
  <c r="D731" i="7"/>
  <c r="AC730" i="7"/>
  <c r="D730" i="7"/>
  <c r="AC729" i="7"/>
  <c r="D729" i="7"/>
  <c r="N728" i="7"/>
  <c r="AC728" i="7" s="1"/>
  <c r="D728" i="7" s="1"/>
  <c r="AC727" i="7"/>
  <c r="AD726" i="7"/>
  <c r="L726" i="7"/>
  <c r="D726" i="7"/>
  <c r="L725" i="7"/>
  <c r="D725" i="7" s="1"/>
  <c r="AC724" i="7"/>
  <c r="D724" i="7"/>
  <c r="AE723" i="7"/>
  <c r="AD723" i="7"/>
  <c r="AB723" i="7"/>
  <c r="AA723" i="7"/>
  <c r="Z723" i="7"/>
  <c r="Y723" i="7"/>
  <c r="X723" i="7"/>
  <c r="W723" i="7"/>
  <c r="V723" i="7"/>
  <c r="U723" i="7"/>
  <c r="T723" i="7"/>
  <c r="S723" i="7"/>
  <c r="R723" i="7"/>
  <c r="Q723" i="7"/>
  <c r="P723" i="7"/>
  <c r="O723" i="7"/>
  <c r="M723" i="7"/>
  <c r="L723" i="7"/>
  <c r="K723" i="7"/>
  <c r="J723" i="7"/>
  <c r="I723" i="7"/>
  <c r="H723" i="7"/>
  <c r="F723" i="7"/>
  <c r="E723" i="7"/>
  <c r="AC722" i="7"/>
  <c r="D722" i="7"/>
  <c r="AC721" i="7"/>
  <c r="D721" i="7"/>
  <c r="AC720" i="7"/>
  <c r="D720" i="7"/>
  <c r="AC719" i="7"/>
  <c r="D719" i="7"/>
  <c r="D718" i="7"/>
  <c r="D717" i="7"/>
  <c r="AC716" i="7"/>
  <c r="D716" i="7"/>
  <c r="AC715" i="7"/>
  <c r="D715" i="7" s="1"/>
  <c r="AC714" i="7"/>
  <c r="D714" i="7"/>
  <c r="AC713" i="7"/>
  <c r="D713" i="7"/>
  <c r="AC712" i="7"/>
  <c r="D712" i="7"/>
  <c r="N711" i="7"/>
  <c r="AC711" i="7" s="1"/>
  <c r="D711" i="7" s="1"/>
  <c r="AC710" i="7"/>
  <c r="D710" i="7" s="1"/>
  <c r="AC709" i="7"/>
  <c r="D709" i="7"/>
  <c r="AC708" i="7"/>
  <c r="D708" i="7" s="1"/>
  <c r="AC707" i="7"/>
  <c r="D707" i="7"/>
  <c r="AC706" i="7"/>
  <c r="D706" i="7" s="1"/>
  <c r="AC705" i="7"/>
  <c r="D705" i="7"/>
  <c r="AC704" i="7"/>
  <c r="D704" i="7" s="1"/>
  <c r="N704" i="7"/>
  <c r="N703" i="7"/>
  <c r="AC702" i="7"/>
  <c r="D702" i="7"/>
  <c r="AC701" i="7"/>
  <c r="D701" i="7" s="1"/>
  <c r="AC700" i="7"/>
  <c r="D700" i="7"/>
  <c r="AC699" i="7"/>
  <c r="D699" i="7" s="1"/>
  <c r="AC698" i="7"/>
  <c r="D698" i="7"/>
  <c r="AC697" i="7"/>
  <c r="D697" i="7" s="1"/>
  <c r="AC696" i="7"/>
  <c r="D696" i="7"/>
  <c r="AC695" i="7"/>
  <c r="D695" i="7" s="1"/>
  <c r="AC694" i="7"/>
  <c r="D694" i="7"/>
  <c r="AC693" i="7"/>
  <c r="D693" i="7" s="1"/>
  <c r="AC692" i="7"/>
  <c r="D692" i="7"/>
  <c r="AC691" i="7"/>
  <c r="D691" i="7" s="1"/>
  <c r="AC690" i="7"/>
  <c r="D690" i="7"/>
  <c r="AC689" i="7"/>
  <c r="D689" i="7" s="1"/>
  <c r="AC688" i="7"/>
  <c r="D688" i="7"/>
  <c r="AC687" i="7"/>
  <c r="D687" i="7" s="1"/>
  <c r="AC686" i="7"/>
  <c r="D686" i="7"/>
  <c r="AC685" i="7"/>
  <c r="D685" i="7" s="1"/>
  <c r="AC684" i="7"/>
  <c r="D684" i="7"/>
  <c r="AC683" i="7"/>
  <c r="D683" i="7" s="1"/>
  <c r="AC682" i="7"/>
  <c r="D682" i="7"/>
  <c r="AC681" i="7"/>
  <c r="D681" i="7" s="1"/>
  <c r="N680" i="7"/>
  <c r="AC680" i="7" s="1"/>
  <c r="D680" i="7"/>
  <c r="AE679" i="7"/>
  <c r="AD679" i="7"/>
  <c r="AB679" i="7"/>
  <c r="AA679" i="7"/>
  <c r="Z679" i="7"/>
  <c r="Y679" i="7"/>
  <c r="X679" i="7"/>
  <c r="W679" i="7"/>
  <c r="V679" i="7"/>
  <c r="U679" i="7"/>
  <c r="T679" i="7"/>
  <c r="S679" i="7"/>
  <c r="R679" i="7"/>
  <c r="Q679" i="7"/>
  <c r="P679" i="7"/>
  <c r="O679" i="7"/>
  <c r="M679" i="7"/>
  <c r="L679" i="7"/>
  <c r="L556" i="7" s="1"/>
  <c r="K679" i="7"/>
  <c r="J679" i="7"/>
  <c r="I679" i="7"/>
  <c r="H679" i="7"/>
  <c r="G679" i="7"/>
  <c r="F679" i="7"/>
  <c r="E679" i="7"/>
  <c r="AC678" i="7"/>
  <c r="D678" i="7" s="1"/>
  <c r="N677" i="7"/>
  <c r="D676" i="7"/>
  <c r="AD675" i="7"/>
  <c r="AC675" i="7"/>
  <c r="R675" i="7"/>
  <c r="D675" i="7" s="1"/>
  <c r="AC674" i="7"/>
  <c r="D674" i="7"/>
  <c r="D673" i="7"/>
  <c r="G672" i="7"/>
  <c r="AC672" i="7" s="1"/>
  <c r="D672" i="7" s="1"/>
  <c r="AC671" i="7"/>
  <c r="R671" i="7"/>
  <c r="D671" i="7"/>
  <c r="AC670" i="7"/>
  <c r="D670" i="7" s="1"/>
  <c r="AC669" i="7"/>
  <c r="D669" i="7"/>
  <c r="AC668" i="7"/>
  <c r="G668" i="7"/>
  <c r="AC667" i="7"/>
  <c r="D667" i="7"/>
  <c r="AC666" i="7"/>
  <c r="G666" i="7"/>
  <c r="D666" i="7"/>
  <c r="AC665" i="7"/>
  <c r="G665" i="7"/>
  <c r="D665" i="7" s="1"/>
  <c r="N664" i="7"/>
  <c r="AD663" i="7"/>
  <c r="AC663" i="7"/>
  <c r="D663" i="7"/>
  <c r="AC662" i="7"/>
  <c r="D662" i="7" s="1"/>
  <c r="AC661" i="7"/>
  <c r="D661" i="7"/>
  <c r="AC660" i="7"/>
  <c r="D660" i="7" s="1"/>
  <c r="N659" i="7"/>
  <c r="N658" i="7"/>
  <c r="AC658" i="7" s="1"/>
  <c r="D658" i="7" s="1"/>
  <c r="AC657" i="7"/>
  <c r="D657" i="7" s="1"/>
  <c r="N656" i="7"/>
  <c r="E655" i="7"/>
  <c r="AC655" i="7" s="1"/>
  <c r="D655" i="7" s="1"/>
  <c r="AC654" i="7"/>
  <c r="D654" i="7" s="1"/>
  <c r="N653" i="7"/>
  <c r="AC652" i="7"/>
  <c r="D652" i="7"/>
  <c r="AC651" i="7"/>
  <c r="D651" i="7" s="1"/>
  <c r="N650" i="7"/>
  <c r="AC650" i="7" s="1"/>
  <c r="D650" i="7"/>
  <c r="AC649" i="7"/>
  <c r="D649" i="7" s="1"/>
  <c r="N648" i="7"/>
  <c r="AE647" i="7"/>
  <c r="AD647" i="7"/>
  <c r="AB647" i="7"/>
  <c r="AA647" i="7"/>
  <c r="Z647" i="7"/>
  <c r="Z556" i="7" s="1"/>
  <c r="Y647" i="7"/>
  <c r="X647" i="7"/>
  <c r="W647" i="7"/>
  <c r="V647" i="7"/>
  <c r="V556" i="7" s="1"/>
  <c r="U647" i="7"/>
  <c r="T647" i="7"/>
  <c r="S647" i="7"/>
  <c r="R647" i="7"/>
  <c r="Q647" i="7"/>
  <c r="P647" i="7"/>
  <c r="O647" i="7"/>
  <c r="M647" i="7"/>
  <c r="M556" i="7" s="1"/>
  <c r="L647" i="7"/>
  <c r="K647" i="7"/>
  <c r="J647" i="7"/>
  <c r="I647" i="7"/>
  <c r="I556" i="7" s="1"/>
  <c r="H647" i="7"/>
  <c r="F647" i="7"/>
  <c r="E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N621" i="7"/>
  <c r="D621" i="7"/>
  <c r="N620" i="7"/>
  <c r="D620" i="7" s="1"/>
  <c r="N619" i="7"/>
  <c r="D619" i="7"/>
  <c r="N618" i="7"/>
  <c r="D618" i="7" s="1"/>
  <c r="D617" i="7"/>
  <c r="N616" i="7"/>
  <c r="D616" i="7" s="1"/>
  <c r="D557" i="7" s="1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N574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M557" i="7"/>
  <c r="L557" i="7"/>
  <c r="K557" i="7"/>
  <c r="J557" i="7"/>
  <c r="I557" i="7"/>
  <c r="H557" i="7"/>
  <c r="G557" i="7"/>
  <c r="F557" i="7"/>
  <c r="E557" i="7"/>
  <c r="X556" i="7"/>
  <c r="AC555" i="7"/>
  <c r="D555" i="7" s="1"/>
  <c r="D553" i="7" s="1"/>
  <c r="D554" i="7"/>
  <c r="AE553" i="7"/>
  <c r="AD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2" i="7"/>
  <c r="D550" i="7" s="1"/>
  <c r="D551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49" i="7"/>
  <c r="D548" i="7"/>
  <c r="AC547" i="7"/>
  <c r="D546" i="7"/>
  <c r="AE545" i="7"/>
  <c r="AD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AC544" i="7"/>
  <c r="D544" i="7"/>
  <c r="AC543" i="7"/>
  <c r="D543" i="7" s="1"/>
  <c r="AC542" i="7"/>
  <c r="D542" i="7"/>
  <c r="AC541" i="7"/>
  <c r="D541" i="7" s="1"/>
  <c r="AC540" i="7"/>
  <c r="D540" i="7"/>
  <c r="D539" i="7"/>
  <c r="D538" i="7"/>
  <c r="AC537" i="7"/>
  <c r="AC535" i="7" s="1"/>
  <c r="D537" i="7"/>
  <c r="AC536" i="7"/>
  <c r="D536" i="7" s="1"/>
  <c r="AE535" i="7"/>
  <c r="AD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4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D533" i="7"/>
  <c r="R532" i="7"/>
  <c r="D532" i="7" s="1"/>
  <c r="D530" i="7" s="1"/>
  <c r="D531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R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D529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8" i="7"/>
  <c r="D527" i="7"/>
  <c r="D526" i="7"/>
  <c r="D525" i="7"/>
  <c r="AC524" i="7"/>
  <c r="D524" i="7"/>
  <c r="D522" i="7" s="1"/>
  <c r="D523" i="7"/>
  <c r="AE522" i="7"/>
  <c r="AD522" i="7"/>
  <c r="AC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AC521" i="7"/>
  <c r="D521" i="7"/>
  <c r="AC520" i="7"/>
  <c r="D520" i="7" s="1"/>
  <c r="D519" i="7" s="1"/>
  <c r="AE519" i="7"/>
  <c r="AD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8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AC516" i="7"/>
  <c r="D516" i="7"/>
  <c r="D514" i="7" s="1"/>
  <c r="D515" i="7"/>
  <c r="AE514" i="7"/>
  <c r="AD514" i="7"/>
  <c r="AC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AC513" i="7"/>
  <c r="D513" i="7"/>
  <c r="D512" i="7"/>
  <c r="AE511" i="7"/>
  <c r="AD511" i="7"/>
  <c r="AC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1" i="7"/>
  <c r="D510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D509" i="7"/>
  <c r="D508" i="7"/>
  <c r="AC507" i="7"/>
  <c r="AC503" i="7" s="1"/>
  <c r="D507" i="7"/>
  <c r="D503" i="7" s="1"/>
  <c r="D506" i="7"/>
  <c r="D505" i="7"/>
  <c r="D504" i="7"/>
  <c r="AE503" i="7"/>
  <c r="AD503" i="7"/>
  <c r="AB503" i="7"/>
  <c r="AA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2" i="7"/>
  <c r="D498" i="7" s="1"/>
  <c r="D501" i="7"/>
  <c r="D500" i="7"/>
  <c r="D499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AC497" i="7"/>
  <c r="D497" i="7" s="1"/>
  <c r="D496" i="7" s="1"/>
  <c r="AE496" i="7"/>
  <c r="AD496" i="7"/>
  <c r="AB496" i="7"/>
  <c r="AA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D495" i="7"/>
  <c r="AE494" i="7"/>
  <c r="AD494" i="7"/>
  <c r="AC494" i="7"/>
  <c r="AB494" i="7"/>
  <c r="AA494" i="7"/>
  <c r="Z494" i="7"/>
  <c r="Y494" i="7"/>
  <c r="X494" i="7"/>
  <c r="W494" i="7"/>
  <c r="V494" i="7"/>
  <c r="U494" i="7"/>
  <c r="T494" i="7"/>
  <c r="S494" i="7"/>
  <c r="R494" i="7"/>
  <c r="Q494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4" i="7"/>
  <c r="D493" i="7"/>
  <c r="AC492" i="7"/>
  <c r="D492" i="7" s="1"/>
  <c r="AC491" i="7"/>
  <c r="D491" i="7"/>
  <c r="AC490" i="7"/>
  <c r="AC489" i="7"/>
  <c r="D489" i="7"/>
  <c r="D488" i="7"/>
  <c r="D487" i="7"/>
  <c r="D486" i="7"/>
  <c r="AE485" i="7"/>
  <c r="AD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4" i="7"/>
  <c r="D483" i="7"/>
  <c r="D482" i="7"/>
  <c r="AC481" i="7"/>
  <c r="D481" i="7"/>
  <c r="AC480" i="7"/>
  <c r="D480" i="7" s="1"/>
  <c r="AC479" i="7"/>
  <c r="D479" i="7"/>
  <c r="AC478" i="7"/>
  <c r="AC477" i="7"/>
  <c r="D477" i="7"/>
  <c r="D476" i="7"/>
  <c r="D475" i="7"/>
  <c r="D474" i="7"/>
  <c r="AE473" i="7"/>
  <c r="AD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AC472" i="7"/>
  <c r="AC467" i="7" s="1"/>
  <c r="D472" i="7"/>
  <c r="AC471" i="7"/>
  <c r="D471" i="7" s="1"/>
  <c r="D470" i="7"/>
  <c r="D469" i="7"/>
  <c r="AC468" i="7"/>
  <c r="D468" i="7" s="1"/>
  <c r="AE467" i="7"/>
  <c r="AD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AC466" i="7"/>
  <c r="D466" i="7"/>
  <c r="AE465" i="7"/>
  <c r="AD465" i="7"/>
  <c r="AC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AC464" i="7"/>
  <c r="D464" i="7" s="1"/>
  <c r="D463" i="7" s="1"/>
  <c r="AE463" i="7"/>
  <c r="AD463" i="7"/>
  <c r="AC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AC462" i="7"/>
  <c r="D462" i="7"/>
  <c r="AE461" i="7"/>
  <c r="AD461" i="7"/>
  <c r="AC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D460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D458" i="7"/>
  <c r="AE457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AC456" i="7"/>
  <c r="D456" i="7"/>
  <c r="AE455" i="7"/>
  <c r="AD455" i="7"/>
  <c r="AC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AC454" i="7"/>
  <c r="D454" i="7"/>
  <c r="AC453" i="7"/>
  <c r="D453" i="7"/>
  <c r="AC452" i="7"/>
  <c r="D452" i="7"/>
  <c r="AC451" i="7"/>
  <c r="D451" i="7"/>
  <c r="AC450" i="7"/>
  <c r="D450" i="7"/>
  <c r="AC449" i="7"/>
  <c r="D449" i="7"/>
  <c r="D448" i="7"/>
  <c r="AC447" i="7"/>
  <c r="D447" i="7"/>
  <c r="D446" i="7"/>
  <c r="D444" i="7" s="1"/>
  <c r="D445" i="7"/>
  <c r="AE444" i="7"/>
  <c r="AD444" i="7"/>
  <c r="AC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AC443" i="7"/>
  <c r="D443" i="7"/>
  <c r="D442" i="7"/>
  <c r="AE441" i="7"/>
  <c r="AD441" i="7"/>
  <c r="AC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AC440" i="7"/>
  <c r="D440" i="7"/>
  <c r="AC439" i="7"/>
  <c r="AC435" i="7" s="1"/>
  <c r="D439" i="7"/>
  <c r="D435" i="7" s="1"/>
  <c r="D438" i="7"/>
  <c r="D437" i="7"/>
  <c r="D436" i="7"/>
  <c r="AE435" i="7"/>
  <c r="AD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AC434" i="7"/>
  <c r="D434" i="7" s="1"/>
  <c r="AC433" i="7"/>
  <c r="D433" i="7"/>
  <c r="AC432" i="7"/>
  <c r="AC431" i="7"/>
  <c r="D431" i="7"/>
  <c r="D430" i="7"/>
  <c r="AC429" i="7"/>
  <c r="D429" i="7"/>
  <c r="AE428" i="7"/>
  <c r="AD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AC427" i="7"/>
  <c r="D427" i="7"/>
  <c r="AC426" i="7"/>
  <c r="D426" i="7"/>
  <c r="AC425" i="7"/>
  <c r="D425" i="7"/>
  <c r="AE424" i="7"/>
  <c r="AD424" i="7"/>
  <c r="AC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D423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D421" i="7"/>
  <c r="D420" i="7"/>
  <c r="D419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AC417" i="7"/>
  <c r="D417" i="7"/>
  <c r="AC416" i="7"/>
  <c r="AC414" i="7" s="1"/>
  <c r="D416" i="7"/>
  <c r="AC415" i="7"/>
  <c r="D415" i="7" s="1"/>
  <c r="D414" i="7" s="1"/>
  <c r="AE414" i="7"/>
  <c r="AD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3" i="7"/>
  <c r="AE412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AC411" i="7"/>
  <c r="D411" i="7" s="1"/>
  <c r="AC410" i="7"/>
  <c r="D410" i="7"/>
  <c r="AC409" i="7"/>
  <c r="D409" i="7" s="1"/>
  <c r="AC408" i="7"/>
  <c r="D408" i="7"/>
  <c r="AC407" i="7"/>
  <c r="D406" i="7"/>
  <c r="D405" i="7"/>
  <c r="AE404" i="7"/>
  <c r="AD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3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AC401" i="7"/>
  <c r="D401" i="7"/>
  <c r="D400" i="7"/>
  <c r="D399" i="7"/>
  <c r="D397" i="7" s="1"/>
  <c r="AC398" i="7"/>
  <c r="D398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AC396" i="7"/>
  <c r="D396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D394" i="7"/>
  <c r="D393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AC391" i="7"/>
  <c r="D391" i="7"/>
  <c r="AC390" i="7"/>
  <c r="D390" i="7"/>
  <c r="D389" i="7"/>
  <c r="D388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N386" i="7"/>
  <c r="D386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D384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AC382" i="7"/>
  <c r="D381" i="7"/>
  <c r="AE380" i="7"/>
  <c r="AD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AC379" i="7"/>
  <c r="D379" i="7"/>
  <c r="AC378" i="7"/>
  <c r="D378" i="7"/>
  <c r="AC377" i="7"/>
  <c r="D377" i="7"/>
  <c r="D376" i="7"/>
  <c r="D375" i="7"/>
  <c r="AC374" i="7"/>
  <c r="D374" i="7"/>
  <c r="AC373" i="7"/>
  <c r="D373" i="7"/>
  <c r="D372" i="7"/>
  <c r="D371" i="7"/>
  <c r="D370" i="7"/>
  <c r="R369" i="7"/>
  <c r="R362" i="7" s="1"/>
  <c r="D368" i="7"/>
  <c r="D367" i="7"/>
  <c r="D366" i="7"/>
  <c r="D365" i="7"/>
  <c r="D364" i="7"/>
  <c r="AC363" i="7"/>
  <c r="D363" i="7"/>
  <c r="AE362" i="7"/>
  <c r="AD362" i="7"/>
  <c r="AB362" i="7"/>
  <c r="AA362" i="7"/>
  <c r="Z362" i="7"/>
  <c r="Y362" i="7"/>
  <c r="X362" i="7"/>
  <c r="W362" i="7"/>
  <c r="V362" i="7"/>
  <c r="U362" i="7"/>
  <c r="T362" i="7"/>
  <c r="S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1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G359" i="7"/>
  <c r="D359" i="7"/>
  <c r="D358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D356" i="7"/>
  <c r="D353" i="7" s="1"/>
  <c r="D355" i="7"/>
  <c r="AC354" i="7"/>
  <c r="D354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2" i="7"/>
  <c r="D350" i="7" s="1"/>
  <c r="D351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49" i="7"/>
  <c r="D348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AC346" i="7"/>
  <c r="D346" i="7" s="1"/>
  <c r="AC345" i="7"/>
  <c r="D345" i="7"/>
  <c r="AC344" i="7"/>
  <c r="AC343" i="7"/>
  <c r="D343" i="7"/>
  <c r="AE342" i="7"/>
  <c r="AD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AC341" i="7"/>
  <c r="D341" i="7" s="1"/>
  <c r="AC340" i="7"/>
  <c r="D340" i="7"/>
  <c r="AC339" i="7"/>
  <c r="D339" i="7" s="1"/>
  <c r="D338" i="7"/>
  <c r="D337" i="7"/>
  <c r="D336" i="7"/>
  <c r="D335" i="7"/>
  <c r="D334" i="7"/>
  <c r="AC333" i="7"/>
  <c r="D333" i="7"/>
  <c r="D332" i="7"/>
  <c r="AC331" i="7"/>
  <c r="D331" i="7"/>
  <c r="D330" i="7"/>
  <c r="AC329" i="7"/>
  <c r="D329" i="7" s="1"/>
  <c r="AC328" i="7"/>
  <c r="AC325" i="7" s="1"/>
  <c r="D328" i="7"/>
  <c r="D325" i="7" s="1"/>
  <c r="AC327" i="7"/>
  <c r="D327" i="7"/>
  <c r="D326" i="7"/>
  <c r="AE325" i="7"/>
  <c r="AD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AC324" i="7"/>
  <c r="D323" i="7"/>
  <c r="AC322" i="7"/>
  <c r="D322" i="7"/>
  <c r="D321" i="7"/>
  <c r="D320" i="7"/>
  <c r="D319" i="7"/>
  <c r="D318" i="7"/>
  <c r="AC317" i="7"/>
  <c r="D317" i="7"/>
  <c r="AC316" i="7"/>
  <c r="D316" i="7"/>
  <c r="L315" i="7"/>
  <c r="D315" i="7"/>
  <c r="D314" i="7"/>
  <c r="D313" i="7"/>
  <c r="D312" i="7"/>
  <c r="D311" i="7"/>
  <c r="AC310" i="7"/>
  <c r="D310" i="7"/>
  <c r="AE309" i="7"/>
  <c r="AD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8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AC306" i="7"/>
  <c r="D306" i="7"/>
  <c r="AC305" i="7"/>
  <c r="D305" i="7" s="1"/>
  <c r="D304" i="7"/>
  <c r="AC303" i="7"/>
  <c r="D303" i="7"/>
  <c r="D302" i="7"/>
  <c r="AE301" i="7"/>
  <c r="AD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AC300" i="7"/>
  <c r="D300" i="7"/>
  <c r="AC299" i="7"/>
  <c r="D298" i="7"/>
  <c r="D297" i="7"/>
  <c r="D296" i="7"/>
  <c r="AE295" i="7"/>
  <c r="AD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4" i="7"/>
  <c r="AC293" i="7"/>
  <c r="D293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D291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D289" i="7"/>
  <c r="D288" i="7"/>
  <c r="D287" i="7"/>
  <c r="D286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D284" i="7"/>
  <c r="D283" i="7"/>
  <c r="D282" i="7"/>
  <c r="D281" i="7"/>
  <c r="D278" i="7" s="1"/>
  <c r="D280" i="7"/>
  <c r="D279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7" i="7"/>
  <c r="D276" i="7"/>
  <c r="D272" i="7" s="1"/>
  <c r="D275" i="7"/>
  <c r="D274" i="7"/>
  <c r="D273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1" i="7"/>
  <c r="AC270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AC248" i="7"/>
  <c r="D248" i="7" s="1"/>
  <c r="AC247" i="7"/>
  <c r="D247" i="7"/>
  <c r="L246" i="7"/>
  <c r="AE245" i="7"/>
  <c r="AD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K245" i="7"/>
  <c r="J245" i="7"/>
  <c r="I245" i="7"/>
  <c r="H245" i="7"/>
  <c r="G245" i="7"/>
  <c r="F245" i="7"/>
  <c r="E245" i="7"/>
  <c r="D244" i="7"/>
  <c r="D243" i="7"/>
  <c r="AC242" i="7"/>
  <c r="D241" i="7"/>
  <c r="D240" i="7"/>
  <c r="AE239" i="7"/>
  <c r="AD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AC238" i="7"/>
  <c r="D238" i="7" s="1"/>
  <c r="L237" i="7"/>
  <c r="D237" i="7"/>
  <c r="D236" i="7"/>
  <c r="D235" i="7"/>
  <c r="L234" i="7"/>
  <c r="D234" i="7"/>
  <c r="L233" i="7"/>
  <c r="D233" i="7" s="1"/>
  <c r="L232" i="7"/>
  <c r="D232" i="7"/>
  <c r="D231" i="7"/>
  <c r="D230" i="7"/>
  <c r="D229" i="7"/>
  <c r="D228" i="7"/>
  <c r="D227" i="7"/>
  <c r="D226" i="7"/>
  <c r="D225" i="7"/>
  <c r="D224" i="7"/>
  <c r="D223" i="7"/>
  <c r="AC222" i="7"/>
  <c r="D222" i="7" s="1"/>
  <c r="D221" i="7"/>
  <c r="D220" i="7"/>
  <c r="D219" i="7"/>
  <c r="D218" i="7"/>
  <c r="D217" i="7"/>
  <c r="D216" i="7"/>
  <c r="D215" i="7"/>
  <c r="D214" i="7"/>
  <c r="D213" i="7"/>
  <c r="AC212" i="7"/>
  <c r="D212" i="7" s="1"/>
  <c r="AC211" i="7"/>
  <c r="D211" i="7"/>
  <c r="D210" i="7"/>
  <c r="L209" i="7"/>
  <c r="D209" i="7" s="1"/>
  <c r="L208" i="7"/>
  <c r="D208" i="7"/>
  <c r="D207" i="7"/>
  <c r="L206" i="7"/>
  <c r="D206" i="7"/>
  <c r="AC205" i="7"/>
  <c r="D205" i="7" s="1"/>
  <c r="D202" i="7" s="1"/>
  <c r="D204" i="7"/>
  <c r="AC203" i="7"/>
  <c r="D203" i="7"/>
  <c r="AE202" i="7"/>
  <c r="AD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K202" i="7"/>
  <c r="J202" i="7"/>
  <c r="I202" i="7"/>
  <c r="H202" i="7"/>
  <c r="G202" i="7"/>
  <c r="F202" i="7"/>
  <c r="E202" i="7"/>
  <c r="AC201" i="7"/>
  <c r="D201" i="7"/>
  <c r="AC200" i="7"/>
  <c r="D200" i="7"/>
  <c r="AC199" i="7"/>
  <c r="D199" i="7"/>
  <c r="AC198" i="7"/>
  <c r="D198" i="7"/>
  <c r="AC197" i="7"/>
  <c r="D197" i="7"/>
  <c r="AC196" i="7"/>
  <c r="D196" i="7"/>
  <c r="AC195" i="7"/>
  <c r="D195" i="7"/>
  <c r="D194" i="7"/>
  <c r="D193" i="7"/>
  <c r="D192" i="7"/>
  <c r="D191" i="7"/>
  <c r="D190" i="7"/>
  <c r="D189" i="7"/>
  <c r="D188" i="7"/>
  <c r="D187" i="7"/>
  <c r="D186" i="7"/>
  <c r="AC185" i="7"/>
  <c r="D185" i="7" s="1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AE156" i="7"/>
  <c r="AD156" i="7"/>
  <c r="AD20" i="7" s="1"/>
  <c r="AB156" i="7"/>
  <c r="AA156" i="7"/>
  <c r="Z156" i="7"/>
  <c r="Z20" i="7" s="1"/>
  <c r="Y156" i="7"/>
  <c r="X156" i="7"/>
  <c r="W156" i="7"/>
  <c r="V156" i="7"/>
  <c r="V20" i="7" s="1"/>
  <c r="U156" i="7"/>
  <c r="T156" i="7"/>
  <c r="S156" i="7"/>
  <c r="R156" i="7"/>
  <c r="R20" i="7" s="1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AC155" i="7"/>
  <c r="D155" i="7"/>
  <c r="AC154" i="7"/>
  <c r="D154" i="7" s="1"/>
  <c r="D153" i="7"/>
  <c r="D152" i="7"/>
  <c r="D151" i="7"/>
  <c r="AC150" i="7"/>
  <c r="D150" i="7"/>
  <c r="AC149" i="7"/>
  <c r="D149" i="7"/>
  <c r="D148" i="7"/>
  <c r="D147" i="7"/>
  <c r="D146" i="7"/>
  <c r="AC145" i="7"/>
  <c r="D145" i="7" s="1"/>
  <c r="D144" i="7"/>
  <c r="D143" i="7"/>
  <c r="D142" i="7"/>
  <c r="D141" i="7"/>
  <c r="D140" i="7"/>
  <c r="AC139" i="7"/>
  <c r="D139" i="7" s="1"/>
  <c r="AC138" i="7"/>
  <c r="D138" i="7"/>
  <c r="D137" i="7"/>
  <c r="D136" i="7"/>
  <c r="D135" i="7"/>
  <c r="D134" i="7"/>
  <c r="D133" i="7"/>
  <c r="D132" i="7"/>
  <c r="D131" i="7"/>
  <c r="AC130" i="7"/>
  <c r="AC126" i="7" s="1"/>
  <c r="D130" i="7"/>
  <c r="D129" i="7"/>
  <c r="D128" i="7"/>
  <c r="D127" i="7"/>
  <c r="AE126" i="7"/>
  <c r="AD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5" i="7"/>
  <c r="D124" i="7"/>
  <c r="D123" i="7"/>
  <c r="D122" i="7"/>
  <c r="D121" i="7"/>
  <c r="D120" i="7"/>
  <c r="D119" i="7"/>
  <c r="D118" i="7"/>
  <c r="D117" i="7"/>
  <c r="D116" i="7"/>
  <c r="D115" i="7"/>
  <c r="L114" i="7"/>
  <c r="D114" i="7"/>
  <c r="D113" i="7"/>
  <c r="L112" i="7"/>
  <c r="D112" i="7"/>
  <c r="D111" i="7"/>
  <c r="D110" i="7"/>
  <c r="AC109" i="7"/>
  <c r="R109" i="7"/>
  <c r="D109" i="7"/>
  <c r="D108" i="7"/>
  <c r="D107" i="7"/>
  <c r="D106" i="7"/>
  <c r="D105" i="7"/>
  <c r="D104" i="7"/>
  <c r="AC103" i="7"/>
  <c r="D103" i="7"/>
  <c r="D102" i="7"/>
  <c r="D101" i="7"/>
  <c r="D100" i="7"/>
  <c r="D99" i="7"/>
  <c r="D98" i="7"/>
  <c r="D97" i="7"/>
  <c r="D96" i="7"/>
  <c r="D95" i="7"/>
  <c r="AC94" i="7"/>
  <c r="D94" i="7"/>
  <c r="D93" i="7"/>
  <c r="AC92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M78" i="7"/>
  <c r="D78" i="7"/>
  <c r="D77" i="7"/>
  <c r="D76" i="7"/>
  <c r="D75" i="7"/>
  <c r="D74" i="7"/>
  <c r="D73" i="7"/>
  <c r="D72" i="7"/>
  <c r="D71" i="7"/>
  <c r="D70" i="7"/>
  <c r="N69" i="7"/>
  <c r="N21" i="7" s="1"/>
  <c r="N20" i="7" s="1"/>
  <c r="D69" i="7"/>
  <c r="AC68" i="7"/>
  <c r="D68" i="7"/>
  <c r="D67" i="7"/>
  <c r="D66" i="7"/>
  <c r="D65" i="7"/>
  <c r="D64" i="7"/>
  <c r="D63" i="7"/>
  <c r="D62" i="7"/>
  <c r="AC61" i="7"/>
  <c r="D61" i="7"/>
  <c r="D60" i="7"/>
  <c r="D59" i="7"/>
  <c r="D58" i="7"/>
  <c r="D57" i="7"/>
  <c r="D56" i="7"/>
  <c r="D55" i="7"/>
  <c r="D54" i="7"/>
  <c r="AC53" i="7"/>
  <c r="D53" i="7"/>
  <c r="D52" i="7"/>
  <c r="D51" i="7"/>
  <c r="D50" i="7"/>
  <c r="D49" i="7"/>
  <c r="AC48" i="7"/>
  <c r="D48" i="7" s="1"/>
  <c r="D47" i="7"/>
  <c r="L46" i="7"/>
  <c r="D46" i="7"/>
  <c r="D45" i="7"/>
  <c r="L44" i="7"/>
  <c r="D44" i="7"/>
  <c r="L43" i="7"/>
  <c r="D42" i="7"/>
  <c r="D41" i="7"/>
  <c r="D40" i="7"/>
  <c r="D39" i="7"/>
  <c r="AC38" i="7"/>
  <c r="D38" i="7"/>
  <c r="D37" i="7"/>
  <c r="D36" i="7"/>
  <c r="L35" i="7"/>
  <c r="D35" i="7"/>
  <c r="D34" i="7"/>
  <c r="D33" i="7"/>
  <c r="D32" i="7"/>
  <c r="D31" i="7"/>
  <c r="D30" i="7"/>
  <c r="AC29" i="7"/>
  <c r="D29" i="7"/>
  <c r="D28" i="7"/>
  <c r="D27" i="7"/>
  <c r="D26" i="7"/>
  <c r="D25" i="7"/>
  <c r="D24" i="7"/>
  <c r="D23" i="7"/>
  <c r="AC22" i="7"/>
  <c r="D22" i="7"/>
  <c r="AE21" i="7"/>
  <c r="AE20" i="7" s="1"/>
  <c r="AD21" i="7"/>
  <c r="AB21" i="7"/>
  <c r="AA21" i="7"/>
  <c r="Z21" i="7"/>
  <c r="Y21" i="7"/>
  <c r="X21" i="7"/>
  <c r="W21" i="7"/>
  <c r="W20" i="7" s="1"/>
  <c r="V21" i="7"/>
  <c r="U21" i="7"/>
  <c r="T21" i="7"/>
  <c r="S21" i="7"/>
  <c r="R21" i="7"/>
  <c r="Q21" i="7"/>
  <c r="P21" i="7"/>
  <c r="O21" i="7"/>
  <c r="O20" i="7" s="1"/>
  <c r="M21" i="7"/>
  <c r="K21" i="7"/>
  <c r="J21" i="7"/>
  <c r="J20" i="7" s="1"/>
  <c r="I21" i="7"/>
  <c r="H21" i="7"/>
  <c r="G21" i="7"/>
  <c r="G20" i="7" s="1"/>
  <c r="F21" i="7"/>
  <c r="F20" i="7" s="1"/>
  <c r="E21" i="7"/>
  <c r="AA20" i="7"/>
  <c r="S20" i="7"/>
  <c r="K20" i="7"/>
  <c r="F212" i="5"/>
  <c r="E212" i="5"/>
  <c r="D212" i="5"/>
  <c r="C212" i="5"/>
  <c r="AL1325" i="3"/>
  <c r="AJ1325" i="3"/>
  <c r="AF1325" i="3"/>
  <c r="P1325" i="3"/>
  <c r="T1325" i="3" s="1"/>
  <c r="U1324" i="3"/>
  <c r="S1324" i="3"/>
  <c r="R1324" i="3"/>
  <c r="Q1324" i="3"/>
  <c r="L1324" i="3"/>
  <c r="K1324" i="3"/>
  <c r="J1324" i="3"/>
  <c r="I1324" i="3"/>
  <c r="D1332" i="7"/>
  <c r="N1331" i="7"/>
  <c r="AE1331" i="7"/>
  <c r="AD1331" i="7"/>
  <c r="AC1331" i="7"/>
  <c r="AB1331" i="7"/>
  <c r="AA1331" i="7"/>
  <c r="Z1331" i="7"/>
  <c r="Y1331" i="7"/>
  <c r="X1331" i="7"/>
  <c r="W1331" i="7"/>
  <c r="V1331" i="7"/>
  <c r="U1331" i="7"/>
  <c r="T1331" i="7"/>
  <c r="S1331" i="7"/>
  <c r="R1331" i="7"/>
  <c r="Q1331" i="7"/>
  <c r="P1331" i="7"/>
  <c r="O1331" i="7"/>
  <c r="M1331" i="7"/>
  <c r="L1331" i="7"/>
  <c r="K1331" i="7"/>
  <c r="J1331" i="7"/>
  <c r="I1331" i="7"/>
  <c r="H1331" i="7"/>
  <c r="G1331" i="7"/>
  <c r="F1331" i="7"/>
  <c r="E1331" i="7"/>
  <c r="V19" i="7" l="1"/>
  <c r="D382" i="7"/>
  <c r="D380" i="7" s="1"/>
  <c r="AC380" i="7"/>
  <c r="R556" i="7"/>
  <c r="R19" i="7" s="1"/>
  <c r="AC888" i="7"/>
  <c r="AC887" i="7" s="1"/>
  <c r="U887" i="7"/>
  <c r="U556" i="7" s="1"/>
  <c r="D1309" i="7"/>
  <c r="D1308" i="7" s="1"/>
  <c r="AC1308" i="7"/>
  <c r="D21" i="7"/>
  <c r="D126" i="7"/>
  <c r="H20" i="7"/>
  <c r="L202" i="7"/>
  <c r="P20" i="7"/>
  <c r="P19" i="7" s="1"/>
  <c r="T20" i="7"/>
  <c r="X20" i="7"/>
  <c r="AB20" i="7"/>
  <c r="D242" i="7"/>
  <c r="D239" i="7" s="1"/>
  <c r="AC239" i="7"/>
  <c r="AC301" i="7"/>
  <c r="D301" i="7"/>
  <c r="D428" i="7"/>
  <c r="AC496" i="7"/>
  <c r="E556" i="7"/>
  <c r="J556" i="7"/>
  <c r="J19" i="7" s="1"/>
  <c r="D653" i="7"/>
  <c r="AC653" i="7"/>
  <c r="AC656" i="7"/>
  <c r="D656" i="7" s="1"/>
  <c r="D659" i="7"/>
  <c r="AC659" i="7"/>
  <c r="AC664" i="7"/>
  <c r="D664" i="7" s="1"/>
  <c r="D668" i="7"/>
  <c r="AC703" i="7"/>
  <c r="D703" i="7" s="1"/>
  <c r="D679" i="7" s="1"/>
  <c r="D755" i="7"/>
  <c r="D752" i="7" s="1"/>
  <c r="AC752" i="7"/>
  <c r="AC790" i="7"/>
  <c r="D790" i="7" s="1"/>
  <c r="O556" i="7"/>
  <c r="O19" i="7" s="1"/>
  <c r="S556" i="7"/>
  <c r="S19" i="7" s="1"/>
  <c r="W556" i="7"/>
  <c r="W19" i="7" s="1"/>
  <c r="AA556" i="7"/>
  <c r="AA19" i="7" s="1"/>
  <c r="D807" i="7"/>
  <c r="D820" i="7"/>
  <c r="D819" i="7" s="1"/>
  <c r="AC820" i="7"/>
  <c r="AC819" i="7" s="1"/>
  <c r="N819" i="7"/>
  <c r="D826" i="7"/>
  <c r="AC826" i="7"/>
  <c r="D829" i="7"/>
  <c r="D839" i="7"/>
  <c r="D914" i="7"/>
  <c r="D912" i="7" s="1"/>
  <c r="AC914" i="7"/>
  <c r="D43" i="7"/>
  <c r="L21" i="7"/>
  <c r="D407" i="7"/>
  <c r="D404" i="7" s="1"/>
  <c r="AC404" i="7"/>
  <c r="D432" i="7"/>
  <c r="AC428" i="7"/>
  <c r="D727" i="7"/>
  <c r="D723" i="7" s="1"/>
  <c r="D776" i="7"/>
  <c r="D816" i="7"/>
  <c r="D814" i="7" s="1"/>
  <c r="AC814" i="7"/>
  <c r="E20" i="7"/>
  <c r="I20" i="7"/>
  <c r="M20" i="7"/>
  <c r="M19" i="7" s="1"/>
  <c r="Q20" i="7"/>
  <c r="U20" i="7"/>
  <c r="Y20" i="7"/>
  <c r="AC156" i="7"/>
  <c r="D156" i="7"/>
  <c r="AC202" i="7"/>
  <c r="D246" i="7"/>
  <c r="D245" i="7" s="1"/>
  <c r="L245" i="7"/>
  <c r="D299" i="7"/>
  <c r="D295" i="7" s="1"/>
  <c r="AC295" i="7"/>
  <c r="D324" i="7"/>
  <c r="D309" i="7" s="1"/>
  <c r="AC309" i="7"/>
  <c r="D344" i="7"/>
  <c r="D342" i="7" s="1"/>
  <c r="AC342" i="7"/>
  <c r="D467" i="7"/>
  <c r="N557" i="7"/>
  <c r="F556" i="7"/>
  <c r="F19" i="7" s="1"/>
  <c r="AC648" i="7"/>
  <c r="AC647" i="7" s="1"/>
  <c r="N647" i="7"/>
  <c r="AC677" i="7"/>
  <c r="D677" i="7" s="1"/>
  <c r="K556" i="7"/>
  <c r="K19" i="7" s="1"/>
  <c r="D796" i="7"/>
  <c r="N792" i="7"/>
  <c r="AC796" i="7"/>
  <c r="AC838" i="7"/>
  <c r="AC960" i="7"/>
  <c r="D961" i="7"/>
  <c r="AC984" i="7"/>
  <c r="D984" i="7" s="1"/>
  <c r="D979" i="7" s="1"/>
  <c r="AC21" i="7"/>
  <c r="AC245" i="7"/>
  <c r="D478" i="7"/>
  <c r="D473" i="7" s="1"/>
  <c r="AC473" i="7"/>
  <c r="D490" i="7"/>
  <c r="D485" i="7" s="1"/>
  <c r="AC485" i="7"/>
  <c r="AC519" i="7"/>
  <c r="D535" i="7"/>
  <c r="D547" i="7"/>
  <c r="D545" i="7" s="1"/>
  <c r="AC545" i="7"/>
  <c r="Q556" i="7"/>
  <c r="Y556" i="7"/>
  <c r="AC679" i="7"/>
  <c r="N723" i="7"/>
  <c r="AC738" i="7"/>
  <c r="D738" i="7" s="1"/>
  <c r="N765" i="7"/>
  <c r="AC778" i="7"/>
  <c r="AC765" i="7" s="1"/>
  <c r="D786" i="7"/>
  <c r="G765" i="7"/>
  <c r="AC786" i="7"/>
  <c r="AC789" i="7"/>
  <c r="D789" i="7" s="1"/>
  <c r="D794" i="7"/>
  <c r="AC792" i="7"/>
  <c r="D802" i="7"/>
  <c r="D800" i="7" s="1"/>
  <c r="D804" i="7"/>
  <c r="AC804" i="7"/>
  <c r="AC800" i="7" s="1"/>
  <c r="AC807" i="7"/>
  <c r="N821" i="7"/>
  <c r="T821" i="7"/>
  <c r="T556" i="7" s="1"/>
  <c r="AC834" i="7"/>
  <c r="D834" i="7" s="1"/>
  <c r="D821" i="7" s="1"/>
  <c r="AC998" i="7"/>
  <c r="D999" i="7"/>
  <c r="D998" i="7" s="1"/>
  <c r="AC903" i="7"/>
  <c r="D945" i="7"/>
  <c r="AC950" i="7"/>
  <c r="AC949" i="7" s="1"/>
  <c r="N949" i="7"/>
  <c r="D962" i="7"/>
  <c r="AC962" i="7"/>
  <c r="AC967" i="7"/>
  <c r="AC966" i="7" s="1"/>
  <c r="N966" i="7"/>
  <c r="AC972" i="7"/>
  <c r="AC971" i="7" s="1"/>
  <c r="N971" i="7"/>
  <c r="AC992" i="7"/>
  <c r="AC1104" i="7"/>
  <c r="D1114" i="7"/>
  <c r="D1104" i="7" s="1"/>
  <c r="D1192" i="7"/>
  <c r="D1191" i="7" s="1"/>
  <c r="AC1191" i="7"/>
  <c r="D1195" i="7"/>
  <c r="AC1193" i="7"/>
  <c r="D1202" i="7"/>
  <c r="D1200" i="7" s="1"/>
  <c r="AC1200" i="7"/>
  <c r="AC1306" i="7"/>
  <c r="D1307" i="7"/>
  <c r="D1306" i="7" s="1"/>
  <c r="AC369" i="7"/>
  <c r="AC553" i="7"/>
  <c r="G647" i="7"/>
  <c r="N679" i="7"/>
  <c r="AC735" i="7"/>
  <c r="D735" i="7" s="1"/>
  <c r="N800" i="7"/>
  <c r="AC845" i="7"/>
  <c r="D845" i="7" s="1"/>
  <c r="AC849" i="7"/>
  <c r="D869" i="7"/>
  <c r="AC894" i="7"/>
  <c r="D897" i="7"/>
  <c r="D910" i="7"/>
  <c r="N903" i="7"/>
  <c r="AC910" i="7"/>
  <c r="D919" i="7"/>
  <c r="D918" i="7" s="1"/>
  <c r="AC926" i="7"/>
  <c r="AC925" i="7" s="1"/>
  <c r="N925" i="7"/>
  <c r="AC931" i="7"/>
  <c r="D978" i="7"/>
  <c r="N975" i="7"/>
  <c r="AC978" i="7"/>
  <c r="AC979" i="7"/>
  <c r="D988" i="7"/>
  <c r="D985" i="7" s="1"/>
  <c r="F1034" i="7"/>
  <c r="J1034" i="7"/>
  <c r="R1034" i="7"/>
  <c r="V1034" i="7"/>
  <c r="Z1034" i="7"/>
  <c r="Z19" i="7" s="1"/>
  <c r="AC1166" i="7"/>
  <c r="AC1163" i="7" s="1"/>
  <c r="N1163" i="7"/>
  <c r="D1174" i="7"/>
  <c r="AC1172" i="7"/>
  <c r="K1034" i="7"/>
  <c r="S1034" i="7"/>
  <c r="AA1034" i="7"/>
  <c r="D1179" i="7"/>
  <c r="D1188" i="7"/>
  <c r="D1186" i="7" s="1"/>
  <c r="AC1186" i="7"/>
  <c r="D1262" i="7"/>
  <c r="D1261" i="7" s="1"/>
  <c r="AC1261" i="7"/>
  <c r="D1284" i="7"/>
  <c r="D854" i="7"/>
  <c r="D852" i="7" s="1"/>
  <c r="R852" i="7"/>
  <c r="D868" i="7"/>
  <c r="D880" i="7"/>
  <c r="AC882" i="7"/>
  <c r="AC874" i="7" s="1"/>
  <c r="N874" i="7"/>
  <c r="D892" i="7"/>
  <c r="D890" i="7" s="1"/>
  <c r="AC890" i="7"/>
  <c r="AC912" i="7"/>
  <c r="AC918" i="7"/>
  <c r="D936" i="7"/>
  <c r="G939" i="7"/>
  <c r="AC944" i="7"/>
  <c r="D944" i="7" s="1"/>
  <c r="D939" i="7" s="1"/>
  <c r="AC975" i="7"/>
  <c r="D1001" i="7"/>
  <c r="D1000" i="7" s="1"/>
  <c r="H1000" i="7"/>
  <c r="AC1001" i="7"/>
  <c r="AC1000" i="7" s="1"/>
  <c r="D1011" i="7"/>
  <c r="D1010" i="7" s="1"/>
  <c r="AC1010" i="7"/>
  <c r="AC1016" i="7"/>
  <c r="D1017" i="7"/>
  <c r="O1034" i="7"/>
  <c r="AE1034" i="7"/>
  <c r="AE19" i="7" s="1"/>
  <c r="N1146" i="7"/>
  <c r="AC1154" i="7"/>
  <c r="D1154" i="7" s="1"/>
  <c r="D1146" i="7" s="1"/>
  <c r="D1212" i="7"/>
  <c r="D1210" i="7" s="1"/>
  <c r="N1210" i="7"/>
  <c r="AC1212" i="7"/>
  <c r="AC1210" i="7" s="1"/>
  <c r="N887" i="7"/>
  <c r="AD897" i="7"/>
  <c r="AD556" i="7" s="1"/>
  <c r="AD19" i="7" s="1"/>
  <c r="D904" i="7"/>
  <c r="D930" i="7"/>
  <c r="D929" i="7" s="1"/>
  <c r="D976" i="7"/>
  <c r="D995" i="7"/>
  <c r="D992" i="7" s="1"/>
  <c r="D997" i="7"/>
  <c r="D996" i="7" s="1"/>
  <c r="AC1003" i="7"/>
  <c r="AC1002" i="7" s="1"/>
  <c r="D1181" i="7"/>
  <c r="AC1179" i="7"/>
  <c r="AC1222" i="7"/>
  <c r="D1302" i="7"/>
  <c r="N900" i="7"/>
  <c r="N912" i="7"/>
  <c r="N931" i="7"/>
  <c r="N939" i="7"/>
  <c r="H945" i="7"/>
  <c r="N960" i="7"/>
  <c r="N964" i="7"/>
  <c r="N969" i="7"/>
  <c r="U975" i="7"/>
  <c r="N992" i="7"/>
  <c r="N998" i="7"/>
  <c r="AC1004" i="7"/>
  <c r="D1005" i="7"/>
  <c r="D1004" i="7" s="1"/>
  <c r="D1160" i="7"/>
  <c r="AC1204" i="7"/>
  <c r="AC1208" i="7"/>
  <c r="AC1220" i="7"/>
  <c r="AC1255" i="7"/>
  <c r="D1259" i="7"/>
  <c r="D1257" i="7" s="1"/>
  <c r="AC1257" i="7"/>
  <c r="AC1271" i="7"/>
  <c r="AC1276" i="7"/>
  <c r="AC1275" i="7" s="1"/>
  <c r="N1275" i="7"/>
  <c r="N1034" i="7" s="1"/>
  <c r="AC1025" i="7"/>
  <c r="AC1024" i="7" s="1"/>
  <c r="N1024" i="7"/>
  <c r="D1031" i="7"/>
  <c r="D1030" i="7" s="1"/>
  <c r="AC1031" i="7"/>
  <c r="AC1030" i="7" s="1"/>
  <c r="N1030" i="7"/>
  <c r="AC1032" i="7"/>
  <c r="D1033" i="7"/>
  <c r="D1032" i="7" s="1"/>
  <c r="AD1034" i="7"/>
  <c r="H1034" i="7"/>
  <c r="L1034" i="7"/>
  <c r="P1034" i="7"/>
  <c r="X1034" i="7"/>
  <c r="AB1034" i="7"/>
  <c r="AC1131" i="7"/>
  <c r="AC1119" i="7" s="1"/>
  <c r="E1034" i="7"/>
  <c r="I1034" i="7"/>
  <c r="M1034" i="7"/>
  <c r="Q1034" i="7"/>
  <c r="U1034" i="7"/>
  <c r="Y1034" i="7"/>
  <c r="D1172" i="7"/>
  <c r="AC1177" i="7"/>
  <c r="AC1175" i="7" s="1"/>
  <c r="T1175" i="7"/>
  <c r="T1034" i="7" s="1"/>
  <c r="D1193" i="7"/>
  <c r="D1228" i="7"/>
  <c r="D1222" i="7" s="1"/>
  <c r="U1222" i="7"/>
  <c r="AC1228" i="7"/>
  <c r="D1269" i="7"/>
  <c r="D1267" i="7" s="1"/>
  <c r="AC1267" i="7"/>
  <c r="D1006" i="7"/>
  <c r="D1013" i="7"/>
  <c r="D1012" i="7" s="1"/>
  <c r="D1018" i="7"/>
  <c r="AC1146" i="7"/>
  <c r="N1253" i="7"/>
  <c r="N1306" i="7"/>
  <c r="N1012" i="7"/>
  <c r="P1324" i="3"/>
  <c r="W1325" i="3"/>
  <c r="V1325" i="3" s="1"/>
  <c r="T1324" i="3"/>
  <c r="D1331" i="7"/>
  <c r="N556" i="7" l="1"/>
  <c r="N19" i="7" s="1"/>
  <c r="D765" i="7"/>
  <c r="D975" i="7"/>
  <c r="D867" i="7"/>
  <c r="AC939" i="7"/>
  <c r="I19" i="7"/>
  <c r="AB19" i="7"/>
  <c r="D1177" i="7"/>
  <c r="D1175" i="7" s="1"/>
  <c r="H556" i="7"/>
  <c r="H19" i="7" s="1"/>
  <c r="D1003" i="7"/>
  <c r="D1002" i="7" s="1"/>
  <c r="D882" i="7"/>
  <c r="D874" i="7" s="1"/>
  <c r="G556" i="7"/>
  <c r="G19" i="7" s="1"/>
  <c r="AC1034" i="7"/>
  <c r="D967" i="7"/>
  <c r="D966" i="7" s="1"/>
  <c r="D648" i="7"/>
  <c r="D647" i="7" s="1"/>
  <c r="U19" i="7"/>
  <c r="E19" i="7"/>
  <c r="X19" i="7"/>
  <c r="D888" i="7"/>
  <c r="D887" i="7" s="1"/>
  <c r="AC362" i="7"/>
  <c r="AC20" i="7" s="1"/>
  <c r="AC19" i="7" s="1"/>
  <c r="D369" i="7"/>
  <c r="D362" i="7" s="1"/>
  <c r="D20" i="7" s="1"/>
  <c r="L20" i="7"/>
  <c r="L19" i="7" s="1"/>
  <c r="D1166" i="7"/>
  <c r="D1163" i="7" s="1"/>
  <c r="D926" i="7"/>
  <c r="D925" i="7" s="1"/>
  <c r="Y19" i="7"/>
  <c r="AC723" i="7"/>
  <c r="AC556" i="7" s="1"/>
  <c r="D838" i="7"/>
  <c r="AC821" i="7"/>
  <c r="D1276" i="7"/>
  <c r="D1275" i="7" s="1"/>
  <c r="D1131" i="7"/>
  <c r="D1119" i="7" s="1"/>
  <c r="D1034" i="7" s="1"/>
  <c r="D1025" i="7"/>
  <c r="D1024" i="7" s="1"/>
  <c r="D903" i="7"/>
  <c r="D1016" i="7"/>
  <c r="D972" i="7"/>
  <c r="D971" i="7" s="1"/>
  <c r="D950" i="7"/>
  <c r="D949" i="7" s="1"/>
  <c r="D792" i="7"/>
  <c r="D778" i="7"/>
  <c r="D960" i="7"/>
  <c r="Q19" i="7"/>
  <c r="T19" i="7"/>
  <c r="Q237" i="13"/>
  <c r="Q235" i="13"/>
  <c r="Q233" i="13"/>
  <c r="Q231" i="13"/>
  <c r="Q228" i="13"/>
  <c r="Q226" i="13"/>
  <c r="Q224" i="13"/>
  <c r="Q222" i="13"/>
  <c r="Q220" i="13"/>
  <c r="Q218" i="13"/>
  <c r="Q216" i="13"/>
  <c r="Q211" i="13"/>
  <c r="Q209" i="13"/>
  <c r="Q207" i="13"/>
  <c r="Q205" i="13"/>
  <c r="Q201" i="13"/>
  <c r="Q198" i="13"/>
  <c r="Q195" i="13"/>
  <c r="Q193" i="13"/>
  <c r="Q187" i="13"/>
  <c r="Q185" i="13"/>
  <c r="Q182" i="13"/>
  <c r="Q179" i="13"/>
  <c r="Q172" i="13"/>
  <c r="Q156" i="13"/>
  <c r="Q129" i="13"/>
  <c r="Q124" i="13"/>
  <c r="Q116" i="13"/>
  <c r="Q99" i="13"/>
  <c r="Q95" i="13"/>
  <c r="Q93" i="13"/>
  <c r="Q86" i="13"/>
  <c r="Q85" i="13" s="1"/>
  <c r="Q82" i="13"/>
  <c r="Q80" i="13"/>
  <c r="Q78" i="13"/>
  <c r="Q76" i="13"/>
  <c r="Q72" i="13"/>
  <c r="Q70" i="13"/>
  <c r="Q68" i="13"/>
  <c r="Q64" i="13"/>
  <c r="Q63" i="13" s="1"/>
  <c r="Q61" i="13"/>
  <c r="Q59" i="13"/>
  <c r="Q57" i="13"/>
  <c r="Q53" i="13"/>
  <c r="Q51" i="13"/>
  <c r="Q49" i="13"/>
  <c r="Q47" i="13"/>
  <c r="Q43" i="13"/>
  <c r="Q41" i="13"/>
  <c r="Q39" i="13"/>
  <c r="Q35" i="13"/>
  <c r="Q32" i="13"/>
  <c r="Q29" i="13"/>
  <c r="Q27" i="13"/>
  <c r="Q25" i="13"/>
  <c r="Q23" i="13"/>
  <c r="Q14" i="13"/>
  <c r="Q12" i="13"/>
  <c r="U1334" i="3"/>
  <c r="U1332" i="3"/>
  <c r="U1328" i="3"/>
  <c r="U1322" i="3"/>
  <c r="U1321" i="3" s="1"/>
  <c r="U1319" i="3"/>
  <c r="U1317" i="3"/>
  <c r="U1315" i="3"/>
  <c r="U1310" i="3"/>
  <c r="U1306" i="3"/>
  <c r="U1304" i="3"/>
  <c r="U1302" i="3"/>
  <c r="U1300" i="3"/>
  <c r="U1296" i="3"/>
  <c r="U1293" i="3"/>
  <c r="U1291" i="3"/>
  <c r="U1289" i="3"/>
  <c r="U1286" i="3"/>
  <c r="U1282" i="3"/>
  <c r="U1278" i="3"/>
  <c r="U1274" i="3"/>
  <c r="U1271" i="3"/>
  <c r="U1269" i="3"/>
  <c r="U1267" i="3"/>
  <c r="U1265" i="3"/>
  <c r="U1261" i="3"/>
  <c r="U1259" i="3"/>
  <c r="U1257" i="3"/>
  <c r="U1255" i="3"/>
  <c r="U1251" i="3"/>
  <c r="U1249" i="3"/>
  <c r="U1247" i="3"/>
  <c r="U1245" i="3"/>
  <c r="U1243" i="3"/>
  <c r="U1241" i="3"/>
  <c r="U1239" i="3"/>
  <c r="U1235" i="3"/>
  <c r="U1233" i="3"/>
  <c r="U1230" i="3"/>
  <c r="U1226" i="3"/>
  <c r="U1223" i="3"/>
  <c r="U1216" i="3"/>
  <c r="U1214" i="3"/>
  <c r="U1212" i="3"/>
  <c r="U1210" i="3"/>
  <c r="U1207" i="3"/>
  <c r="U1204" i="3"/>
  <c r="U1202" i="3"/>
  <c r="U1200" i="3"/>
  <c r="U1198" i="3"/>
  <c r="U1194" i="3"/>
  <c r="U1187" i="3"/>
  <c r="U1185" i="3"/>
  <c r="U1183" i="3"/>
  <c r="U1180" i="3"/>
  <c r="U1178" i="3"/>
  <c r="U1176" i="3"/>
  <c r="U1173" i="3"/>
  <c r="U1169" i="3"/>
  <c r="U1166" i="3"/>
  <c r="U1157" i="3"/>
  <c r="U1154" i="3"/>
  <c r="U1140" i="3"/>
  <c r="U1113" i="3"/>
  <c r="U1098" i="3"/>
  <c r="U1029" i="3"/>
  <c r="U1026" i="3"/>
  <c r="U1024" i="3"/>
  <c r="U1018" i="3"/>
  <c r="U1010" i="3"/>
  <c r="U1008" i="3"/>
  <c r="U1006" i="3"/>
  <c r="U1004" i="3"/>
  <c r="U998" i="3"/>
  <c r="U996" i="3"/>
  <c r="U994" i="3"/>
  <c r="U992" i="3"/>
  <c r="U990" i="3"/>
  <c r="U986" i="3"/>
  <c r="U979" i="3"/>
  <c r="U973" i="3"/>
  <c r="U969" i="3"/>
  <c r="U967" i="3"/>
  <c r="U965" i="3"/>
  <c r="U963" i="3"/>
  <c r="U960" i="3"/>
  <c r="U958" i="3"/>
  <c r="U954" i="3"/>
  <c r="U945" i="3"/>
  <c r="U943" i="3"/>
  <c r="U939" i="3"/>
  <c r="U933" i="3"/>
  <c r="U930" i="3"/>
  <c r="U925" i="3"/>
  <c r="U923" i="3"/>
  <c r="U921" i="3"/>
  <c r="U919" i="3"/>
  <c r="U917" i="3"/>
  <c r="U912" i="3"/>
  <c r="U910" i="3"/>
  <c r="U906" i="3"/>
  <c r="U897" i="3"/>
  <c r="U894" i="3"/>
  <c r="U891" i="3"/>
  <c r="U888" i="3"/>
  <c r="U884" i="3"/>
  <c r="U881" i="3"/>
  <c r="U868" i="3"/>
  <c r="U866" i="3"/>
  <c r="U861" i="3"/>
  <c r="U859" i="3"/>
  <c r="U857" i="3"/>
  <c r="U855" i="3"/>
  <c r="U853" i="3"/>
  <c r="U851" i="3"/>
  <c r="U849" i="3"/>
  <c r="U846" i="3"/>
  <c r="U843" i="3"/>
  <c r="U832" i="3"/>
  <c r="U815" i="3"/>
  <c r="U813" i="3"/>
  <c r="U811" i="3"/>
  <c r="U808" i="3"/>
  <c r="U806" i="3"/>
  <c r="U801" i="3"/>
  <c r="U794" i="3"/>
  <c r="U786" i="3"/>
  <c r="U759" i="3"/>
  <c r="U746" i="3"/>
  <c r="U717" i="3"/>
  <c r="U673" i="3"/>
  <c r="U641" i="3"/>
  <c r="U551" i="3"/>
  <c r="U547" i="3"/>
  <c r="U544" i="3"/>
  <c r="U539" i="3"/>
  <c r="U527" i="3"/>
  <c r="U524" i="3"/>
  <c r="U522" i="3"/>
  <c r="U516" i="3"/>
  <c r="U513" i="3"/>
  <c r="U511" i="3"/>
  <c r="U508" i="3"/>
  <c r="U505" i="3"/>
  <c r="U503" i="3"/>
  <c r="U497" i="3"/>
  <c r="U492" i="3"/>
  <c r="U490" i="3"/>
  <c r="U488" i="3"/>
  <c r="U479" i="3"/>
  <c r="U467" i="3"/>
  <c r="U461" i="3"/>
  <c r="U459" i="3"/>
  <c r="U457" i="3"/>
  <c r="U455" i="3"/>
  <c r="U453" i="3"/>
  <c r="U451" i="3"/>
  <c r="U449" i="3"/>
  <c r="U438" i="3"/>
  <c r="U435" i="3"/>
  <c r="U429" i="3"/>
  <c r="U422" i="3"/>
  <c r="U418" i="3"/>
  <c r="U416" i="3"/>
  <c r="U412" i="3"/>
  <c r="U408" i="3"/>
  <c r="U406" i="3"/>
  <c r="U398" i="3"/>
  <c r="U396" i="3"/>
  <c r="U391" i="3"/>
  <c r="U389" i="3"/>
  <c r="U386" i="3"/>
  <c r="U381" i="3"/>
  <c r="U379" i="3"/>
  <c r="U377" i="3"/>
  <c r="U374" i="3"/>
  <c r="U356" i="3"/>
  <c r="U354" i="3"/>
  <c r="U351" i="3"/>
  <c r="U347" i="3"/>
  <c r="U344" i="3"/>
  <c r="U341" i="3"/>
  <c r="U336" i="3"/>
  <c r="U319" i="3"/>
  <c r="U303" i="3"/>
  <c r="U301" i="3"/>
  <c r="U295" i="3"/>
  <c r="U289" i="3"/>
  <c r="U286" i="3"/>
  <c r="U284" i="3"/>
  <c r="U279" i="3"/>
  <c r="U272" i="3"/>
  <c r="U266" i="3"/>
  <c r="U239" i="3"/>
  <c r="U233" i="3"/>
  <c r="U196" i="3"/>
  <c r="U150" i="3"/>
  <c r="U120" i="3"/>
  <c r="U15" i="3"/>
  <c r="D556" i="7" l="1"/>
  <c r="D19" i="7" s="1"/>
  <c r="U1327" i="3"/>
  <c r="Q11" i="13"/>
  <c r="Q10" i="13" s="1"/>
  <c r="U1314" i="3"/>
  <c r="U550" i="3"/>
  <c r="U1028" i="3"/>
  <c r="P1323" i="3" l="1"/>
  <c r="T1323" i="3" s="1"/>
  <c r="N1330" i="7"/>
  <c r="AL1323" i="3"/>
  <c r="AJ1323" i="3"/>
  <c r="AF1323" i="3"/>
  <c r="S1322" i="3"/>
  <c r="R1322" i="3"/>
  <c r="Q1322" i="3"/>
  <c r="L1322" i="3"/>
  <c r="L1321" i="3" s="1"/>
  <c r="K1322" i="3"/>
  <c r="K1321" i="3" s="1"/>
  <c r="J1322" i="3"/>
  <c r="J1321" i="3" s="1"/>
  <c r="I1322" i="3"/>
  <c r="I1321" i="3" s="1"/>
  <c r="S1321" i="3" l="1"/>
  <c r="C34" i="4" s="1"/>
  <c r="R1321" i="3"/>
  <c r="C33" i="4" s="1"/>
  <c r="Q1321" i="3"/>
  <c r="C32" i="4" s="1"/>
  <c r="W1323" i="3"/>
  <c r="V1323" i="3" s="1"/>
  <c r="P1322" i="3"/>
  <c r="P1321" i="3" s="1"/>
  <c r="T1322" i="3" l="1"/>
  <c r="B1199" i="7"/>
  <c r="AD1192" i="3"/>
  <c r="W1192" i="3" s="1"/>
  <c r="T1192" i="3"/>
  <c r="V1192" i="3" s="1"/>
  <c r="S1192" i="3"/>
  <c r="B1192" i="3"/>
  <c r="B1198" i="7"/>
  <c r="B334" i="3" l="1"/>
  <c r="B335" i="3"/>
  <c r="AL334" i="3"/>
  <c r="W334" i="3" s="1"/>
  <c r="T334" i="3"/>
  <c r="V334" i="3" s="1"/>
  <c r="S334" i="3"/>
  <c r="B340" i="7"/>
  <c r="B341" i="7"/>
  <c r="D1330" i="7" l="1"/>
  <c r="AE1329" i="7"/>
  <c r="AE1328" i="7" s="1"/>
  <c r="AD1329" i="7"/>
  <c r="AD1328" i="7" s="1"/>
  <c r="AC1329" i="7"/>
  <c r="AC1328" i="7" s="1"/>
  <c r="AB1329" i="7"/>
  <c r="AB1328" i="7" s="1"/>
  <c r="AA1329" i="7"/>
  <c r="AA1328" i="7" s="1"/>
  <c r="Z1329" i="7"/>
  <c r="Z1328" i="7" s="1"/>
  <c r="Y1329" i="7"/>
  <c r="Y1328" i="7" s="1"/>
  <c r="X1329" i="7"/>
  <c r="X1328" i="7" s="1"/>
  <c r="W1329" i="7"/>
  <c r="W1328" i="7" s="1"/>
  <c r="V1329" i="7"/>
  <c r="V1328" i="7" s="1"/>
  <c r="U1329" i="7"/>
  <c r="U1328" i="7" s="1"/>
  <c r="T1329" i="7"/>
  <c r="T1328" i="7" s="1"/>
  <c r="S1329" i="7"/>
  <c r="S1328" i="7" s="1"/>
  <c r="R1329" i="7"/>
  <c r="R1328" i="7" s="1"/>
  <c r="Q1329" i="7"/>
  <c r="Q1328" i="7" s="1"/>
  <c r="P1329" i="7"/>
  <c r="P1328" i="7" s="1"/>
  <c r="O1329" i="7"/>
  <c r="O1328" i="7" s="1"/>
  <c r="N1329" i="7"/>
  <c r="N1328" i="7" s="1"/>
  <c r="M1329" i="7"/>
  <c r="M1328" i="7" s="1"/>
  <c r="L1329" i="7"/>
  <c r="L1328" i="7" s="1"/>
  <c r="K1329" i="7"/>
  <c r="K1328" i="7" s="1"/>
  <c r="J1329" i="7"/>
  <c r="J1328" i="7" s="1"/>
  <c r="I1329" i="7"/>
  <c r="I1328" i="7" s="1"/>
  <c r="H1329" i="7"/>
  <c r="H1328" i="7" s="1"/>
  <c r="G1329" i="7"/>
  <c r="G1328" i="7" s="1"/>
  <c r="F1329" i="7"/>
  <c r="F1328" i="7" s="1"/>
  <c r="E1329" i="7"/>
  <c r="E1328" i="7" s="1"/>
  <c r="T1311" i="3"/>
  <c r="T1309" i="3"/>
  <c r="T1308" i="3"/>
  <c r="T1307" i="3"/>
  <c r="T1305" i="3"/>
  <c r="T1303" i="3"/>
  <c r="T1301" i="3"/>
  <c r="T1299" i="3"/>
  <c r="T1298" i="3"/>
  <c r="T1297" i="3"/>
  <c r="T1295" i="3"/>
  <c r="T1294" i="3"/>
  <c r="T1292" i="3"/>
  <c r="T1290" i="3"/>
  <c r="T1288" i="3"/>
  <c r="T1287" i="3"/>
  <c r="T1285" i="3"/>
  <c r="T1284" i="3"/>
  <c r="T1283" i="3"/>
  <c r="T1281" i="3"/>
  <c r="T1280" i="3"/>
  <c r="T1279" i="3"/>
  <c r="T1277" i="3"/>
  <c r="T1276" i="3"/>
  <c r="T1275" i="3"/>
  <c r="T1273" i="3"/>
  <c r="T1272" i="3"/>
  <c r="T1270" i="3"/>
  <c r="T1268" i="3"/>
  <c r="T1266" i="3"/>
  <c r="T1264" i="3"/>
  <c r="T1263" i="3"/>
  <c r="T1262" i="3"/>
  <c r="T1260" i="3"/>
  <c r="T1258" i="3"/>
  <c r="T1256" i="3"/>
  <c r="T1254" i="3"/>
  <c r="T1253" i="3"/>
  <c r="T1252" i="3"/>
  <c r="T1250" i="3"/>
  <c r="T1248" i="3"/>
  <c r="T1246" i="3"/>
  <c r="T1244" i="3"/>
  <c r="T1242" i="3"/>
  <c r="T1240" i="3"/>
  <c r="T1238" i="3"/>
  <c r="T1237" i="3"/>
  <c r="T1236" i="3"/>
  <c r="T1234" i="3"/>
  <c r="T1232" i="3"/>
  <c r="T1231" i="3"/>
  <c r="T1229" i="3"/>
  <c r="T1228" i="3"/>
  <c r="T1227" i="3"/>
  <c r="T1225" i="3"/>
  <c r="T1224" i="3"/>
  <c r="T1222" i="3"/>
  <c r="T1221" i="3"/>
  <c r="T1220" i="3"/>
  <c r="T1219" i="3"/>
  <c r="T1218" i="3"/>
  <c r="T1217" i="3"/>
  <c r="T1215" i="3"/>
  <c r="T1213" i="3"/>
  <c r="T1211" i="3"/>
  <c r="T1209" i="3"/>
  <c r="T1208" i="3"/>
  <c r="T1206" i="3"/>
  <c r="T1205" i="3"/>
  <c r="T1203" i="3"/>
  <c r="T1201" i="3"/>
  <c r="T1199" i="3"/>
  <c r="T1197" i="3"/>
  <c r="T1196" i="3"/>
  <c r="T1195" i="3"/>
  <c r="T1193" i="3"/>
  <c r="T1191" i="3"/>
  <c r="T1190" i="3"/>
  <c r="T1189" i="3"/>
  <c r="T1188" i="3"/>
  <c r="T1186" i="3"/>
  <c r="T1184" i="3"/>
  <c r="T1182" i="3"/>
  <c r="T1181" i="3"/>
  <c r="T1179" i="3"/>
  <c r="T1177" i="3"/>
  <c r="T1175" i="3"/>
  <c r="T1174" i="3"/>
  <c r="T1172" i="3"/>
  <c r="T1171" i="3"/>
  <c r="T1170" i="3"/>
  <c r="T1168" i="3"/>
  <c r="T1167" i="3"/>
  <c r="T1165" i="3"/>
  <c r="T1164" i="3"/>
  <c r="T1163" i="3"/>
  <c r="T1162" i="3"/>
  <c r="T1161" i="3"/>
  <c r="T1160" i="3"/>
  <c r="T1159" i="3"/>
  <c r="T1158" i="3"/>
  <c r="T1156" i="3"/>
  <c r="T1155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7" i="3"/>
  <c r="T1025" i="3"/>
  <c r="T1023" i="3"/>
  <c r="T1022" i="3"/>
  <c r="T1021" i="3"/>
  <c r="T1020" i="3"/>
  <c r="T1019" i="3"/>
  <c r="T1017" i="3"/>
  <c r="T1016" i="3"/>
  <c r="T1015" i="3"/>
  <c r="T1014" i="3"/>
  <c r="T1013" i="3"/>
  <c r="T1012" i="3"/>
  <c r="T1011" i="3"/>
  <c r="T1009" i="3"/>
  <c r="T1007" i="3"/>
  <c r="T1005" i="3"/>
  <c r="T1003" i="3"/>
  <c r="T1002" i="3"/>
  <c r="T1001" i="3"/>
  <c r="T1000" i="3"/>
  <c r="T999" i="3"/>
  <c r="T997" i="3"/>
  <c r="T995" i="3"/>
  <c r="T993" i="3"/>
  <c r="T991" i="3"/>
  <c r="T989" i="3"/>
  <c r="T988" i="3"/>
  <c r="T987" i="3"/>
  <c r="T985" i="3"/>
  <c r="T984" i="3"/>
  <c r="T983" i="3"/>
  <c r="T982" i="3"/>
  <c r="T981" i="3"/>
  <c r="T980" i="3"/>
  <c r="T978" i="3"/>
  <c r="T977" i="3"/>
  <c r="T976" i="3"/>
  <c r="T975" i="3"/>
  <c r="T974" i="3"/>
  <c r="T972" i="3"/>
  <c r="T971" i="3"/>
  <c r="T970" i="3"/>
  <c r="T968" i="3"/>
  <c r="T966" i="3"/>
  <c r="T964" i="3"/>
  <c r="T962" i="3"/>
  <c r="T961" i="3"/>
  <c r="T959" i="3"/>
  <c r="T957" i="3"/>
  <c r="T956" i="3"/>
  <c r="T955" i="3"/>
  <c r="T953" i="3"/>
  <c r="T952" i="3"/>
  <c r="T951" i="3"/>
  <c r="T950" i="3"/>
  <c r="T949" i="3"/>
  <c r="T948" i="3"/>
  <c r="T947" i="3"/>
  <c r="T946" i="3"/>
  <c r="T944" i="3"/>
  <c r="T942" i="3"/>
  <c r="T941" i="3"/>
  <c r="T940" i="3"/>
  <c r="T938" i="3"/>
  <c r="T937" i="3"/>
  <c r="T936" i="3"/>
  <c r="T935" i="3"/>
  <c r="T934" i="3"/>
  <c r="T932" i="3"/>
  <c r="T931" i="3"/>
  <c r="T929" i="3"/>
  <c r="T928" i="3"/>
  <c r="T927" i="3"/>
  <c r="T926" i="3"/>
  <c r="T924" i="3"/>
  <c r="T922" i="3"/>
  <c r="T920" i="3"/>
  <c r="T918" i="3"/>
  <c r="T916" i="3"/>
  <c r="T915" i="3"/>
  <c r="T914" i="3"/>
  <c r="T913" i="3"/>
  <c r="T911" i="3"/>
  <c r="T909" i="3"/>
  <c r="T908" i="3"/>
  <c r="T907" i="3"/>
  <c r="T905" i="3"/>
  <c r="T904" i="3"/>
  <c r="T903" i="3"/>
  <c r="T902" i="3"/>
  <c r="T901" i="3"/>
  <c r="T900" i="3"/>
  <c r="T899" i="3"/>
  <c r="T898" i="3"/>
  <c r="T896" i="3"/>
  <c r="T895" i="3"/>
  <c r="T893" i="3"/>
  <c r="T892" i="3"/>
  <c r="T890" i="3"/>
  <c r="T889" i="3"/>
  <c r="T887" i="3"/>
  <c r="T886" i="3"/>
  <c r="T885" i="3"/>
  <c r="T883" i="3"/>
  <c r="T882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7" i="3"/>
  <c r="T865" i="3"/>
  <c r="T864" i="3"/>
  <c r="T863" i="3"/>
  <c r="T862" i="3"/>
  <c r="T860" i="3"/>
  <c r="T858" i="3"/>
  <c r="T856" i="3"/>
  <c r="T854" i="3"/>
  <c r="T852" i="3"/>
  <c r="T850" i="3"/>
  <c r="T848" i="3"/>
  <c r="T847" i="3"/>
  <c r="T845" i="3"/>
  <c r="T844" i="3"/>
  <c r="T842" i="3"/>
  <c r="T841" i="3"/>
  <c r="T840" i="3"/>
  <c r="T839" i="3"/>
  <c r="T838" i="3"/>
  <c r="T837" i="3"/>
  <c r="T836" i="3"/>
  <c r="T835" i="3"/>
  <c r="T834" i="3"/>
  <c r="T833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4" i="3"/>
  <c r="T812" i="3"/>
  <c r="T810" i="3"/>
  <c r="T809" i="3"/>
  <c r="T807" i="3"/>
  <c r="T805" i="3"/>
  <c r="T804" i="3"/>
  <c r="T803" i="3"/>
  <c r="T802" i="3"/>
  <c r="T800" i="3"/>
  <c r="T799" i="3"/>
  <c r="T798" i="3"/>
  <c r="T797" i="3"/>
  <c r="T796" i="3"/>
  <c r="T795" i="3"/>
  <c r="T793" i="3"/>
  <c r="T792" i="3"/>
  <c r="T791" i="3"/>
  <c r="T790" i="3"/>
  <c r="T789" i="3"/>
  <c r="T788" i="3"/>
  <c r="T787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49" i="3"/>
  <c r="T548" i="3"/>
  <c r="T546" i="3"/>
  <c r="T545" i="3"/>
  <c r="T543" i="3"/>
  <c r="T542" i="3"/>
  <c r="T541" i="3"/>
  <c r="T540" i="3"/>
  <c r="T538" i="3"/>
  <c r="T537" i="3"/>
  <c r="T536" i="3"/>
  <c r="T535" i="3"/>
  <c r="T534" i="3"/>
  <c r="T533" i="3"/>
  <c r="T532" i="3"/>
  <c r="T531" i="3"/>
  <c r="T530" i="3"/>
  <c r="T528" i="3"/>
  <c r="T526" i="3"/>
  <c r="T525" i="3"/>
  <c r="T523" i="3"/>
  <c r="T521" i="3"/>
  <c r="T520" i="3"/>
  <c r="T519" i="3"/>
  <c r="T518" i="3"/>
  <c r="T517" i="3"/>
  <c r="T515" i="3"/>
  <c r="T514" i="3"/>
  <c r="T512" i="3"/>
  <c r="T510" i="3"/>
  <c r="T509" i="3"/>
  <c r="T507" i="3"/>
  <c r="T506" i="3"/>
  <c r="T504" i="3"/>
  <c r="T502" i="3"/>
  <c r="T501" i="3"/>
  <c r="T500" i="3"/>
  <c r="T499" i="3"/>
  <c r="T498" i="3"/>
  <c r="T496" i="3"/>
  <c r="T495" i="3"/>
  <c r="T494" i="3"/>
  <c r="T493" i="3"/>
  <c r="T491" i="3"/>
  <c r="T489" i="3"/>
  <c r="T487" i="3"/>
  <c r="T486" i="3"/>
  <c r="T485" i="3"/>
  <c r="T484" i="3"/>
  <c r="T483" i="3"/>
  <c r="T482" i="3"/>
  <c r="T481" i="3"/>
  <c r="T480" i="3"/>
  <c r="T478" i="3"/>
  <c r="T477" i="3"/>
  <c r="T476" i="3"/>
  <c r="T475" i="3"/>
  <c r="T474" i="3"/>
  <c r="T473" i="3"/>
  <c r="T472" i="3"/>
  <c r="T471" i="3"/>
  <c r="T470" i="3"/>
  <c r="T469" i="3"/>
  <c r="T468" i="3"/>
  <c r="T466" i="3"/>
  <c r="T465" i="3"/>
  <c r="T464" i="3"/>
  <c r="T463" i="3"/>
  <c r="T462" i="3"/>
  <c r="T460" i="3"/>
  <c r="T458" i="3"/>
  <c r="T456" i="3"/>
  <c r="T454" i="3"/>
  <c r="T452" i="3"/>
  <c r="T450" i="3"/>
  <c r="T448" i="3"/>
  <c r="T447" i="3"/>
  <c r="T446" i="3"/>
  <c r="T445" i="3"/>
  <c r="T444" i="3"/>
  <c r="T443" i="3"/>
  <c r="T442" i="3"/>
  <c r="T441" i="3"/>
  <c r="T440" i="3"/>
  <c r="T439" i="3"/>
  <c r="T437" i="3"/>
  <c r="T436" i="3"/>
  <c r="T434" i="3"/>
  <c r="T433" i="3"/>
  <c r="T432" i="3"/>
  <c r="T431" i="3"/>
  <c r="T430" i="3"/>
  <c r="T428" i="3"/>
  <c r="T427" i="3"/>
  <c r="T426" i="3"/>
  <c r="T425" i="3"/>
  <c r="T424" i="3"/>
  <c r="T423" i="3"/>
  <c r="T421" i="3"/>
  <c r="T420" i="3"/>
  <c r="T419" i="3"/>
  <c r="T417" i="3"/>
  <c r="T415" i="3"/>
  <c r="T414" i="3"/>
  <c r="T413" i="3"/>
  <c r="T411" i="3"/>
  <c r="T410" i="3"/>
  <c r="T409" i="3"/>
  <c r="T407" i="3"/>
  <c r="T405" i="3"/>
  <c r="T404" i="3"/>
  <c r="T403" i="3"/>
  <c r="T402" i="3"/>
  <c r="T401" i="3"/>
  <c r="T400" i="3"/>
  <c r="T399" i="3"/>
  <c r="T397" i="3"/>
  <c r="T395" i="3"/>
  <c r="T394" i="3"/>
  <c r="T393" i="3"/>
  <c r="T392" i="3"/>
  <c r="T390" i="3"/>
  <c r="T388" i="3"/>
  <c r="T387" i="3"/>
  <c r="T385" i="3"/>
  <c r="T384" i="3"/>
  <c r="T383" i="3"/>
  <c r="T382" i="3"/>
  <c r="T380" i="3"/>
  <c r="T378" i="3"/>
  <c r="T376" i="3"/>
  <c r="T375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5" i="3"/>
  <c r="T353" i="3"/>
  <c r="T352" i="3"/>
  <c r="T350" i="3"/>
  <c r="T349" i="3"/>
  <c r="T348" i="3"/>
  <c r="T346" i="3"/>
  <c r="T345" i="3"/>
  <c r="T343" i="3"/>
  <c r="T342" i="3"/>
  <c r="T340" i="3"/>
  <c r="T339" i="3"/>
  <c r="T338" i="3"/>
  <c r="T337" i="3"/>
  <c r="T335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2" i="3"/>
  <c r="T300" i="3"/>
  <c r="T299" i="3"/>
  <c r="T298" i="3"/>
  <c r="T297" i="3"/>
  <c r="T296" i="3"/>
  <c r="T294" i="3"/>
  <c r="T293" i="3"/>
  <c r="T292" i="3"/>
  <c r="T291" i="3"/>
  <c r="T290" i="3"/>
  <c r="T288" i="3"/>
  <c r="T287" i="3"/>
  <c r="T285" i="3"/>
  <c r="T283" i="3"/>
  <c r="T282" i="3"/>
  <c r="T281" i="3"/>
  <c r="T280" i="3"/>
  <c r="T278" i="3"/>
  <c r="T277" i="3"/>
  <c r="T276" i="3"/>
  <c r="T275" i="3"/>
  <c r="T274" i="3"/>
  <c r="T273" i="3"/>
  <c r="T271" i="3"/>
  <c r="T270" i="3"/>
  <c r="T269" i="3"/>
  <c r="T268" i="3"/>
  <c r="T267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8" i="3"/>
  <c r="T237" i="3"/>
  <c r="T236" i="3"/>
  <c r="T235" i="3"/>
  <c r="T234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D1329" i="7" l="1"/>
  <c r="D1328" i="7" s="1"/>
  <c r="AF1150" i="3" l="1"/>
  <c r="W1150" i="3" s="1"/>
  <c r="V1150" i="3"/>
  <c r="S1150" i="3"/>
  <c r="B1150" i="3"/>
  <c r="AJ1149" i="3"/>
  <c r="W1149" i="3" s="1"/>
  <c r="V1149" i="3"/>
  <c r="S1149" i="3"/>
  <c r="B1149" i="3"/>
  <c r="AF1148" i="3"/>
  <c r="W1148" i="3" s="1"/>
  <c r="V1148" i="3"/>
  <c r="S1148" i="3"/>
  <c r="B1148" i="3"/>
  <c r="B1158" i="7"/>
  <c r="B1159" i="7"/>
  <c r="B1155" i="7"/>
  <c r="B1156" i="7"/>
  <c r="B1157" i="7"/>
  <c r="AL1335" i="3"/>
  <c r="AJ1335" i="3"/>
  <c r="AF1335" i="3"/>
  <c r="T1335" i="3"/>
  <c r="S1335" i="3"/>
  <c r="S1334" i="3" s="1"/>
  <c r="R1334" i="3"/>
  <c r="Q1334" i="3"/>
  <c r="P1334" i="3"/>
  <c r="L1334" i="3"/>
  <c r="K1334" i="3"/>
  <c r="J1334" i="3"/>
  <c r="I1334" i="3"/>
  <c r="AL1333" i="3"/>
  <c r="AJ1333" i="3"/>
  <c r="AF1333" i="3"/>
  <c r="T1333" i="3"/>
  <c r="S1333" i="3"/>
  <c r="S1332" i="3" s="1"/>
  <c r="R1332" i="3"/>
  <c r="Q1332" i="3"/>
  <c r="P1332" i="3"/>
  <c r="L1332" i="3"/>
  <c r="K1332" i="3"/>
  <c r="J1332" i="3"/>
  <c r="I1332" i="3"/>
  <c r="AL1331" i="3"/>
  <c r="AJ1331" i="3"/>
  <c r="AF1331" i="3"/>
  <c r="T1331" i="3"/>
  <c r="S1331" i="3"/>
  <c r="AL1330" i="3"/>
  <c r="AF1330" i="3"/>
  <c r="T1330" i="3"/>
  <c r="S1330" i="3"/>
  <c r="AL1329" i="3"/>
  <c r="AF1329" i="3"/>
  <c r="T1329" i="3"/>
  <c r="S1329" i="3"/>
  <c r="S1328" i="3" s="1"/>
  <c r="R1328" i="3"/>
  <c r="Q1328" i="3"/>
  <c r="P1328" i="3"/>
  <c r="L1328" i="3"/>
  <c r="K1328" i="3"/>
  <c r="J1328" i="3"/>
  <c r="I1328" i="3"/>
  <c r="AL1320" i="3"/>
  <c r="AJ1320" i="3"/>
  <c r="AF1320" i="3"/>
  <c r="P1320" i="3"/>
  <c r="S1319" i="3"/>
  <c r="R1319" i="3"/>
  <c r="Q1319" i="3"/>
  <c r="L1319" i="3"/>
  <c r="K1319" i="3"/>
  <c r="J1319" i="3"/>
  <c r="I1319" i="3"/>
  <c r="AL1318" i="3"/>
  <c r="AJ1318" i="3"/>
  <c r="AF1318" i="3"/>
  <c r="T1318" i="3"/>
  <c r="S1317" i="3"/>
  <c r="R1317" i="3"/>
  <c r="Q1317" i="3"/>
  <c r="P1317" i="3"/>
  <c r="L1317" i="3"/>
  <c r="K1317" i="3"/>
  <c r="J1317" i="3"/>
  <c r="I1317" i="3"/>
  <c r="AL1316" i="3"/>
  <c r="AJ1316" i="3"/>
  <c r="AF1316" i="3"/>
  <c r="T1316" i="3"/>
  <c r="S1315" i="3"/>
  <c r="R1315" i="3"/>
  <c r="Q1315" i="3"/>
  <c r="P1315" i="3"/>
  <c r="L1315" i="3"/>
  <c r="K1315" i="3"/>
  <c r="J1315" i="3"/>
  <c r="I1315" i="3"/>
  <c r="AF1311" i="3"/>
  <c r="W1311" i="3" s="1"/>
  <c r="V1311" i="3"/>
  <c r="S1311" i="3"/>
  <c r="S1310" i="3" s="1"/>
  <c r="B1311" i="3"/>
  <c r="R1310" i="3"/>
  <c r="Q1310" i="3"/>
  <c r="L1310" i="3"/>
  <c r="K1310" i="3"/>
  <c r="J1310" i="3"/>
  <c r="I1310" i="3"/>
  <c r="T1310" i="3" s="1"/>
  <c r="AF1309" i="3"/>
  <c r="W1309" i="3" s="1"/>
  <c r="V1309" i="3"/>
  <c r="S1309" i="3"/>
  <c r="B1309" i="3"/>
  <c r="AF1308" i="3"/>
  <c r="W1308" i="3" s="1"/>
  <c r="V1308" i="3"/>
  <c r="S1308" i="3"/>
  <c r="B1308" i="3"/>
  <c r="AF1307" i="3"/>
  <c r="W1307" i="3" s="1"/>
  <c r="V1307" i="3"/>
  <c r="S1307" i="3"/>
  <c r="B1307" i="3"/>
  <c r="R1306" i="3"/>
  <c r="Q1306" i="3"/>
  <c r="L1306" i="3"/>
  <c r="K1306" i="3"/>
  <c r="J1306" i="3"/>
  <c r="I1306" i="3"/>
  <c r="T1306" i="3" s="1"/>
  <c r="AF1305" i="3"/>
  <c r="W1305" i="3" s="1"/>
  <c r="V1305" i="3"/>
  <c r="S1305" i="3"/>
  <c r="S1304" i="3" s="1"/>
  <c r="B1305" i="3"/>
  <c r="R1304" i="3"/>
  <c r="Q1304" i="3"/>
  <c r="L1304" i="3"/>
  <c r="K1304" i="3"/>
  <c r="J1304" i="3"/>
  <c r="I1304" i="3"/>
  <c r="T1304" i="3" s="1"/>
  <c r="AJ1303" i="3"/>
  <c r="AF1303" i="3"/>
  <c r="V1303" i="3"/>
  <c r="S1303" i="3"/>
  <c r="S1302" i="3" s="1"/>
  <c r="B1303" i="3"/>
  <c r="R1302" i="3"/>
  <c r="Q1302" i="3"/>
  <c r="L1302" i="3"/>
  <c r="K1302" i="3"/>
  <c r="J1302" i="3"/>
  <c r="I1302" i="3"/>
  <c r="T1302" i="3" s="1"/>
  <c r="AF1301" i="3"/>
  <c r="S1301" i="3"/>
  <c r="S1300" i="3" s="1"/>
  <c r="B1301" i="3"/>
  <c r="R1300" i="3"/>
  <c r="Q1300" i="3"/>
  <c r="L1300" i="3"/>
  <c r="K1300" i="3"/>
  <c r="J1300" i="3"/>
  <c r="I1300" i="3"/>
  <c r="T1300" i="3" s="1"/>
  <c r="AJ1299" i="3"/>
  <c r="W1299" i="3" s="1"/>
  <c r="V1299" i="3"/>
  <c r="S1299" i="3"/>
  <c r="B1299" i="3"/>
  <c r="AJ1298" i="3"/>
  <c r="W1298" i="3" s="1"/>
  <c r="V1298" i="3"/>
  <c r="S1298" i="3"/>
  <c r="B1298" i="3"/>
  <c r="AF1297" i="3"/>
  <c r="W1297" i="3" s="1"/>
  <c r="V1297" i="3"/>
  <c r="S1297" i="3"/>
  <c r="S1296" i="3" s="1"/>
  <c r="B1297" i="3"/>
  <c r="R1296" i="3"/>
  <c r="Q1296" i="3"/>
  <c r="L1296" i="3"/>
  <c r="K1296" i="3"/>
  <c r="J1296" i="3"/>
  <c r="I1296" i="3"/>
  <c r="T1296" i="3" s="1"/>
  <c r="AF1295" i="3"/>
  <c r="W1295" i="3" s="1"/>
  <c r="V1295" i="3"/>
  <c r="S1295" i="3"/>
  <c r="B1295" i="3"/>
  <c r="AF1294" i="3"/>
  <c r="W1294" i="3" s="1"/>
  <c r="V1294" i="3"/>
  <c r="S1294" i="3"/>
  <c r="S1293" i="3" s="1"/>
  <c r="B1294" i="3"/>
  <c r="R1293" i="3"/>
  <c r="Q1293" i="3"/>
  <c r="L1293" i="3"/>
  <c r="K1293" i="3"/>
  <c r="J1293" i="3"/>
  <c r="I1293" i="3"/>
  <c r="T1293" i="3" s="1"/>
  <c r="AF1292" i="3"/>
  <c r="W1292" i="3" s="1"/>
  <c r="V1292" i="3"/>
  <c r="S1292" i="3"/>
  <c r="S1291" i="3" s="1"/>
  <c r="B1292" i="3"/>
  <c r="R1291" i="3"/>
  <c r="Q1291" i="3"/>
  <c r="L1291" i="3"/>
  <c r="K1291" i="3"/>
  <c r="J1291" i="3"/>
  <c r="I1291" i="3"/>
  <c r="T1291" i="3" s="1"/>
  <c r="AF1290" i="3"/>
  <c r="W1290" i="3" s="1"/>
  <c r="V1290" i="3"/>
  <c r="S1290" i="3"/>
  <c r="S1289" i="3" s="1"/>
  <c r="B1290" i="3"/>
  <c r="R1289" i="3"/>
  <c r="Q1289" i="3"/>
  <c r="L1289" i="3"/>
  <c r="K1289" i="3"/>
  <c r="J1289" i="3"/>
  <c r="I1289" i="3"/>
  <c r="T1289" i="3" s="1"/>
  <c r="AF1288" i="3"/>
  <c r="W1288" i="3" s="1"/>
  <c r="V1288" i="3"/>
  <c r="S1288" i="3"/>
  <c r="B1288" i="3"/>
  <c r="AF1287" i="3"/>
  <c r="W1287" i="3" s="1"/>
  <c r="V1287" i="3"/>
  <c r="S1287" i="3"/>
  <c r="B1287" i="3"/>
  <c r="R1286" i="3"/>
  <c r="Q1286" i="3"/>
  <c r="L1286" i="3"/>
  <c r="K1286" i="3"/>
  <c r="J1286" i="3"/>
  <c r="I1286" i="3"/>
  <c r="T1286" i="3" s="1"/>
  <c r="AF1285" i="3"/>
  <c r="W1285" i="3" s="1"/>
  <c r="V1285" i="3"/>
  <c r="S1285" i="3"/>
  <c r="B1285" i="3"/>
  <c r="AJ1284" i="3"/>
  <c r="W1284" i="3" s="1"/>
  <c r="V1284" i="3"/>
  <c r="S1284" i="3"/>
  <c r="B1284" i="3"/>
  <c r="AH1283" i="3"/>
  <c r="W1283" i="3" s="1"/>
  <c r="V1283" i="3"/>
  <c r="S1283" i="3"/>
  <c r="B1283" i="3"/>
  <c r="R1282" i="3"/>
  <c r="Q1282" i="3"/>
  <c r="L1282" i="3"/>
  <c r="K1282" i="3"/>
  <c r="J1282" i="3"/>
  <c r="I1282" i="3"/>
  <c r="T1282" i="3" s="1"/>
  <c r="AF1281" i="3"/>
  <c r="W1281" i="3" s="1"/>
  <c r="V1281" i="3"/>
  <c r="S1281" i="3"/>
  <c r="B1281" i="3"/>
  <c r="AF1280" i="3"/>
  <c r="W1280" i="3" s="1"/>
  <c r="V1280" i="3"/>
  <c r="S1280" i="3"/>
  <c r="B1280" i="3"/>
  <c r="AF1279" i="3"/>
  <c r="W1279" i="3" s="1"/>
  <c r="V1279" i="3"/>
  <c r="S1279" i="3"/>
  <c r="B1279" i="3"/>
  <c r="R1278" i="3"/>
  <c r="Q1278" i="3"/>
  <c r="L1278" i="3"/>
  <c r="K1278" i="3"/>
  <c r="J1278" i="3"/>
  <c r="I1278" i="3"/>
  <c r="T1278" i="3" s="1"/>
  <c r="AF1277" i="3"/>
  <c r="W1277" i="3" s="1"/>
  <c r="V1277" i="3"/>
  <c r="S1277" i="3"/>
  <c r="B1277" i="3"/>
  <c r="AF1276" i="3"/>
  <c r="W1276" i="3" s="1"/>
  <c r="V1276" i="3"/>
  <c r="S1276" i="3"/>
  <c r="B1276" i="3"/>
  <c r="AF1275" i="3"/>
  <c r="W1275" i="3" s="1"/>
  <c r="V1275" i="3"/>
  <c r="S1275" i="3"/>
  <c r="K1275" i="3"/>
  <c r="K1274" i="3" s="1"/>
  <c r="B1275" i="3"/>
  <c r="R1274" i="3"/>
  <c r="Q1274" i="3"/>
  <c r="L1274" i="3"/>
  <c r="J1274" i="3"/>
  <c r="I1274" i="3"/>
  <c r="AF1273" i="3"/>
  <c r="W1273" i="3" s="1"/>
  <c r="V1273" i="3"/>
  <c r="S1273" i="3"/>
  <c r="B1273" i="3"/>
  <c r="AJ1272" i="3"/>
  <c r="W1272" i="3" s="1"/>
  <c r="V1272" i="3"/>
  <c r="S1272" i="3"/>
  <c r="B1272" i="3"/>
  <c r="R1271" i="3"/>
  <c r="Q1271" i="3"/>
  <c r="L1271" i="3"/>
  <c r="K1271" i="3"/>
  <c r="J1271" i="3"/>
  <c r="I1271" i="3"/>
  <c r="T1271" i="3" s="1"/>
  <c r="AF1270" i="3"/>
  <c r="W1270" i="3" s="1"/>
  <c r="V1270" i="3"/>
  <c r="S1270" i="3"/>
  <c r="S1269" i="3" s="1"/>
  <c r="B1270" i="3"/>
  <c r="R1269" i="3"/>
  <c r="Q1269" i="3"/>
  <c r="L1269" i="3"/>
  <c r="K1269" i="3"/>
  <c r="J1269" i="3"/>
  <c r="I1269" i="3"/>
  <c r="T1269" i="3" s="1"/>
  <c r="AF1268" i="3"/>
  <c r="W1268" i="3" s="1"/>
  <c r="V1268" i="3"/>
  <c r="S1268" i="3"/>
  <c r="S1267" i="3" s="1"/>
  <c r="B1268" i="3"/>
  <c r="R1267" i="3"/>
  <c r="Q1267" i="3"/>
  <c r="L1267" i="3"/>
  <c r="K1267" i="3"/>
  <c r="J1267" i="3"/>
  <c r="I1267" i="3"/>
  <c r="T1267" i="3" s="1"/>
  <c r="AF1266" i="3"/>
  <c r="W1266" i="3" s="1"/>
  <c r="V1266" i="3"/>
  <c r="S1266" i="3"/>
  <c r="S1265" i="3" s="1"/>
  <c r="B1266" i="3"/>
  <c r="R1265" i="3"/>
  <c r="Q1265" i="3"/>
  <c r="L1265" i="3"/>
  <c r="K1265" i="3"/>
  <c r="J1265" i="3"/>
  <c r="I1265" i="3"/>
  <c r="T1265" i="3" s="1"/>
  <c r="AF1264" i="3"/>
  <c r="W1264" i="3" s="1"/>
  <c r="V1264" i="3"/>
  <c r="S1264" i="3"/>
  <c r="B1264" i="3"/>
  <c r="AF1263" i="3"/>
  <c r="W1263" i="3" s="1"/>
  <c r="V1263" i="3"/>
  <c r="S1263" i="3"/>
  <c r="B1263" i="3"/>
  <c r="AF1262" i="3"/>
  <c r="W1262" i="3" s="1"/>
  <c r="V1262" i="3"/>
  <c r="S1262" i="3"/>
  <c r="B1262" i="3"/>
  <c r="R1261" i="3"/>
  <c r="Q1261" i="3"/>
  <c r="L1261" i="3"/>
  <c r="K1261" i="3"/>
  <c r="J1261" i="3"/>
  <c r="I1261" i="3"/>
  <c r="T1261" i="3" s="1"/>
  <c r="AF1260" i="3"/>
  <c r="W1260" i="3" s="1"/>
  <c r="V1260" i="3"/>
  <c r="S1260" i="3"/>
  <c r="S1259" i="3" s="1"/>
  <c r="B1260" i="3"/>
  <c r="R1259" i="3"/>
  <c r="Q1259" i="3"/>
  <c r="L1259" i="3"/>
  <c r="K1259" i="3"/>
  <c r="J1259" i="3"/>
  <c r="I1259" i="3"/>
  <c r="T1259" i="3" s="1"/>
  <c r="AF1258" i="3"/>
  <c r="W1258" i="3" s="1"/>
  <c r="V1258" i="3"/>
  <c r="S1258" i="3"/>
  <c r="S1257" i="3" s="1"/>
  <c r="B1258" i="3"/>
  <c r="R1257" i="3"/>
  <c r="Q1257" i="3"/>
  <c r="L1257" i="3"/>
  <c r="K1257" i="3"/>
  <c r="J1257" i="3"/>
  <c r="I1257" i="3"/>
  <c r="T1257" i="3" s="1"/>
  <c r="AL1256" i="3"/>
  <c r="W1256" i="3" s="1"/>
  <c r="V1256" i="3"/>
  <c r="S1256" i="3"/>
  <c r="S1255" i="3" s="1"/>
  <c r="B1256" i="3"/>
  <c r="R1255" i="3"/>
  <c r="Q1255" i="3"/>
  <c r="L1255" i="3"/>
  <c r="K1255" i="3"/>
  <c r="J1255" i="3"/>
  <c r="I1255" i="3"/>
  <c r="T1255" i="3" s="1"/>
  <c r="W1254" i="3"/>
  <c r="V1254" i="3"/>
  <c r="S1254" i="3"/>
  <c r="B1254" i="3"/>
  <c r="AF1253" i="3"/>
  <c r="W1253" i="3" s="1"/>
  <c r="V1253" i="3"/>
  <c r="S1253" i="3"/>
  <c r="B1253" i="3"/>
  <c r="AF1252" i="3"/>
  <c r="W1252" i="3" s="1"/>
  <c r="V1252" i="3"/>
  <c r="S1252" i="3"/>
  <c r="B1252" i="3"/>
  <c r="R1251" i="3"/>
  <c r="Q1251" i="3"/>
  <c r="L1251" i="3"/>
  <c r="K1251" i="3"/>
  <c r="J1251" i="3"/>
  <c r="I1251" i="3"/>
  <c r="T1251" i="3" s="1"/>
  <c r="AJ1250" i="3"/>
  <c r="W1250" i="3" s="1"/>
  <c r="V1250" i="3"/>
  <c r="S1250" i="3"/>
  <c r="S1249" i="3" s="1"/>
  <c r="B1250" i="3"/>
  <c r="R1249" i="3"/>
  <c r="Q1249" i="3"/>
  <c r="L1249" i="3"/>
  <c r="K1249" i="3"/>
  <c r="J1249" i="3"/>
  <c r="I1249" i="3"/>
  <c r="T1249" i="3" s="1"/>
  <c r="AF1248" i="3"/>
  <c r="W1248" i="3" s="1"/>
  <c r="V1248" i="3"/>
  <c r="S1248" i="3"/>
  <c r="S1247" i="3" s="1"/>
  <c r="B1248" i="3"/>
  <c r="R1247" i="3"/>
  <c r="Q1247" i="3"/>
  <c r="L1247" i="3"/>
  <c r="K1247" i="3"/>
  <c r="J1247" i="3"/>
  <c r="I1247" i="3"/>
  <c r="T1247" i="3" s="1"/>
  <c r="AF1246" i="3"/>
  <c r="W1246" i="3" s="1"/>
  <c r="V1246" i="3"/>
  <c r="S1246" i="3"/>
  <c r="S1245" i="3" s="1"/>
  <c r="B1246" i="3"/>
  <c r="R1245" i="3"/>
  <c r="Q1245" i="3"/>
  <c r="L1245" i="3"/>
  <c r="K1245" i="3"/>
  <c r="J1245" i="3"/>
  <c r="I1245" i="3"/>
  <c r="T1245" i="3" s="1"/>
  <c r="AF1244" i="3"/>
  <c r="W1244" i="3" s="1"/>
  <c r="V1244" i="3"/>
  <c r="S1244" i="3"/>
  <c r="S1243" i="3" s="1"/>
  <c r="B1244" i="3"/>
  <c r="R1243" i="3"/>
  <c r="Q1243" i="3"/>
  <c r="L1243" i="3"/>
  <c r="K1243" i="3"/>
  <c r="J1243" i="3"/>
  <c r="I1243" i="3"/>
  <c r="T1243" i="3" s="1"/>
  <c r="AF1242" i="3"/>
  <c r="W1242" i="3" s="1"/>
  <c r="V1242" i="3"/>
  <c r="S1242" i="3"/>
  <c r="S1241" i="3" s="1"/>
  <c r="B1242" i="3"/>
  <c r="R1241" i="3"/>
  <c r="Q1241" i="3"/>
  <c r="L1241" i="3"/>
  <c r="K1241" i="3"/>
  <c r="J1241" i="3"/>
  <c r="I1241" i="3"/>
  <c r="T1241" i="3" s="1"/>
  <c r="AF1240" i="3"/>
  <c r="W1240" i="3" s="1"/>
  <c r="V1240" i="3"/>
  <c r="S1240" i="3"/>
  <c r="S1239" i="3" s="1"/>
  <c r="B1240" i="3"/>
  <c r="R1239" i="3"/>
  <c r="Q1239" i="3"/>
  <c r="L1239" i="3"/>
  <c r="K1239" i="3"/>
  <c r="J1239" i="3"/>
  <c r="I1239" i="3"/>
  <c r="T1239" i="3" s="1"/>
  <c r="AF1238" i="3"/>
  <c r="W1238" i="3" s="1"/>
  <c r="V1238" i="3"/>
  <c r="S1238" i="3"/>
  <c r="B1238" i="3"/>
  <c r="AF1237" i="3"/>
  <c r="W1237" i="3" s="1"/>
  <c r="V1237" i="3"/>
  <c r="S1237" i="3"/>
  <c r="B1237" i="3"/>
  <c r="AF1236" i="3"/>
  <c r="W1236" i="3" s="1"/>
  <c r="V1236" i="3"/>
  <c r="S1236" i="3"/>
  <c r="B1236" i="3"/>
  <c r="R1235" i="3"/>
  <c r="Q1235" i="3"/>
  <c r="L1235" i="3"/>
  <c r="K1235" i="3"/>
  <c r="J1235" i="3"/>
  <c r="I1235" i="3"/>
  <c r="T1235" i="3" s="1"/>
  <c r="AF1234" i="3"/>
  <c r="W1234" i="3" s="1"/>
  <c r="V1234" i="3"/>
  <c r="S1234" i="3"/>
  <c r="S1233" i="3" s="1"/>
  <c r="B1234" i="3"/>
  <c r="R1233" i="3"/>
  <c r="Q1233" i="3"/>
  <c r="L1233" i="3"/>
  <c r="K1233" i="3"/>
  <c r="J1233" i="3"/>
  <c r="I1233" i="3"/>
  <c r="T1233" i="3" s="1"/>
  <c r="AF1232" i="3"/>
  <c r="W1232" i="3" s="1"/>
  <c r="V1232" i="3"/>
  <c r="S1232" i="3"/>
  <c r="B1232" i="3"/>
  <c r="AF1231" i="3"/>
  <c r="W1231" i="3" s="1"/>
  <c r="V1231" i="3"/>
  <c r="S1231" i="3"/>
  <c r="B1231" i="3"/>
  <c r="R1230" i="3"/>
  <c r="Q1230" i="3"/>
  <c r="L1230" i="3"/>
  <c r="K1230" i="3"/>
  <c r="J1230" i="3"/>
  <c r="I1230" i="3"/>
  <c r="T1230" i="3" s="1"/>
  <c r="AF1229" i="3"/>
  <c r="W1229" i="3" s="1"/>
  <c r="V1229" i="3"/>
  <c r="S1229" i="3"/>
  <c r="B1229" i="3"/>
  <c r="AF1228" i="3"/>
  <c r="W1228" i="3" s="1"/>
  <c r="V1228" i="3"/>
  <c r="S1228" i="3"/>
  <c r="B1228" i="3"/>
  <c r="AJ1227" i="3"/>
  <c r="W1227" i="3" s="1"/>
  <c r="V1227" i="3"/>
  <c r="S1227" i="3"/>
  <c r="S1226" i="3" s="1"/>
  <c r="B1227" i="3"/>
  <c r="R1226" i="3"/>
  <c r="Q1226" i="3"/>
  <c r="L1226" i="3"/>
  <c r="K1226" i="3"/>
  <c r="J1226" i="3"/>
  <c r="I1226" i="3"/>
  <c r="T1226" i="3" s="1"/>
  <c r="AJ1225" i="3"/>
  <c r="W1225" i="3" s="1"/>
  <c r="V1225" i="3"/>
  <c r="S1225" i="3"/>
  <c r="B1225" i="3"/>
  <c r="AF1224" i="3"/>
  <c r="W1224" i="3" s="1"/>
  <c r="V1224" i="3"/>
  <c r="S1224" i="3"/>
  <c r="S1223" i="3" s="1"/>
  <c r="B1224" i="3"/>
  <c r="R1223" i="3"/>
  <c r="Q1223" i="3"/>
  <c r="L1223" i="3"/>
  <c r="K1223" i="3"/>
  <c r="J1223" i="3"/>
  <c r="I1223" i="3"/>
  <c r="T1223" i="3" s="1"/>
  <c r="AN1222" i="3"/>
  <c r="W1222" i="3" s="1"/>
  <c r="V1222" i="3"/>
  <c r="S1222" i="3"/>
  <c r="B1222" i="3"/>
  <c r="AF1221" i="3"/>
  <c r="W1221" i="3" s="1"/>
  <c r="V1221" i="3"/>
  <c r="S1221" i="3"/>
  <c r="B1221" i="3"/>
  <c r="AF1220" i="3"/>
  <c r="W1220" i="3" s="1"/>
  <c r="V1220" i="3"/>
  <c r="S1220" i="3"/>
  <c r="B1220" i="3"/>
  <c r="AF1219" i="3"/>
  <c r="W1219" i="3" s="1"/>
  <c r="V1219" i="3"/>
  <c r="S1219" i="3"/>
  <c r="B1219" i="3"/>
  <c r="AN1218" i="3"/>
  <c r="W1218" i="3" s="1"/>
  <c r="V1218" i="3"/>
  <c r="S1218" i="3"/>
  <c r="B1218" i="3"/>
  <c r="AF1217" i="3"/>
  <c r="W1217" i="3" s="1"/>
  <c r="V1217" i="3"/>
  <c r="S1217" i="3"/>
  <c r="B1217" i="3"/>
  <c r="R1216" i="3"/>
  <c r="Q1216" i="3"/>
  <c r="L1216" i="3"/>
  <c r="K1216" i="3"/>
  <c r="J1216" i="3"/>
  <c r="I1216" i="3"/>
  <c r="T1216" i="3" s="1"/>
  <c r="AF1215" i="3"/>
  <c r="W1215" i="3" s="1"/>
  <c r="V1215" i="3"/>
  <c r="S1215" i="3"/>
  <c r="S1214" i="3" s="1"/>
  <c r="B1215" i="3"/>
  <c r="R1214" i="3"/>
  <c r="Q1214" i="3"/>
  <c r="L1214" i="3"/>
  <c r="K1214" i="3"/>
  <c r="J1214" i="3"/>
  <c r="I1214" i="3"/>
  <c r="T1214" i="3" s="1"/>
  <c r="AF1213" i="3"/>
  <c r="W1213" i="3" s="1"/>
  <c r="V1213" i="3"/>
  <c r="S1213" i="3"/>
  <c r="S1212" i="3" s="1"/>
  <c r="B1213" i="3"/>
  <c r="R1212" i="3"/>
  <c r="Q1212" i="3"/>
  <c r="L1212" i="3"/>
  <c r="K1212" i="3"/>
  <c r="J1212" i="3"/>
  <c r="I1212" i="3"/>
  <c r="T1212" i="3" s="1"/>
  <c r="AF1211" i="3"/>
  <c r="W1211" i="3" s="1"/>
  <c r="V1211" i="3"/>
  <c r="S1211" i="3"/>
  <c r="S1210" i="3" s="1"/>
  <c r="B1211" i="3"/>
  <c r="R1210" i="3"/>
  <c r="Q1210" i="3"/>
  <c r="L1210" i="3"/>
  <c r="K1210" i="3"/>
  <c r="J1210" i="3"/>
  <c r="I1210" i="3"/>
  <c r="T1210" i="3" s="1"/>
  <c r="AF1209" i="3"/>
  <c r="W1209" i="3" s="1"/>
  <c r="V1209" i="3"/>
  <c r="S1209" i="3"/>
  <c r="B1209" i="3"/>
  <c r="AF1208" i="3"/>
  <c r="W1208" i="3" s="1"/>
  <c r="V1208" i="3"/>
  <c r="S1208" i="3"/>
  <c r="S1207" i="3" s="1"/>
  <c r="B1208" i="3"/>
  <c r="R1207" i="3"/>
  <c r="Q1207" i="3"/>
  <c r="L1207" i="3"/>
  <c r="K1207" i="3"/>
  <c r="J1207" i="3"/>
  <c r="I1207" i="3"/>
  <c r="T1207" i="3" s="1"/>
  <c r="AF1206" i="3"/>
  <c r="W1206" i="3" s="1"/>
  <c r="V1206" i="3"/>
  <c r="S1206" i="3"/>
  <c r="B1206" i="3"/>
  <c r="AF1205" i="3"/>
  <c r="W1205" i="3" s="1"/>
  <c r="V1205" i="3"/>
  <c r="S1205" i="3"/>
  <c r="B1205" i="3"/>
  <c r="R1204" i="3"/>
  <c r="Q1204" i="3"/>
  <c r="L1204" i="3"/>
  <c r="K1204" i="3"/>
  <c r="J1204" i="3"/>
  <c r="I1204" i="3"/>
  <c r="T1204" i="3" s="1"/>
  <c r="AF1203" i="3"/>
  <c r="W1203" i="3" s="1"/>
  <c r="V1203" i="3"/>
  <c r="S1203" i="3"/>
  <c r="S1202" i="3" s="1"/>
  <c r="B1203" i="3"/>
  <c r="R1202" i="3"/>
  <c r="Q1202" i="3"/>
  <c r="L1202" i="3"/>
  <c r="K1202" i="3"/>
  <c r="J1202" i="3"/>
  <c r="I1202" i="3"/>
  <c r="T1202" i="3" s="1"/>
  <c r="AJ1201" i="3"/>
  <c r="W1201" i="3" s="1"/>
  <c r="V1201" i="3"/>
  <c r="S1201" i="3"/>
  <c r="S1200" i="3" s="1"/>
  <c r="B1201" i="3"/>
  <c r="R1200" i="3"/>
  <c r="Q1200" i="3"/>
  <c r="L1200" i="3"/>
  <c r="K1200" i="3"/>
  <c r="J1200" i="3"/>
  <c r="I1200" i="3"/>
  <c r="T1200" i="3" s="1"/>
  <c r="AF1199" i="3"/>
  <c r="W1199" i="3" s="1"/>
  <c r="V1199" i="3"/>
  <c r="S1199" i="3"/>
  <c r="S1198" i="3" s="1"/>
  <c r="B1199" i="3"/>
  <c r="R1198" i="3"/>
  <c r="Q1198" i="3"/>
  <c r="L1198" i="3"/>
  <c r="K1198" i="3"/>
  <c r="J1198" i="3"/>
  <c r="I1198" i="3"/>
  <c r="T1198" i="3" s="1"/>
  <c r="AF1197" i="3"/>
  <c r="W1197" i="3" s="1"/>
  <c r="V1197" i="3"/>
  <c r="S1197" i="3"/>
  <c r="B1197" i="3"/>
  <c r="AF1196" i="3"/>
  <c r="W1196" i="3" s="1"/>
  <c r="V1196" i="3"/>
  <c r="S1196" i="3"/>
  <c r="B1196" i="3"/>
  <c r="AF1195" i="3"/>
  <c r="W1195" i="3" s="1"/>
  <c r="V1195" i="3"/>
  <c r="S1195" i="3"/>
  <c r="B1195" i="3"/>
  <c r="R1194" i="3"/>
  <c r="Q1194" i="3"/>
  <c r="L1194" i="3"/>
  <c r="K1194" i="3"/>
  <c r="J1194" i="3"/>
  <c r="I1194" i="3"/>
  <c r="T1194" i="3" s="1"/>
  <c r="AD1193" i="3"/>
  <c r="W1193" i="3" s="1"/>
  <c r="V1193" i="3"/>
  <c r="S1193" i="3"/>
  <c r="B1193" i="3"/>
  <c r="AJ1191" i="3"/>
  <c r="W1191" i="3" s="1"/>
  <c r="V1191" i="3"/>
  <c r="S1191" i="3"/>
  <c r="B1191" i="3"/>
  <c r="AF1190" i="3"/>
  <c r="W1190" i="3" s="1"/>
  <c r="V1190" i="3"/>
  <c r="S1190" i="3"/>
  <c r="B1190" i="3"/>
  <c r="AF1189" i="3"/>
  <c r="W1189" i="3" s="1"/>
  <c r="V1189" i="3"/>
  <c r="S1189" i="3"/>
  <c r="B1189" i="3"/>
  <c r="AF1188" i="3"/>
  <c r="W1188" i="3" s="1"/>
  <c r="V1188" i="3"/>
  <c r="S1188" i="3"/>
  <c r="B1188" i="3"/>
  <c r="R1187" i="3"/>
  <c r="Q1187" i="3"/>
  <c r="L1187" i="3"/>
  <c r="K1187" i="3"/>
  <c r="J1187" i="3"/>
  <c r="I1187" i="3"/>
  <c r="T1187" i="3" s="1"/>
  <c r="AF1186" i="3"/>
  <c r="W1186" i="3" s="1"/>
  <c r="V1186" i="3"/>
  <c r="S1186" i="3"/>
  <c r="S1185" i="3" s="1"/>
  <c r="B1186" i="3"/>
  <c r="R1185" i="3"/>
  <c r="Q1185" i="3"/>
  <c r="L1185" i="3"/>
  <c r="K1185" i="3"/>
  <c r="J1185" i="3"/>
  <c r="I1185" i="3"/>
  <c r="T1185" i="3" s="1"/>
  <c r="AF1184" i="3"/>
  <c r="W1184" i="3" s="1"/>
  <c r="V1184" i="3"/>
  <c r="S1184" i="3"/>
  <c r="S1183" i="3" s="1"/>
  <c r="B1184" i="3"/>
  <c r="R1183" i="3"/>
  <c r="Q1183" i="3"/>
  <c r="L1183" i="3"/>
  <c r="K1183" i="3"/>
  <c r="J1183" i="3"/>
  <c r="I1183" i="3"/>
  <c r="T1183" i="3" s="1"/>
  <c r="W1182" i="3"/>
  <c r="V1182" i="3"/>
  <c r="S1182" i="3"/>
  <c r="B1182" i="3"/>
  <c r="AF1181" i="3"/>
  <c r="W1181" i="3" s="1"/>
  <c r="V1181" i="3"/>
  <c r="S1181" i="3"/>
  <c r="S1180" i="3" s="1"/>
  <c r="B1181" i="3"/>
  <c r="R1180" i="3"/>
  <c r="Q1180" i="3"/>
  <c r="L1180" i="3"/>
  <c r="K1180" i="3"/>
  <c r="J1180" i="3"/>
  <c r="I1180" i="3"/>
  <c r="T1180" i="3" s="1"/>
  <c r="AJ1179" i="3"/>
  <c r="W1179" i="3" s="1"/>
  <c r="V1179" i="3"/>
  <c r="S1179" i="3"/>
  <c r="S1178" i="3" s="1"/>
  <c r="B1179" i="3"/>
  <c r="R1178" i="3"/>
  <c r="Q1178" i="3"/>
  <c r="L1178" i="3"/>
  <c r="K1178" i="3"/>
  <c r="J1178" i="3"/>
  <c r="I1178" i="3"/>
  <c r="T1178" i="3" s="1"/>
  <c r="AF1177" i="3"/>
  <c r="W1177" i="3" s="1"/>
  <c r="V1177" i="3"/>
  <c r="S1177" i="3"/>
  <c r="S1176" i="3" s="1"/>
  <c r="B1177" i="3"/>
  <c r="R1176" i="3"/>
  <c r="Q1176" i="3"/>
  <c r="L1176" i="3"/>
  <c r="K1176" i="3"/>
  <c r="J1176" i="3"/>
  <c r="I1176" i="3"/>
  <c r="T1176" i="3" s="1"/>
  <c r="AF1175" i="3"/>
  <c r="W1175" i="3" s="1"/>
  <c r="V1175" i="3"/>
  <c r="S1175" i="3"/>
  <c r="B1175" i="3"/>
  <c r="AF1174" i="3"/>
  <c r="W1174" i="3" s="1"/>
  <c r="V1174" i="3"/>
  <c r="S1174" i="3"/>
  <c r="B1174" i="3"/>
  <c r="R1173" i="3"/>
  <c r="Q1173" i="3"/>
  <c r="L1173" i="3"/>
  <c r="K1173" i="3"/>
  <c r="J1173" i="3"/>
  <c r="I1173" i="3"/>
  <c r="T1173" i="3" s="1"/>
  <c r="AL1172" i="3"/>
  <c r="AJ1172" i="3"/>
  <c r="V1172" i="3"/>
  <c r="S1172" i="3"/>
  <c r="B1172" i="3"/>
  <c r="AF1171" i="3"/>
  <c r="W1171" i="3" s="1"/>
  <c r="V1171" i="3"/>
  <c r="S1171" i="3"/>
  <c r="B1171" i="3"/>
  <c r="W1170" i="3"/>
  <c r="V1170" i="3"/>
  <c r="S1170" i="3"/>
  <c r="B1170" i="3"/>
  <c r="R1169" i="3"/>
  <c r="Q1169" i="3"/>
  <c r="L1169" i="3"/>
  <c r="K1169" i="3"/>
  <c r="J1169" i="3"/>
  <c r="I1169" i="3"/>
  <c r="T1169" i="3" s="1"/>
  <c r="AF1168" i="3"/>
  <c r="W1168" i="3" s="1"/>
  <c r="V1168" i="3"/>
  <c r="S1168" i="3"/>
  <c r="B1168" i="3"/>
  <c r="AF1167" i="3"/>
  <c r="W1167" i="3" s="1"/>
  <c r="V1167" i="3"/>
  <c r="S1167" i="3"/>
  <c r="S1166" i="3" s="1"/>
  <c r="B1167" i="3"/>
  <c r="R1166" i="3"/>
  <c r="Q1166" i="3"/>
  <c r="L1166" i="3"/>
  <c r="K1166" i="3"/>
  <c r="J1166" i="3"/>
  <c r="I1166" i="3"/>
  <c r="T1166" i="3" s="1"/>
  <c r="AF1165" i="3"/>
  <c r="W1165" i="3" s="1"/>
  <c r="V1165" i="3"/>
  <c r="S1165" i="3"/>
  <c r="B1165" i="3"/>
  <c r="AF1164" i="3"/>
  <c r="W1164" i="3" s="1"/>
  <c r="V1164" i="3"/>
  <c r="S1164" i="3"/>
  <c r="B1164" i="3"/>
  <c r="AF1163" i="3"/>
  <c r="W1163" i="3" s="1"/>
  <c r="V1163" i="3"/>
  <c r="S1163" i="3"/>
  <c r="B1163" i="3"/>
  <c r="AL1162" i="3"/>
  <c r="W1162" i="3" s="1"/>
  <c r="V1162" i="3"/>
  <c r="S1162" i="3"/>
  <c r="B1162" i="3"/>
  <c r="AF1161" i="3"/>
  <c r="W1161" i="3" s="1"/>
  <c r="V1161" i="3"/>
  <c r="S1161" i="3"/>
  <c r="B1161" i="3"/>
  <c r="AF1160" i="3"/>
  <c r="V1160" i="3"/>
  <c r="S1160" i="3"/>
  <c r="B1160" i="3"/>
  <c r="AF1159" i="3"/>
  <c r="W1159" i="3" s="1"/>
  <c r="V1159" i="3"/>
  <c r="S1159" i="3"/>
  <c r="B1159" i="3"/>
  <c r="AF1158" i="3"/>
  <c r="W1158" i="3" s="1"/>
  <c r="V1158" i="3"/>
  <c r="S1158" i="3"/>
  <c r="B1158" i="3"/>
  <c r="R1157" i="3"/>
  <c r="Q1157" i="3"/>
  <c r="L1157" i="3"/>
  <c r="K1157" i="3"/>
  <c r="J1157" i="3"/>
  <c r="I1157" i="3"/>
  <c r="T1157" i="3" s="1"/>
  <c r="AJ1156" i="3"/>
  <c r="W1156" i="3" s="1"/>
  <c r="V1156" i="3"/>
  <c r="S1156" i="3"/>
  <c r="B1156" i="3"/>
  <c r="W1155" i="3"/>
  <c r="V1155" i="3"/>
  <c r="S1155" i="3"/>
  <c r="S1154" i="3" s="1"/>
  <c r="B1155" i="3"/>
  <c r="R1154" i="3"/>
  <c r="Q1154" i="3"/>
  <c r="L1154" i="3"/>
  <c r="K1154" i="3"/>
  <c r="J1154" i="3"/>
  <c r="I1154" i="3"/>
  <c r="T1154" i="3" s="1"/>
  <c r="AF1153" i="3"/>
  <c r="W1153" i="3" s="1"/>
  <c r="V1153" i="3"/>
  <c r="S1153" i="3"/>
  <c r="B1153" i="3"/>
  <c r="AJ1152" i="3"/>
  <c r="W1152" i="3" s="1"/>
  <c r="V1152" i="3"/>
  <c r="S1152" i="3"/>
  <c r="B1152" i="3"/>
  <c r="AF1151" i="3"/>
  <c r="W1151" i="3" s="1"/>
  <c r="V1151" i="3"/>
  <c r="S1151" i="3"/>
  <c r="B1151" i="3"/>
  <c r="AF1147" i="3"/>
  <c r="W1147" i="3" s="1"/>
  <c r="V1147" i="3"/>
  <c r="S1147" i="3"/>
  <c r="B1147" i="3"/>
  <c r="AF1146" i="3"/>
  <c r="W1146" i="3" s="1"/>
  <c r="V1146" i="3"/>
  <c r="S1146" i="3"/>
  <c r="B1146" i="3"/>
  <c r="AF1145" i="3"/>
  <c r="W1145" i="3" s="1"/>
  <c r="V1145" i="3"/>
  <c r="S1145" i="3"/>
  <c r="B1145" i="3"/>
  <c r="AF1144" i="3"/>
  <c r="W1144" i="3" s="1"/>
  <c r="V1144" i="3"/>
  <c r="S1144" i="3"/>
  <c r="B1144" i="3"/>
  <c r="AF1143" i="3"/>
  <c r="W1143" i="3" s="1"/>
  <c r="V1143" i="3"/>
  <c r="S1143" i="3"/>
  <c r="B1143" i="3"/>
  <c r="AF1142" i="3"/>
  <c r="W1142" i="3" s="1"/>
  <c r="V1142" i="3"/>
  <c r="S1142" i="3"/>
  <c r="B1142" i="3"/>
  <c r="AF1141" i="3"/>
  <c r="W1141" i="3" s="1"/>
  <c r="V1141" i="3"/>
  <c r="S1141" i="3"/>
  <c r="B1141" i="3"/>
  <c r="R1140" i="3"/>
  <c r="Q1140" i="3"/>
  <c r="L1140" i="3"/>
  <c r="K1140" i="3"/>
  <c r="J1140" i="3"/>
  <c r="I1140" i="3"/>
  <c r="T1140" i="3" s="1"/>
  <c r="AD1139" i="3"/>
  <c r="W1139" i="3" s="1"/>
  <c r="V1139" i="3"/>
  <c r="S1139" i="3"/>
  <c r="B1139" i="3"/>
  <c r="AF1138" i="3"/>
  <c r="W1138" i="3" s="1"/>
  <c r="V1138" i="3"/>
  <c r="S1138" i="3"/>
  <c r="B1138" i="3"/>
  <c r="AF1137" i="3"/>
  <c r="W1137" i="3" s="1"/>
  <c r="V1137" i="3"/>
  <c r="S1137" i="3"/>
  <c r="B1137" i="3"/>
  <c r="AF1136" i="3"/>
  <c r="W1136" i="3" s="1"/>
  <c r="V1136" i="3"/>
  <c r="S1136" i="3"/>
  <c r="B1136" i="3"/>
  <c r="AF1135" i="3"/>
  <c r="W1135" i="3" s="1"/>
  <c r="V1135" i="3"/>
  <c r="S1135" i="3"/>
  <c r="B1135" i="3"/>
  <c r="AF1134" i="3"/>
  <c r="W1134" i="3" s="1"/>
  <c r="V1134" i="3"/>
  <c r="S1134" i="3"/>
  <c r="B1134" i="3"/>
  <c r="AF1133" i="3"/>
  <c r="W1133" i="3" s="1"/>
  <c r="V1133" i="3"/>
  <c r="S1133" i="3"/>
  <c r="B1133" i="3"/>
  <c r="AF1132" i="3"/>
  <c r="W1132" i="3" s="1"/>
  <c r="V1132" i="3"/>
  <c r="S1132" i="3"/>
  <c r="B1132" i="3"/>
  <c r="AF1131" i="3"/>
  <c r="W1131" i="3" s="1"/>
  <c r="V1131" i="3"/>
  <c r="S1131" i="3"/>
  <c r="B1131" i="3"/>
  <c r="AF1130" i="3"/>
  <c r="W1130" i="3" s="1"/>
  <c r="V1130" i="3"/>
  <c r="S1130" i="3"/>
  <c r="B1130" i="3"/>
  <c r="AF1129" i="3"/>
  <c r="W1129" i="3" s="1"/>
  <c r="V1129" i="3"/>
  <c r="S1129" i="3"/>
  <c r="B1129" i="3"/>
  <c r="AF1128" i="3"/>
  <c r="W1128" i="3" s="1"/>
  <c r="V1128" i="3"/>
  <c r="S1128" i="3"/>
  <c r="B1128" i="3"/>
  <c r="AD1127" i="3"/>
  <c r="W1127" i="3" s="1"/>
  <c r="V1127" i="3"/>
  <c r="S1127" i="3"/>
  <c r="B1127" i="3"/>
  <c r="AF1126" i="3"/>
  <c r="W1126" i="3" s="1"/>
  <c r="V1126" i="3"/>
  <c r="S1126" i="3"/>
  <c r="B1126" i="3"/>
  <c r="W1125" i="3"/>
  <c r="S1125" i="3"/>
  <c r="B1125" i="3"/>
  <c r="W1124" i="3"/>
  <c r="S1124" i="3"/>
  <c r="B1124" i="3"/>
  <c r="W1123" i="3"/>
  <c r="S1123" i="3"/>
  <c r="B1123" i="3"/>
  <c r="AF1122" i="3"/>
  <c r="W1122" i="3" s="1"/>
  <c r="V1122" i="3"/>
  <c r="S1122" i="3"/>
  <c r="B1122" i="3"/>
  <c r="AF1121" i="3"/>
  <c r="W1121" i="3" s="1"/>
  <c r="V1121" i="3"/>
  <c r="S1121" i="3"/>
  <c r="B1121" i="3"/>
  <c r="AF1120" i="3"/>
  <c r="W1120" i="3" s="1"/>
  <c r="V1120" i="3"/>
  <c r="S1120" i="3"/>
  <c r="B1120" i="3"/>
  <c r="AF1119" i="3"/>
  <c r="W1119" i="3" s="1"/>
  <c r="V1119" i="3"/>
  <c r="S1119" i="3"/>
  <c r="B1119" i="3"/>
  <c r="AF1118" i="3"/>
  <c r="W1118" i="3" s="1"/>
  <c r="V1118" i="3"/>
  <c r="S1118" i="3"/>
  <c r="B1118" i="3"/>
  <c r="AJ1117" i="3"/>
  <c r="W1117" i="3" s="1"/>
  <c r="V1117" i="3"/>
  <c r="S1117" i="3"/>
  <c r="B1117" i="3"/>
  <c r="AF1116" i="3"/>
  <c r="W1116" i="3" s="1"/>
  <c r="V1116" i="3"/>
  <c r="S1116" i="3"/>
  <c r="B1116" i="3"/>
  <c r="AF1115" i="3"/>
  <c r="W1115" i="3" s="1"/>
  <c r="V1115" i="3"/>
  <c r="S1115" i="3"/>
  <c r="B1115" i="3"/>
  <c r="AF1114" i="3"/>
  <c r="W1114" i="3" s="1"/>
  <c r="V1114" i="3"/>
  <c r="S1114" i="3"/>
  <c r="B1114" i="3"/>
  <c r="R1113" i="3"/>
  <c r="Q1113" i="3"/>
  <c r="L1113" i="3"/>
  <c r="K1113" i="3"/>
  <c r="J1113" i="3"/>
  <c r="I1113" i="3"/>
  <c r="T1113" i="3" s="1"/>
  <c r="AF1112" i="3"/>
  <c r="W1112" i="3" s="1"/>
  <c r="V1112" i="3"/>
  <c r="S1112" i="3"/>
  <c r="B1112" i="3"/>
  <c r="AF1111" i="3"/>
  <c r="W1111" i="3" s="1"/>
  <c r="V1111" i="3"/>
  <c r="S1111" i="3"/>
  <c r="B1111" i="3"/>
  <c r="AF1110" i="3"/>
  <c r="W1110" i="3" s="1"/>
  <c r="V1110" i="3"/>
  <c r="S1110" i="3"/>
  <c r="B1110" i="3"/>
  <c r="AF1109" i="3"/>
  <c r="W1109" i="3"/>
  <c r="S1109" i="3"/>
  <c r="B1109" i="3"/>
  <c r="AF1108" i="3"/>
  <c r="W1108" i="3" s="1"/>
  <c r="V1108" i="3"/>
  <c r="S1108" i="3"/>
  <c r="B1108" i="3"/>
  <c r="AF1107" i="3"/>
  <c r="W1107" i="3" s="1"/>
  <c r="V1107" i="3"/>
  <c r="S1107" i="3"/>
  <c r="B1107" i="3"/>
  <c r="AF1106" i="3"/>
  <c r="W1106" i="3" s="1"/>
  <c r="V1106" i="3"/>
  <c r="S1106" i="3"/>
  <c r="B1106" i="3"/>
  <c r="AF1105" i="3"/>
  <c r="W1105" i="3" s="1"/>
  <c r="V1105" i="3"/>
  <c r="S1105" i="3"/>
  <c r="B1105" i="3"/>
  <c r="S1104" i="3"/>
  <c r="B1104" i="3"/>
  <c r="AF1103" i="3"/>
  <c r="W1103" i="3" s="1"/>
  <c r="V1103" i="3"/>
  <c r="S1103" i="3"/>
  <c r="B1103" i="3"/>
  <c r="AF1102" i="3"/>
  <c r="W1102" i="3" s="1"/>
  <c r="V1102" i="3"/>
  <c r="S1102" i="3"/>
  <c r="B1102" i="3"/>
  <c r="AF1101" i="3"/>
  <c r="W1101" i="3" s="1"/>
  <c r="V1101" i="3"/>
  <c r="S1101" i="3"/>
  <c r="B1101" i="3"/>
  <c r="AF1100" i="3"/>
  <c r="W1100" i="3" s="1"/>
  <c r="V1100" i="3"/>
  <c r="S1100" i="3"/>
  <c r="B1100" i="3"/>
  <c r="AF1099" i="3"/>
  <c r="W1099" i="3" s="1"/>
  <c r="V1099" i="3"/>
  <c r="S1099" i="3"/>
  <c r="B1099" i="3"/>
  <c r="R1098" i="3"/>
  <c r="Q1098" i="3"/>
  <c r="L1098" i="3"/>
  <c r="K1098" i="3"/>
  <c r="J1098" i="3"/>
  <c r="I1098" i="3"/>
  <c r="T1098" i="3" s="1"/>
  <c r="AF1097" i="3"/>
  <c r="W1097" i="3" s="1"/>
  <c r="V1097" i="3"/>
  <c r="S1097" i="3"/>
  <c r="B1097" i="3"/>
  <c r="AF1096" i="3"/>
  <c r="W1096" i="3" s="1"/>
  <c r="V1096" i="3"/>
  <c r="S1096" i="3"/>
  <c r="B1096" i="3"/>
  <c r="AF1095" i="3"/>
  <c r="W1095" i="3" s="1"/>
  <c r="V1095" i="3"/>
  <c r="S1095" i="3"/>
  <c r="B1095" i="3"/>
  <c r="AF1094" i="3"/>
  <c r="W1094" i="3" s="1"/>
  <c r="V1094" i="3"/>
  <c r="S1094" i="3"/>
  <c r="B1094" i="3"/>
  <c r="AF1093" i="3"/>
  <c r="W1093" i="3" s="1"/>
  <c r="V1093" i="3"/>
  <c r="S1093" i="3"/>
  <c r="B1093" i="3"/>
  <c r="AF1092" i="3"/>
  <c r="W1092" i="3" s="1"/>
  <c r="V1092" i="3"/>
  <c r="S1092" i="3"/>
  <c r="B1092" i="3"/>
  <c r="AF1091" i="3"/>
  <c r="W1091" i="3" s="1"/>
  <c r="V1091" i="3"/>
  <c r="S1091" i="3"/>
  <c r="B1091" i="3"/>
  <c r="AD1090" i="3"/>
  <c r="W1090" i="3" s="1"/>
  <c r="V1090" i="3"/>
  <c r="S1090" i="3"/>
  <c r="B1090" i="3"/>
  <c r="AD1089" i="3"/>
  <c r="W1089" i="3" s="1"/>
  <c r="V1089" i="3"/>
  <c r="S1089" i="3"/>
  <c r="B1089" i="3"/>
  <c r="AF1088" i="3"/>
  <c r="W1088" i="3" s="1"/>
  <c r="V1088" i="3"/>
  <c r="S1088" i="3"/>
  <c r="B1088" i="3"/>
  <c r="AF1087" i="3"/>
  <c r="W1087" i="3" s="1"/>
  <c r="V1087" i="3"/>
  <c r="S1087" i="3"/>
  <c r="B1087" i="3"/>
  <c r="AF1086" i="3"/>
  <c r="W1086" i="3" s="1"/>
  <c r="V1086" i="3"/>
  <c r="S1086" i="3"/>
  <c r="B1086" i="3"/>
  <c r="AF1085" i="3"/>
  <c r="W1085" i="3" s="1"/>
  <c r="V1085" i="3"/>
  <c r="S1085" i="3"/>
  <c r="B1085" i="3"/>
  <c r="AF1084" i="3"/>
  <c r="W1084" i="3" s="1"/>
  <c r="V1084" i="3"/>
  <c r="S1084" i="3"/>
  <c r="B1084" i="3"/>
  <c r="AF1083" i="3"/>
  <c r="W1083" i="3" s="1"/>
  <c r="V1083" i="3"/>
  <c r="S1083" i="3"/>
  <c r="B1083" i="3"/>
  <c r="AF1082" i="3"/>
  <c r="W1082" i="3" s="1"/>
  <c r="V1082" i="3"/>
  <c r="S1082" i="3"/>
  <c r="B1082" i="3"/>
  <c r="AF1081" i="3"/>
  <c r="W1081" i="3" s="1"/>
  <c r="V1081" i="3"/>
  <c r="S1081" i="3"/>
  <c r="B1081" i="3"/>
  <c r="AD1080" i="3"/>
  <c r="W1080" i="3" s="1"/>
  <c r="V1080" i="3"/>
  <c r="S1080" i="3"/>
  <c r="B1080" i="3"/>
  <c r="AD1079" i="3"/>
  <c r="W1079" i="3" s="1"/>
  <c r="V1079" i="3"/>
  <c r="S1079" i="3"/>
  <c r="B1079" i="3"/>
  <c r="AF1078" i="3"/>
  <c r="W1078" i="3" s="1"/>
  <c r="V1078" i="3"/>
  <c r="S1078" i="3"/>
  <c r="B1078" i="3"/>
  <c r="AF1077" i="3"/>
  <c r="W1077" i="3" s="1"/>
  <c r="V1077" i="3"/>
  <c r="S1077" i="3"/>
  <c r="B1077" i="3"/>
  <c r="AF1076" i="3"/>
  <c r="W1076" i="3" s="1"/>
  <c r="V1076" i="3"/>
  <c r="S1076" i="3"/>
  <c r="B1076" i="3"/>
  <c r="AF1075" i="3"/>
  <c r="W1075" i="3" s="1"/>
  <c r="V1075" i="3"/>
  <c r="S1075" i="3"/>
  <c r="B1075" i="3"/>
  <c r="AF1074" i="3"/>
  <c r="W1074" i="3" s="1"/>
  <c r="V1074" i="3"/>
  <c r="S1074" i="3"/>
  <c r="B1074" i="3"/>
  <c r="AF1073" i="3"/>
  <c r="W1073" i="3" s="1"/>
  <c r="V1073" i="3"/>
  <c r="S1073" i="3"/>
  <c r="B1073" i="3"/>
  <c r="AF1072" i="3"/>
  <c r="W1072" i="3" s="1"/>
  <c r="V1072" i="3"/>
  <c r="S1072" i="3"/>
  <c r="B1072" i="3"/>
  <c r="AF1071" i="3"/>
  <c r="W1071" i="3" s="1"/>
  <c r="V1071" i="3"/>
  <c r="S1071" i="3"/>
  <c r="B1071" i="3"/>
  <c r="AF1070" i="3"/>
  <c r="W1070" i="3" s="1"/>
  <c r="V1070" i="3"/>
  <c r="S1070" i="3"/>
  <c r="B1070" i="3"/>
  <c r="AF1069" i="3"/>
  <c r="W1069" i="3" s="1"/>
  <c r="V1069" i="3"/>
  <c r="S1069" i="3"/>
  <c r="B1069" i="3"/>
  <c r="AF1068" i="3"/>
  <c r="W1068" i="3" s="1"/>
  <c r="V1068" i="3"/>
  <c r="S1068" i="3"/>
  <c r="B1068" i="3"/>
  <c r="AF1067" i="3"/>
  <c r="W1067" i="3" s="1"/>
  <c r="V1067" i="3"/>
  <c r="S1067" i="3"/>
  <c r="B1067" i="3"/>
  <c r="AF1066" i="3"/>
  <c r="W1066" i="3" s="1"/>
  <c r="V1066" i="3"/>
  <c r="S1066" i="3"/>
  <c r="B1066" i="3"/>
  <c r="AF1065" i="3"/>
  <c r="W1065" i="3" s="1"/>
  <c r="V1065" i="3"/>
  <c r="S1065" i="3"/>
  <c r="B1065" i="3"/>
  <c r="AJ1064" i="3"/>
  <c r="W1064" i="3" s="1"/>
  <c r="V1064" i="3"/>
  <c r="S1064" i="3"/>
  <c r="B1064" i="3"/>
  <c r="AF1063" i="3"/>
  <c r="W1063" i="3" s="1"/>
  <c r="V1063" i="3"/>
  <c r="S1063" i="3"/>
  <c r="B1063" i="3"/>
  <c r="AJ1062" i="3"/>
  <c r="W1062" i="3" s="1"/>
  <c r="V1062" i="3"/>
  <c r="S1062" i="3"/>
  <c r="B1062" i="3"/>
  <c r="AF1061" i="3"/>
  <c r="W1061" i="3" s="1"/>
  <c r="V1061" i="3"/>
  <c r="S1061" i="3"/>
  <c r="B1061" i="3"/>
  <c r="AF1060" i="3"/>
  <c r="W1060" i="3" s="1"/>
  <c r="V1060" i="3"/>
  <c r="S1060" i="3"/>
  <c r="B1060" i="3"/>
  <c r="AJ1059" i="3"/>
  <c r="W1059" i="3" s="1"/>
  <c r="V1059" i="3"/>
  <c r="S1059" i="3"/>
  <c r="B1059" i="3"/>
  <c r="AF1058" i="3"/>
  <c r="W1058" i="3" s="1"/>
  <c r="V1058" i="3"/>
  <c r="S1058" i="3"/>
  <c r="B1058" i="3"/>
  <c r="AF1057" i="3"/>
  <c r="W1057" i="3" s="1"/>
  <c r="V1057" i="3"/>
  <c r="S1057" i="3"/>
  <c r="B1057" i="3"/>
  <c r="AF1056" i="3"/>
  <c r="W1056" i="3" s="1"/>
  <c r="V1056" i="3"/>
  <c r="S1056" i="3"/>
  <c r="B1056" i="3"/>
  <c r="AF1055" i="3"/>
  <c r="W1055" i="3" s="1"/>
  <c r="V1055" i="3"/>
  <c r="S1055" i="3"/>
  <c r="B1055" i="3"/>
  <c r="AF1054" i="3"/>
  <c r="W1054" i="3" s="1"/>
  <c r="V1054" i="3"/>
  <c r="S1054" i="3"/>
  <c r="B1054" i="3"/>
  <c r="AF1053" i="3"/>
  <c r="W1053" i="3" s="1"/>
  <c r="V1053" i="3"/>
  <c r="S1053" i="3"/>
  <c r="B1053" i="3"/>
  <c r="AD1052" i="3"/>
  <c r="W1052" i="3" s="1"/>
  <c r="V1052" i="3"/>
  <c r="S1052" i="3"/>
  <c r="B1052" i="3"/>
  <c r="AF1051" i="3"/>
  <c r="W1051" i="3" s="1"/>
  <c r="V1051" i="3"/>
  <c r="S1051" i="3"/>
  <c r="B1051" i="3"/>
  <c r="AF1050" i="3"/>
  <c r="W1050" i="3" s="1"/>
  <c r="V1050" i="3"/>
  <c r="S1050" i="3"/>
  <c r="B1050" i="3"/>
  <c r="AF1049" i="3"/>
  <c r="W1049" i="3" s="1"/>
  <c r="V1049" i="3"/>
  <c r="S1049" i="3"/>
  <c r="B1049" i="3"/>
  <c r="AF1048" i="3"/>
  <c r="W1048" i="3" s="1"/>
  <c r="V1048" i="3"/>
  <c r="S1048" i="3"/>
  <c r="B1048" i="3"/>
  <c r="AF1047" i="3"/>
  <c r="W1047" i="3" s="1"/>
  <c r="V1047" i="3"/>
  <c r="S1047" i="3"/>
  <c r="B1047" i="3"/>
  <c r="AF1046" i="3"/>
  <c r="W1046" i="3" s="1"/>
  <c r="V1046" i="3"/>
  <c r="S1046" i="3"/>
  <c r="B1046" i="3"/>
  <c r="AF1045" i="3"/>
  <c r="W1045" i="3" s="1"/>
  <c r="V1045" i="3"/>
  <c r="S1045" i="3"/>
  <c r="B1045" i="3"/>
  <c r="AF1044" i="3"/>
  <c r="W1044" i="3" s="1"/>
  <c r="V1044" i="3"/>
  <c r="S1044" i="3"/>
  <c r="B1044" i="3"/>
  <c r="AF1043" i="3"/>
  <c r="W1043" i="3" s="1"/>
  <c r="V1043" i="3"/>
  <c r="S1043" i="3"/>
  <c r="B1043" i="3"/>
  <c r="AF1042" i="3"/>
  <c r="W1042" i="3" s="1"/>
  <c r="V1042" i="3"/>
  <c r="S1042" i="3"/>
  <c r="B1042" i="3"/>
  <c r="AF1041" i="3"/>
  <c r="W1041" i="3" s="1"/>
  <c r="V1041" i="3"/>
  <c r="S1041" i="3"/>
  <c r="B1041" i="3"/>
  <c r="AF1040" i="3"/>
  <c r="W1040" i="3" s="1"/>
  <c r="V1040" i="3"/>
  <c r="S1040" i="3"/>
  <c r="B1040" i="3"/>
  <c r="AF1039" i="3"/>
  <c r="W1039" i="3" s="1"/>
  <c r="V1039" i="3"/>
  <c r="S1039" i="3"/>
  <c r="B1039" i="3"/>
  <c r="AF1038" i="3"/>
  <c r="W1038" i="3" s="1"/>
  <c r="V1038" i="3"/>
  <c r="S1038" i="3"/>
  <c r="B1038" i="3"/>
  <c r="AF1037" i="3"/>
  <c r="W1037" i="3" s="1"/>
  <c r="V1037" i="3"/>
  <c r="S1037" i="3"/>
  <c r="B1037" i="3"/>
  <c r="AF1036" i="3"/>
  <c r="W1036" i="3" s="1"/>
  <c r="V1036" i="3"/>
  <c r="S1036" i="3"/>
  <c r="B1036" i="3"/>
  <c r="AF1035" i="3"/>
  <c r="W1035" i="3" s="1"/>
  <c r="V1035" i="3"/>
  <c r="S1035" i="3"/>
  <c r="B1035" i="3"/>
  <c r="AF1034" i="3"/>
  <c r="W1034" i="3" s="1"/>
  <c r="V1034" i="3"/>
  <c r="S1034" i="3"/>
  <c r="B1034" i="3"/>
  <c r="AF1033" i="3"/>
  <c r="W1033" i="3" s="1"/>
  <c r="V1033" i="3"/>
  <c r="S1033" i="3"/>
  <c r="B1033" i="3"/>
  <c r="AF1032" i="3"/>
  <c r="W1032" i="3" s="1"/>
  <c r="V1032" i="3"/>
  <c r="S1032" i="3"/>
  <c r="B1032" i="3"/>
  <c r="AF1031" i="3"/>
  <c r="W1031" i="3" s="1"/>
  <c r="V1031" i="3"/>
  <c r="S1031" i="3"/>
  <c r="B1031" i="3"/>
  <c r="AF1030" i="3"/>
  <c r="W1030" i="3" s="1"/>
  <c r="V1030" i="3"/>
  <c r="S1030" i="3"/>
  <c r="B1030" i="3"/>
  <c r="R1029" i="3"/>
  <c r="Q1029" i="3"/>
  <c r="L1029" i="3"/>
  <c r="K1029" i="3"/>
  <c r="J1029" i="3"/>
  <c r="I1029" i="3"/>
  <c r="T1029" i="3" s="1"/>
  <c r="AF1027" i="3"/>
  <c r="W1027" i="3" s="1"/>
  <c r="V1027" i="3"/>
  <c r="S1027" i="3"/>
  <c r="S1026" i="3" s="1"/>
  <c r="B1027" i="3"/>
  <c r="R1026" i="3"/>
  <c r="Q1026" i="3"/>
  <c r="L1026" i="3"/>
  <c r="K1026" i="3"/>
  <c r="J1026" i="3"/>
  <c r="I1026" i="3"/>
  <c r="T1026" i="3" s="1"/>
  <c r="AF1025" i="3"/>
  <c r="W1025" i="3" s="1"/>
  <c r="V1025" i="3"/>
  <c r="S1025" i="3"/>
  <c r="S1024" i="3" s="1"/>
  <c r="B1025" i="3"/>
  <c r="R1024" i="3"/>
  <c r="Q1024" i="3"/>
  <c r="L1024" i="3"/>
  <c r="K1024" i="3"/>
  <c r="J1024" i="3"/>
  <c r="I1024" i="3"/>
  <c r="T1024" i="3" s="1"/>
  <c r="AF1023" i="3"/>
  <c r="W1023" i="3" s="1"/>
  <c r="V1023" i="3"/>
  <c r="S1023" i="3"/>
  <c r="B1023" i="3"/>
  <c r="W1022" i="3"/>
  <c r="V1022" i="3"/>
  <c r="S1022" i="3"/>
  <c r="B1022" i="3"/>
  <c r="W1021" i="3"/>
  <c r="V1021" i="3"/>
  <c r="S1021" i="3"/>
  <c r="B1021" i="3"/>
  <c r="W1020" i="3"/>
  <c r="V1020" i="3"/>
  <c r="S1020" i="3"/>
  <c r="B1020" i="3"/>
  <c r="W1019" i="3"/>
  <c r="V1019" i="3"/>
  <c r="S1019" i="3"/>
  <c r="B1019" i="3"/>
  <c r="R1018" i="3"/>
  <c r="Q1018" i="3"/>
  <c r="L1018" i="3"/>
  <c r="K1018" i="3"/>
  <c r="J1018" i="3"/>
  <c r="I1018" i="3"/>
  <c r="T1018" i="3" s="1"/>
  <c r="W1017" i="3"/>
  <c r="V1017" i="3"/>
  <c r="S1017" i="3"/>
  <c r="B1017" i="3"/>
  <c r="W1016" i="3"/>
  <c r="V1016" i="3"/>
  <c r="S1016" i="3"/>
  <c r="B1016" i="3"/>
  <c r="W1015" i="3"/>
  <c r="V1015" i="3"/>
  <c r="S1015" i="3"/>
  <c r="B1015" i="3"/>
  <c r="W1014" i="3"/>
  <c r="V1014" i="3"/>
  <c r="S1014" i="3"/>
  <c r="B1014" i="3"/>
  <c r="W1013" i="3"/>
  <c r="V1013" i="3"/>
  <c r="S1013" i="3"/>
  <c r="B1013" i="3"/>
  <c r="AF1012" i="3"/>
  <c r="W1012" i="3" s="1"/>
  <c r="V1012" i="3"/>
  <c r="S1012" i="3"/>
  <c r="B1012" i="3"/>
  <c r="AF1011" i="3"/>
  <c r="W1011" i="3" s="1"/>
  <c r="V1011" i="3"/>
  <c r="S1011" i="3"/>
  <c r="B1011" i="3"/>
  <c r="R1010" i="3"/>
  <c r="Q1010" i="3"/>
  <c r="L1010" i="3"/>
  <c r="K1010" i="3"/>
  <c r="J1010" i="3"/>
  <c r="I1010" i="3"/>
  <c r="T1010" i="3" s="1"/>
  <c r="AF1009" i="3"/>
  <c r="W1009" i="3" s="1"/>
  <c r="V1009" i="3"/>
  <c r="S1009" i="3"/>
  <c r="S1008" i="3" s="1"/>
  <c r="B1009" i="3"/>
  <c r="R1008" i="3"/>
  <c r="Q1008" i="3"/>
  <c r="L1008" i="3"/>
  <c r="K1008" i="3"/>
  <c r="J1008" i="3"/>
  <c r="I1008" i="3"/>
  <c r="T1008" i="3" s="1"/>
  <c r="AF1007" i="3"/>
  <c r="W1007" i="3" s="1"/>
  <c r="V1007" i="3"/>
  <c r="S1007" i="3"/>
  <c r="S1006" i="3" s="1"/>
  <c r="B1007" i="3"/>
  <c r="R1006" i="3"/>
  <c r="Q1006" i="3"/>
  <c r="L1006" i="3"/>
  <c r="K1006" i="3"/>
  <c r="J1006" i="3"/>
  <c r="I1006" i="3"/>
  <c r="T1006" i="3" s="1"/>
  <c r="AF1005" i="3"/>
  <c r="W1005" i="3" s="1"/>
  <c r="V1005" i="3"/>
  <c r="S1005" i="3"/>
  <c r="S1004" i="3" s="1"/>
  <c r="B1005" i="3"/>
  <c r="R1004" i="3"/>
  <c r="Q1004" i="3"/>
  <c r="L1004" i="3"/>
  <c r="K1004" i="3"/>
  <c r="J1004" i="3"/>
  <c r="I1004" i="3"/>
  <c r="T1004" i="3" s="1"/>
  <c r="AF1003" i="3"/>
  <c r="W1003" i="3" s="1"/>
  <c r="V1003" i="3"/>
  <c r="S1003" i="3"/>
  <c r="B1003" i="3"/>
  <c r="AJ1002" i="3"/>
  <c r="W1002" i="3" s="1"/>
  <c r="V1002" i="3"/>
  <c r="S1002" i="3"/>
  <c r="B1002" i="3"/>
  <c r="AJ1001" i="3"/>
  <c r="W1001" i="3" s="1"/>
  <c r="V1001" i="3"/>
  <c r="S1001" i="3"/>
  <c r="B1001" i="3"/>
  <c r="AF1000" i="3"/>
  <c r="W1000" i="3" s="1"/>
  <c r="V1000" i="3"/>
  <c r="S1000" i="3"/>
  <c r="B1000" i="3"/>
  <c r="AF999" i="3"/>
  <c r="W999" i="3" s="1"/>
  <c r="V999" i="3"/>
  <c r="S999" i="3"/>
  <c r="B999" i="3"/>
  <c r="R998" i="3"/>
  <c r="Q998" i="3"/>
  <c r="L998" i="3"/>
  <c r="K998" i="3"/>
  <c r="J998" i="3"/>
  <c r="I998" i="3"/>
  <c r="T998" i="3" s="1"/>
  <c r="AF997" i="3"/>
  <c r="W997" i="3" s="1"/>
  <c r="V997" i="3"/>
  <c r="S997" i="3"/>
  <c r="S996" i="3" s="1"/>
  <c r="B997" i="3"/>
  <c r="R996" i="3"/>
  <c r="Q996" i="3"/>
  <c r="L996" i="3"/>
  <c r="K996" i="3"/>
  <c r="J996" i="3"/>
  <c r="I996" i="3"/>
  <c r="T996" i="3" s="1"/>
  <c r="AF995" i="3"/>
  <c r="W995" i="3" s="1"/>
  <c r="V995" i="3"/>
  <c r="S995" i="3"/>
  <c r="S994" i="3" s="1"/>
  <c r="B995" i="3"/>
  <c r="R994" i="3"/>
  <c r="Q994" i="3"/>
  <c r="L994" i="3"/>
  <c r="K994" i="3"/>
  <c r="J994" i="3"/>
  <c r="I994" i="3"/>
  <c r="T994" i="3" s="1"/>
  <c r="AF993" i="3"/>
  <c r="W993" i="3" s="1"/>
  <c r="V993" i="3"/>
  <c r="S993" i="3"/>
  <c r="S992" i="3" s="1"/>
  <c r="B993" i="3"/>
  <c r="R992" i="3"/>
  <c r="Q992" i="3"/>
  <c r="L992" i="3"/>
  <c r="K992" i="3"/>
  <c r="J992" i="3"/>
  <c r="I992" i="3"/>
  <c r="T992" i="3" s="1"/>
  <c r="AF991" i="3"/>
  <c r="W991" i="3" s="1"/>
  <c r="V991" i="3"/>
  <c r="S991" i="3"/>
  <c r="S990" i="3" s="1"/>
  <c r="B991" i="3"/>
  <c r="R990" i="3"/>
  <c r="Q990" i="3"/>
  <c r="L990" i="3"/>
  <c r="K990" i="3"/>
  <c r="J990" i="3"/>
  <c r="I990" i="3"/>
  <c r="T990" i="3" s="1"/>
  <c r="AF989" i="3"/>
  <c r="W989" i="3" s="1"/>
  <c r="V989" i="3"/>
  <c r="S989" i="3"/>
  <c r="B989" i="3"/>
  <c r="AF988" i="3"/>
  <c r="W988" i="3" s="1"/>
  <c r="V988" i="3"/>
  <c r="S988" i="3"/>
  <c r="B988" i="3"/>
  <c r="AF987" i="3"/>
  <c r="W987" i="3" s="1"/>
  <c r="V987" i="3"/>
  <c r="S987" i="3"/>
  <c r="B987" i="3"/>
  <c r="R986" i="3"/>
  <c r="Q986" i="3"/>
  <c r="L986" i="3"/>
  <c r="K986" i="3"/>
  <c r="J986" i="3"/>
  <c r="I986" i="3"/>
  <c r="T986" i="3" s="1"/>
  <c r="AF985" i="3"/>
  <c r="W985" i="3" s="1"/>
  <c r="V985" i="3"/>
  <c r="S985" i="3"/>
  <c r="B985" i="3"/>
  <c r="AF984" i="3"/>
  <c r="W984" i="3" s="1"/>
  <c r="V984" i="3"/>
  <c r="S984" i="3"/>
  <c r="B984" i="3"/>
  <c r="AF983" i="3"/>
  <c r="W983" i="3" s="1"/>
  <c r="V983" i="3"/>
  <c r="S983" i="3"/>
  <c r="B983" i="3"/>
  <c r="AF982" i="3"/>
  <c r="W982" i="3" s="1"/>
  <c r="V982" i="3"/>
  <c r="S982" i="3"/>
  <c r="B982" i="3"/>
  <c r="AF981" i="3"/>
  <c r="W981" i="3" s="1"/>
  <c r="V981" i="3"/>
  <c r="S981" i="3"/>
  <c r="B981" i="3"/>
  <c r="AF980" i="3"/>
  <c r="W980" i="3" s="1"/>
  <c r="V980" i="3"/>
  <c r="S980" i="3"/>
  <c r="B980" i="3"/>
  <c r="R979" i="3"/>
  <c r="Q979" i="3"/>
  <c r="L979" i="3"/>
  <c r="K979" i="3"/>
  <c r="J979" i="3"/>
  <c r="I979" i="3"/>
  <c r="T979" i="3" s="1"/>
  <c r="AF978" i="3"/>
  <c r="W978" i="3" s="1"/>
  <c r="V978" i="3"/>
  <c r="S978" i="3"/>
  <c r="B978" i="3"/>
  <c r="AF977" i="3"/>
  <c r="W977" i="3" s="1"/>
  <c r="V977" i="3"/>
  <c r="S977" i="3"/>
  <c r="B977" i="3"/>
  <c r="AF976" i="3"/>
  <c r="W976" i="3" s="1"/>
  <c r="V976" i="3"/>
  <c r="S976" i="3"/>
  <c r="B976" i="3"/>
  <c r="AF975" i="3"/>
  <c r="W975" i="3" s="1"/>
  <c r="V975" i="3"/>
  <c r="S975" i="3"/>
  <c r="B975" i="3"/>
  <c r="AF974" i="3"/>
  <c r="W974" i="3" s="1"/>
  <c r="V974" i="3"/>
  <c r="S974" i="3"/>
  <c r="B974" i="3"/>
  <c r="R973" i="3"/>
  <c r="Q973" i="3"/>
  <c r="L973" i="3"/>
  <c r="K973" i="3"/>
  <c r="J973" i="3"/>
  <c r="I973" i="3"/>
  <c r="T973" i="3" s="1"/>
  <c r="AF972" i="3"/>
  <c r="W972" i="3" s="1"/>
  <c r="V972" i="3"/>
  <c r="S972" i="3"/>
  <c r="B972" i="3"/>
  <c r="AF971" i="3"/>
  <c r="W971" i="3" s="1"/>
  <c r="V971" i="3"/>
  <c r="S971" i="3"/>
  <c r="B971" i="3"/>
  <c r="AF970" i="3"/>
  <c r="W970" i="3" s="1"/>
  <c r="V970" i="3"/>
  <c r="S970" i="3"/>
  <c r="B970" i="3"/>
  <c r="R969" i="3"/>
  <c r="Q969" i="3"/>
  <c r="L969" i="3"/>
  <c r="K969" i="3"/>
  <c r="J969" i="3"/>
  <c r="I969" i="3"/>
  <c r="T969" i="3" s="1"/>
  <c r="AF968" i="3"/>
  <c r="W968" i="3" s="1"/>
  <c r="V968" i="3"/>
  <c r="S968" i="3"/>
  <c r="S967" i="3" s="1"/>
  <c r="B968" i="3"/>
  <c r="R967" i="3"/>
  <c r="Q967" i="3"/>
  <c r="L967" i="3"/>
  <c r="K967" i="3"/>
  <c r="J967" i="3"/>
  <c r="I967" i="3"/>
  <c r="T967" i="3" s="1"/>
  <c r="AF966" i="3"/>
  <c r="W966" i="3" s="1"/>
  <c r="V966" i="3"/>
  <c r="S966" i="3"/>
  <c r="S965" i="3" s="1"/>
  <c r="B966" i="3"/>
  <c r="R965" i="3"/>
  <c r="Q965" i="3"/>
  <c r="L965" i="3"/>
  <c r="K965" i="3"/>
  <c r="J965" i="3"/>
  <c r="I965" i="3"/>
  <c r="T965" i="3" s="1"/>
  <c r="AF964" i="3"/>
  <c r="W964" i="3" s="1"/>
  <c r="V964" i="3"/>
  <c r="S964" i="3"/>
  <c r="S963" i="3" s="1"/>
  <c r="B964" i="3"/>
  <c r="R963" i="3"/>
  <c r="Q963" i="3"/>
  <c r="L963" i="3"/>
  <c r="K963" i="3"/>
  <c r="J963" i="3"/>
  <c r="I963" i="3"/>
  <c r="T963" i="3" s="1"/>
  <c r="AF962" i="3"/>
  <c r="W962" i="3" s="1"/>
  <c r="V962" i="3"/>
  <c r="S962" i="3"/>
  <c r="B962" i="3"/>
  <c r="AF961" i="3"/>
  <c r="W961" i="3" s="1"/>
  <c r="V961" i="3"/>
  <c r="S961" i="3"/>
  <c r="S960" i="3" s="1"/>
  <c r="B961" i="3"/>
  <c r="R960" i="3"/>
  <c r="Q960" i="3"/>
  <c r="L960" i="3"/>
  <c r="K960" i="3"/>
  <c r="J960" i="3"/>
  <c r="I960" i="3"/>
  <c r="T960" i="3" s="1"/>
  <c r="AF959" i="3"/>
  <c r="W959" i="3" s="1"/>
  <c r="V959" i="3"/>
  <c r="S959" i="3"/>
  <c r="S958" i="3" s="1"/>
  <c r="B959" i="3"/>
  <c r="R958" i="3"/>
  <c r="Q958" i="3"/>
  <c r="L958" i="3"/>
  <c r="K958" i="3"/>
  <c r="J958" i="3"/>
  <c r="I958" i="3"/>
  <c r="T958" i="3" s="1"/>
  <c r="AF957" i="3"/>
  <c r="W957" i="3" s="1"/>
  <c r="V957" i="3"/>
  <c r="S957" i="3"/>
  <c r="B957" i="3"/>
  <c r="AF956" i="3"/>
  <c r="W956" i="3" s="1"/>
  <c r="V956" i="3"/>
  <c r="S956" i="3"/>
  <c r="B956" i="3"/>
  <c r="AF955" i="3"/>
  <c r="W955" i="3" s="1"/>
  <c r="V955" i="3"/>
  <c r="S955" i="3"/>
  <c r="B955" i="3"/>
  <c r="R954" i="3"/>
  <c r="Q954" i="3"/>
  <c r="L954" i="3"/>
  <c r="K954" i="3"/>
  <c r="J954" i="3"/>
  <c r="I954" i="3"/>
  <c r="T954" i="3" s="1"/>
  <c r="S953" i="3"/>
  <c r="B953" i="3"/>
  <c r="S952" i="3"/>
  <c r="B952" i="3"/>
  <c r="AF951" i="3"/>
  <c r="W951" i="3" s="1"/>
  <c r="V951" i="3"/>
  <c r="S951" i="3"/>
  <c r="B951" i="3"/>
  <c r="AF950" i="3"/>
  <c r="W950" i="3" s="1"/>
  <c r="V950" i="3"/>
  <c r="S950" i="3"/>
  <c r="B950" i="3"/>
  <c r="AF949" i="3"/>
  <c r="W949" i="3" s="1"/>
  <c r="V949" i="3"/>
  <c r="S949" i="3"/>
  <c r="B949" i="3"/>
  <c r="AF948" i="3"/>
  <c r="W948" i="3" s="1"/>
  <c r="V948" i="3"/>
  <c r="S948" i="3"/>
  <c r="B948" i="3"/>
  <c r="AF947" i="3"/>
  <c r="W947" i="3" s="1"/>
  <c r="V947" i="3"/>
  <c r="S947" i="3"/>
  <c r="B947" i="3"/>
  <c r="AF946" i="3"/>
  <c r="W946" i="3" s="1"/>
  <c r="V946" i="3"/>
  <c r="S946" i="3"/>
  <c r="B946" i="3"/>
  <c r="R945" i="3"/>
  <c r="Q945" i="3"/>
  <c r="L945" i="3"/>
  <c r="K945" i="3"/>
  <c r="J945" i="3"/>
  <c r="I945" i="3"/>
  <c r="T945" i="3" s="1"/>
  <c r="AF944" i="3"/>
  <c r="W944" i="3" s="1"/>
  <c r="V944" i="3"/>
  <c r="S944" i="3"/>
  <c r="S943" i="3" s="1"/>
  <c r="B944" i="3"/>
  <c r="R943" i="3"/>
  <c r="Q943" i="3"/>
  <c r="L943" i="3"/>
  <c r="K943" i="3"/>
  <c r="J943" i="3"/>
  <c r="I943" i="3"/>
  <c r="T943" i="3" s="1"/>
  <c r="S942" i="3"/>
  <c r="B942" i="3"/>
  <c r="AF941" i="3"/>
  <c r="W941" i="3" s="1"/>
  <c r="V941" i="3"/>
  <c r="S941" i="3"/>
  <c r="B941" i="3"/>
  <c r="AF940" i="3"/>
  <c r="W940" i="3" s="1"/>
  <c r="V940" i="3"/>
  <c r="S940" i="3"/>
  <c r="B940" i="3"/>
  <c r="R939" i="3"/>
  <c r="Q939" i="3"/>
  <c r="L939" i="3"/>
  <c r="K939" i="3"/>
  <c r="J939" i="3"/>
  <c r="I939" i="3"/>
  <c r="T939" i="3" s="1"/>
  <c r="AF938" i="3"/>
  <c r="W938" i="3" s="1"/>
  <c r="V938" i="3"/>
  <c r="S938" i="3"/>
  <c r="B938" i="3"/>
  <c r="AF937" i="3"/>
  <c r="W937" i="3" s="1"/>
  <c r="V937" i="3"/>
  <c r="S937" i="3"/>
  <c r="B937" i="3"/>
  <c r="AF936" i="3"/>
  <c r="W936" i="3" s="1"/>
  <c r="V936" i="3"/>
  <c r="S936" i="3"/>
  <c r="B936" i="3"/>
  <c r="AF935" i="3"/>
  <c r="W935" i="3" s="1"/>
  <c r="V935" i="3"/>
  <c r="S935" i="3"/>
  <c r="B935" i="3"/>
  <c r="W934" i="3"/>
  <c r="V934" i="3"/>
  <c r="S934" i="3"/>
  <c r="B934" i="3"/>
  <c r="R933" i="3"/>
  <c r="Q933" i="3"/>
  <c r="L933" i="3"/>
  <c r="K933" i="3"/>
  <c r="J933" i="3"/>
  <c r="I933" i="3"/>
  <c r="T933" i="3" s="1"/>
  <c r="AF932" i="3"/>
  <c r="W932" i="3" s="1"/>
  <c r="V932" i="3"/>
  <c r="S932" i="3"/>
  <c r="B932" i="3"/>
  <c r="AF931" i="3"/>
  <c r="W931" i="3" s="1"/>
  <c r="V931" i="3"/>
  <c r="S931" i="3"/>
  <c r="B931" i="3"/>
  <c r="R930" i="3"/>
  <c r="Q930" i="3"/>
  <c r="L930" i="3"/>
  <c r="K930" i="3"/>
  <c r="J930" i="3"/>
  <c r="I930" i="3"/>
  <c r="T930" i="3" s="1"/>
  <c r="AF929" i="3"/>
  <c r="W929" i="3" s="1"/>
  <c r="V929" i="3"/>
  <c r="S929" i="3"/>
  <c r="B929" i="3"/>
  <c r="AF928" i="3"/>
  <c r="W928" i="3" s="1"/>
  <c r="V928" i="3"/>
  <c r="S928" i="3"/>
  <c r="B928" i="3"/>
  <c r="AF927" i="3"/>
  <c r="W927" i="3" s="1"/>
  <c r="V927" i="3"/>
  <c r="S927" i="3"/>
  <c r="B927" i="3"/>
  <c r="AF926" i="3"/>
  <c r="W926" i="3" s="1"/>
  <c r="V926" i="3"/>
  <c r="S926" i="3"/>
  <c r="B926" i="3"/>
  <c r="R925" i="3"/>
  <c r="Q925" i="3"/>
  <c r="L925" i="3"/>
  <c r="K925" i="3"/>
  <c r="J925" i="3"/>
  <c r="I925" i="3"/>
  <c r="T925" i="3" s="1"/>
  <c r="AF924" i="3"/>
  <c r="W924" i="3" s="1"/>
  <c r="V924" i="3"/>
  <c r="S924" i="3"/>
  <c r="S923" i="3" s="1"/>
  <c r="B924" i="3"/>
  <c r="R923" i="3"/>
  <c r="Q923" i="3"/>
  <c r="L923" i="3"/>
  <c r="K923" i="3"/>
  <c r="J923" i="3"/>
  <c r="I923" i="3"/>
  <c r="T923" i="3" s="1"/>
  <c r="AF922" i="3"/>
  <c r="W922" i="3" s="1"/>
  <c r="V922" i="3"/>
  <c r="S922" i="3"/>
  <c r="S921" i="3" s="1"/>
  <c r="B922" i="3"/>
  <c r="R921" i="3"/>
  <c r="Q921" i="3"/>
  <c r="L921" i="3"/>
  <c r="K921" i="3"/>
  <c r="J921" i="3"/>
  <c r="I921" i="3"/>
  <c r="T921" i="3" s="1"/>
  <c r="AF920" i="3"/>
  <c r="W920" i="3" s="1"/>
  <c r="V920" i="3"/>
  <c r="S920" i="3"/>
  <c r="S919" i="3" s="1"/>
  <c r="B920" i="3"/>
  <c r="R919" i="3"/>
  <c r="Q919" i="3"/>
  <c r="L919" i="3"/>
  <c r="K919" i="3"/>
  <c r="J919" i="3"/>
  <c r="I919" i="3"/>
  <c r="T919" i="3" s="1"/>
  <c r="AF918" i="3"/>
  <c r="W918" i="3" s="1"/>
  <c r="V918" i="3"/>
  <c r="S918" i="3"/>
  <c r="S917" i="3" s="1"/>
  <c r="B918" i="3"/>
  <c r="R917" i="3"/>
  <c r="Q917" i="3"/>
  <c r="L917" i="3"/>
  <c r="K917" i="3"/>
  <c r="J917" i="3"/>
  <c r="I917" i="3"/>
  <c r="T917" i="3" s="1"/>
  <c r="AF916" i="3"/>
  <c r="W916" i="3" s="1"/>
  <c r="V916" i="3"/>
  <c r="S916" i="3"/>
  <c r="B916" i="3"/>
  <c r="AF915" i="3"/>
  <c r="W915" i="3" s="1"/>
  <c r="V915" i="3"/>
  <c r="S915" i="3"/>
  <c r="B915" i="3"/>
  <c r="AF914" i="3"/>
  <c r="W914" i="3" s="1"/>
  <c r="V914" i="3"/>
  <c r="S914" i="3"/>
  <c r="B914" i="3"/>
  <c r="AF913" i="3"/>
  <c r="W913" i="3" s="1"/>
  <c r="V913" i="3"/>
  <c r="S913" i="3"/>
  <c r="B913" i="3"/>
  <c r="R912" i="3"/>
  <c r="Q912" i="3"/>
  <c r="L912" i="3"/>
  <c r="K912" i="3"/>
  <c r="J912" i="3"/>
  <c r="I912" i="3"/>
  <c r="T912" i="3" s="1"/>
  <c r="AF911" i="3"/>
  <c r="W911" i="3" s="1"/>
  <c r="V911" i="3"/>
  <c r="S911" i="3"/>
  <c r="S910" i="3" s="1"/>
  <c r="B911" i="3"/>
  <c r="R910" i="3"/>
  <c r="Q910" i="3"/>
  <c r="L910" i="3"/>
  <c r="K910" i="3"/>
  <c r="J910" i="3"/>
  <c r="I910" i="3"/>
  <c r="T910" i="3" s="1"/>
  <c r="AF909" i="3"/>
  <c r="W909" i="3" s="1"/>
  <c r="S909" i="3"/>
  <c r="K909" i="3"/>
  <c r="K906" i="3" s="1"/>
  <c r="B909" i="3"/>
  <c r="AF908" i="3"/>
  <c r="W908" i="3" s="1"/>
  <c r="V908" i="3"/>
  <c r="S908" i="3"/>
  <c r="B908" i="3"/>
  <c r="AF907" i="3"/>
  <c r="W907" i="3" s="1"/>
  <c r="V907" i="3"/>
  <c r="S907" i="3"/>
  <c r="B907" i="3"/>
  <c r="R906" i="3"/>
  <c r="Q906" i="3"/>
  <c r="L906" i="3"/>
  <c r="J906" i="3"/>
  <c r="I906" i="3"/>
  <c r="T906" i="3" s="1"/>
  <c r="AF905" i="3"/>
  <c r="W905" i="3" s="1"/>
  <c r="S905" i="3"/>
  <c r="K905" i="3"/>
  <c r="K897" i="3" s="1"/>
  <c r="B905" i="3"/>
  <c r="AF904" i="3"/>
  <c r="W904" i="3" s="1"/>
  <c r="V904" i="3"/>
  <c r="S904" i="3"/>
  <c r="B904" i="3"/>
  <c r="AF903" i="3"/>
  <c r="W903" i="3" s="1"/>
  <c r="V903" i="3"/>
  <c r="S903" i="3"/>
  <c r="B903" i="3"/>
  <c r="AF902" i="3"/>
  <c r="W902" i="3" s="1"/>
  <c r="V902" i="3"/>
  <c r="S902" i="3"/>
  <c r="B902" i="3"/>
  <c r="AF901" i="3"/>
  <c r="W901" i="3" s="1"/>
  <c r="V901" i="3"/>
  <c r="S901" i="3"/>
  <c r="B901" i="3"/>
  <c r="AF900" i="3"/>
  <c r="W900" i="3" s="1"/>
  <c r="V900" i="3"/>
  <c r="S900" i="3"/>
  <c r="B900" i="3"/>
  <c r="AF899" i="3"/>
  <c r="W899" i="3" s="1"/>
  <c r="V899" i="3"/>
  <c r="S899" i="3"/>
  <c r="B899" i="3"/>
  <c r="AF898" i="3"/>
  <c r="V898" i="3"/>
  <c r="S898" i="3"/>
  <c r="B898" i="3"/>
  <c r="R897" i="3"/>
  <c r="Q897" i="3"/>
  <c r="L897" i="3"/>
  <c r="J897" i="3"/>
  <c r="I897" i="3"/>
  <c r="T897" i="3" s="1"/>
  <c r="AF896" i="3"/>
  <c r="W896" i="3" s="1"/>
  <c r="V896" i="3"/>
  <c r="S896" i="3"/>
  <c r="B896" i="3"/>
  <c r="AF895" i="3"/>
  <c r="W895" i="3" s="1"/>
  <c r="V895" i="3"/>
  <c r="S895" i="3"/>
  <c r="B895" i="3"/>
  <c r="R894" i="3"/>
  <c r="Q894" i="3"/>
  <c r="L894" i="3"/>
  <c r="K894" i="3"/>
  <c r="J894" i="3"/>
  <c r="I894" i="3"/>
  <c r="T894" i="3" s="1"/>
  <c r="AF893" i="3"/>
  <c r="W893" i="3" s="1"/>
  <c r="V893" i="3"/>
  <c r="S893" i="3"/>
  <c r="B893" i="3"/>
  <c r="AF892" i="3"/>
  <c r="W892" i="3" s="1"/>
  <c r="V892" i="3"/>
  <c r="S892" i="3"/>
  <c r="S891" i="3" s="1"/>
  <c r="B892" i="3"/>
  <c r="R891" i="3"/>
  <c r="Q891" i="3"/>
  <c r="L891" i="3"/>
  <c r="K891" i="3"/>
  <c r="J891" i="3"/>
  <c r="I891" i="3"/>
  <c r="T891" i="3" s="1"/>
  <c r="AJ890" i="3"/>
  <c r="W890" i="3" s="1"/>
  <c r="V890" i="3"/>
  <c r="S890" i="3"/>
  <c r="B890" i="3"/>
  <c r="AJ889" i="3"/>
  <c r="W889" i="3" s="1"/>
  <c r="V889" i="3"/>
  <c r="S889" i="3"/>
  <c r="B889" i="3"/>
  <c r="R888" i="3"/>
  <c r="Q888" i="3"/>
  <c r="L888" i="3"/>
  <c r="K888" i="3"/>
  <c r="J888" i="3"/>
  <c r="I888" i="3"/>
  <c r="T888" i="3" s="1"/>
  <c r="AF887" i="3"/>
  <c r="W887" i="3" s="1"/>
  <c r="V887" i="3"/>
  <c r="S887" i="3"/>
  <c r="B887" i="3"/>
  <c r="AJ886" i="3"/>
  <c r="W886" i="3" s="1"/>
  <c r="V886" i="3"/>
  <c r="S886" i="3"/>
  <c r="B886" i="3"/>
  <c r="AJ885" i="3"/>
  <c r="W885" i="3" s="1"/>
  <c r="V885" i="3"/>
  <c r="S885" i="3"/>
  <c r="B885" i="3"/>
  <c r="R884" i="3"/>
  <c r="Q884" i="3"/>
  <c r="L884" i="3"/>
  <c r="K884" i="3"/>
  <c r="J884" i="3"/>
  <c r="I884" i="3"/>
  <c r="T884" i="3" s="1"/>
  <c r="AJ883" i="3"/>
  <c r="W883" i="3" s="1"/>
  <c r="V883" i="3"/>
  <c r="S883" i="3"/>
  <c r="B883" i="3"/>
  <c r="AJ882" i="3"/>
  <c r="W882" i="3" s="1"/>
  <c r="V882" i="3"/>
  <c r="S882" i="3"/>
  <c r="S881" i="3" s="1"/>
  <c r="B882" i="3"/>
  <c r="R881" i="3"/>
  <c r="Q881" i="3"/>
  <c r="L881" i="3"/>
  <c r="K881" i="3"/>
  <c r="J881" i="3"/>
  <c r="I881" i="3"/>
  <c r="T881" i="3" s="1"/>
  <c r="AF880" i="3"/>
  <c r="W880" i="3" s="1"/>
  <c r="V880" i="3"/>
  <c r="S880" i="3"/>
  <c r="B880" i="3"/>
  <c r="AF879" i="3"/>
  <c r="W879" i="3" s="1"/>
  <c r="V879" i="3"/>
  <c r="S879" i="3"/>
  <c r="B879" i="3"/>
  <c r="AF878" i="3"/>
  <c r="W878" i="3" s="1"/>
  <c r="V878" i="3"/>
  <c r="S878" i="3"/>
  <c r="B878" i="3"/>
  <c r="AF877" i="3"/>
  <c r="W877" i="3" s="1"/>
  <c r="V877" i="3"/>
  <c r="S877" i="3"/>
  <c r="B877" i="3"/>
  <c r="AF876" i="3"/>
  <c r="W876" i="3" s="1"/>
  <c r="V876" i="3"/>
  <c r="S876" i="3"/>
  <c r="B876" i="3"/>
  <c r="AF875" i="3"/>
  <c r="W875" i="3" s="1"/>
  <c r="V875" i="3"/>
  <c r="S875" i="3"/>
  <c r="B875" i="3"/>
  <c r="AF874" i="3"/>
  <c r="W874" i="3" s="1"/>
  <c r="V874" i="3"/>
  <c r="S874" i="3"/>
  <c r="B874" i="3"/>
  <c r="AF873" i="3"/>
  <c r="W873" i="3" s="1"/>
  <c r="V873" i="3"/>
  <c r="S873" i="3"/>
  <c r="B873" i="3"/>
  <c r="AF872" i="3"/>
  <c r="W872" i="3" s="1"/>
  <c r="V872" i="3"/>
  <c r="S872" i="3"/>
  <c r="B872" i="3"/>
  <c r="AF871" i="3"/>
  <c r="W871" i="3" s="1"/>
  <c r="V871" i="3"/>
  <c r="S871" i="3"/>
  <c r="B871" i="3"/>
  <c r="AN870" i="3"/>
  <c r="V870" i="3"/>
  <c r="S870" i="3"/>
  <c r="B870" i="3"/>
  <c r="AF869" i="3"/>
  <c r="W869" i="3" s="1"/>
  <c r="V869" i="3"/>
  <c r="S869" i="3"/>
  <c r="B869" i="3"/>
  <c r="R868" i="3"/>
  <c r="Q868" i="3"/>
  <c r="L868" i="3"/>
  <c r="K868" i="3"/>
  <c r="J868" i="3"/>
  <c r="I868" i="3"/>
  <c r="T868" i="3" s="1"/>
  <c r="AF867" i="3"/>
  <c r="W867" i="3" s="1"/>
  <c r="V867" i="3"/>
  <c r="S867" i="3"/>
  <c r="S866" i="3" s="1"/>
  <c r="B867" i="3"/>
  <c r="R866" i="3"/>
  <c r="Q866" i="3"/>
  <c r="L866" i="3"/>
  <c r="K866" i="3"/>
  <c r="J866" i="3"/>
  <c r="I866" i="3"/>
  <c r="T866" i="3" s="1"/>
  <c r="AF865" i="3"/>
  <c r="W865" i="3" s="1"/>
  <c r="V865" i="3"/>
  <c r="S865" i="3"/>
  <c r="B865" i="3"/>
  <c r="AF864" i="3"/>
  <c r="W864" i="3" s="1"/>
  <c r="V864" i="3"/>
  <c r="S864" i="3"/>
  <c r="B864" i="3"/>
  <c r="AF863" i="3"/>
  <c r="W863" i="3" s="1"/>
  <c r="V863" i="3"/>
  <c r="S863" i="3"/>
  <c r="B863" i="3"/>
  <c r="AF862" i="3"/>
  <c r="W862" i="3" s="1"/>
  <c r="V862" i="3"/>
  <c r="S862" i="3"/>
  <c r="B862" i="3"/>
  <c r="R861" i="3"/>
  <c r="Q861" i="3"/>
  <c r="L861" i="3"/>
  <c r="K861" i="3"/>
  <c r="J861" i="3"/>
  <c r="I861" i="3"/>
  <c r="T861" i="3" s="1"/>
  <c r="AF860" i="3"/>
  <c r="W860" i="3" s="1"/>
  <c r="V860" i="3"/>
  <c r="S860" i="3"/>
  <c r="S859" i="3" s="1"/>
  <c r="B860" i="3"/>
  <c r="R859" i="3"/>
  <c r="Q859" i="3"/>
  <c r="L859" i="3"/>
  <c r="K859" i="3"/>
  <c r="J859" i="3"/>
  <c r="I859" i="3"/>
  <c r="T859" i="3" s="1"/>
  <c r="AF858" i="3"/>
  <c r="W858" i="3" s="1"/>
  <c r="V858" i="3"/>
  <c r="S858" i="3"/>
  <c r="S857" i="3" s="1"/>
  <c r="B858" i="3"/>
  <c r="R857" i="3"/>
  <c r="Q857" i="3"/>
  <c r="L857" i="3"/>
  <c r="K857" i="3"/>
  <c r="J857" i="3"/>
  <c r="I857" i="3"/>
  <c r="T857" i="3" s="1"/>
  <c r="AF856" i="3"/>
  <c r="W856" i="3" s="1"/>
  <c r="V856" i="3"/>
  <c r="S856" i="3"/>
  <c r="S855" i="3" s="1"/>
  <c r="B856" i="3"/>
  <c r="R855" i="3"/>
  <c r="Q855" i="3"/>
  <c r="L855" i="3"/>
  <c r="K855" i="3"/>
  <c r="J855" i="3"/>
  <c r="I855" i="3"/>
  <c r="T855" i="3" s="1"/>
  <c r="AF854" i="3"/>
  <c r="W854" i="3" s="1"/>
  <c r="V854" i="3"/>
  <c r="S854" i="3"/>
  <c r="S853" i="3" s="1"/>
  <c r="B854" i="3"/>
  <c r="R853" i="3"/>
  <c r="Q853" i="3"/>
  <c r="L853" i="3"/>
  <c r="K853" i="3"/>
  <c r="J853" i="3"/>
  <c r="I853" i="3"/>
  <c r="T853" i="3" s="1"/>
  <c r="AF852" i="3"/>
  <c r="W852" i="3" s="1"/>
  <c r="V852" i="3"/>
  <c r="S852" i="3"/>
  <c r="S851" i="3" s="1"/>
  <c r="B852" i="3"/>
  <c r="R851" i="3"/>
  <c r="Q851" i="3"/>
  <c r="L851" i="3"/>
  <c r="K851" i="3"/>
  <c r="J851" i="3"/>
  <c r="I851" i="3"/>
  <c r="T851" i="3" s="1"/>
  <c r="AF850" i="3"/>
  <c r="W850" i="3" s="1"/>
  <c r="V850" i="3"/>
  <c r="S850" i="3"/>
  <c r="S849" i="3" s="1"/>
  <c r="B850" i="3"/>
  <c r="R849" i="3"/>
  <c r="Q849" i="3"/>
  <c r="L849" i="3"/>
  <c r="K849" i="3"/>
  <c r="J849" i="3"/>
  <c r="I849" i="3"/>
  <c r="T849" i="3" s="1"/>
  <c r="AJ848" i="3"/>
  <c r="W848" i="3" s="1"/>
  <c r="V848" i="3"/>
  <c r="S848" i="3"/>
  <c r="B848" i="3"/>
  <c r="AJ847" i="3"/>
  <c r="W847" i="3" s="1"/>
  <c r="V847" i="3"/>
  <c r="S847" i="3"/>
  <c r="S846" i="3" s="1"/>
  <c r="B847" i="3"/>
  <c r="R846" i="3"/>
  <c r="Q846" i="3"/>
  <c r="L846" i="3"/>
  <c r="K846" i="3"/>
  <c r="J846" i="3"/>
  <c r="I846" i="3"/>
  <c r="T846" i="3" s="1"/>
  <c r="AJ845" i="3"/>
  <c r="W845" i="3" s="1"/>
  <c r="V845" i="3"/>
  <c r="S845" i="3"/>
  <c r="B845" i="3"/>
  <c r="AJ844" i="3"/>
  <c r="W844" i="3" s="1"/>
  <c r="V844" i="3"/>
  <c r="S844" i="3"/>
  <c r="S843" i="3" s="1"/>
  <c r="B844" i="3"/>
  <c r="R843" i="3"/>
  <c r="Q843" i="3"/>
  <c r="L843" i="3"/>
  <c r="K843" i="3"/>
  <c r="J843" i="3"/>
  <c r="I843" i="3"/>
  <c r="T843" i="3" s="1"/>
  <c r="AF842" i="3"/>
  <c r="W842" i="3" s="1"/>
  <c r="V842" i="3"/>
  <c r="S842" i="3"/>
  <c r="B842" i="3"/>
  <c r="AL841" i="3"/>
  <c r="W841" i="3" s="1"/>
  <c r="V841" i="3"/>
  <c r="S841" i="3"/>
  <c r="B841" i="3"/>
  <c r="AF840" i="3"/>
  <c r="W840" i="3" s="1"/>
  <c r="V840" i="3"/>
  <c r="S840" i="3"/>
  <c r="B840" i="3"/>
  <c r="AL839" i="3"/>
  <c r="W839" i="3" s="1"/>
  <c r="V839" i="3"/>
  <c r="S839" i="3"/>
  <c r="B839" i="3"/>
  <c r="AF838" i="3"/>
  <c r="W838" i="3" s="1"/>
  <c r="V838" i="3"/>
  <c r="S838" i="3"/>
  <c r="B838" i="3"/>
  <c r="AN837" i="3"/>
  <c r="W837" i="3" s="1"/>
  <c r="V837" i="3"/>
  <c r="S837" i="3"/>
  <c r="B837" i="3"/>
  <c r="AL836" i="3"/>
  <c r="W836" i="3" s="1"/>
  <c r="V836" i="3"/>
  <c r="S836" i="3"/>
  <c r="B836" i="3"/>
  <c r="AF835" i="3"/>
  <c r="W835" i="3" s="1"/>
  <c r="V835" i="3"/>
  <c r="S835" i="3"/>
  <c r="B835" i="3"/>
  <c r="AN834" i="3"/>
  <c r="W834" i="3" s="1"/>
  <c r="V834" i="3"/>
  <c r="S834" i="3"/>
  <c r="B834" i="3"/>
  <c r="AF833" i="3"/>
  <c r="W833" i="3" s="1"/>
  <c r="V833" i="3"/>
  <c r="S833" i="3"/>
  <c r="B833" i="3"/>
  <c r="R832" i="3"/>
  <c r="Q832" i="3"/>
  <c r="L832" i="3"/>
  <c r="K832" i="3"/>
  <c r="J832" i="3"/>
  <c r="I832" i="3"/>
  <c r="T832" i="3" s="1"/>
  <c r="AF831" i="3"/>
  <c r="W831" i="3" s="1"/>
  <c r="V831" i="3"/>
  <c r="S831" i="3"/>
  <c r="B831" i="3"/>
  <c r="AF830" i="3"/>
  <c r="W830" i="3" s="1"/>
  <c r="V830" i="3"/>
  <c r="S830" i="3"/>
  <c r="B830" i="3"/>
  <c r="AF829" i="3"/>
  <c r="W829" i="3" s="1"/>
  <c r="V829" i="3"/>
  <c r="S829" i="3"/>
  <c r="B829" i="3"/>
  <c r="AF828" i="3"/>
  <c r="W828" i="3" s="1"/>
  <c r="V828" i="3"/>
  <c r="S828" i="3"/>
  <c r="K828" i="3"/>
  <c r="B828" i="3"/>
  <c r="AF827" i="3"/>
  <c r="W827" i="3" s="1"/>
  <c r="V827" i="3"/>
  <c r="S827" i="3"/>
  <c r="K827" i="3"/>
  <c r="B827" i="3"/>
  <c r="AF826" i="3"/>
  <c r="W826" i="3" s="1"/>
  <c r="V826" i="3"/>
  <c r="S826" i="3"/>
  <c r="B826" i="3"/>
  <c r="AF825" i="3"/>
  <c r="W825" i="3" s="1"/>
  <c r="V825" i="3"/>
  <c r="S825" i="3"/>
  <c r="B825" i="3"/>
  <c r="AF824" i="3"/>
  <c r="W824" i="3" s="1"/>
  <c r="V824" i="3"/>
  <c r="S824" i="3"/>
  <c r="B824" i="3"/>
  <c r="AF823" i="3"/>
  <c r="W823" i="3" s="1"/>
  <c r="V823" i="3"/>
  <c r="S823" i="3"/>
  <c r="B823" i="3"/>
  <c r="AF822" i="3"/>
  <c r="W822" i="3" s="1"/>
  <c r="V822" i="3"/>
  <c r="S822" i="3"/>
  <c r="B822" i="3"/>
  <c r="AF821" i="3"/>
  <c r="W821" i="3" s="1"/>
  <c r="V821" i="3"/>
  <c r="S821" i="3"/>
  <c r="B821" i="3"/>
  <c r="AF820" i="3"/>
  <c r="W820" i="3" s="1"/>
  <c r="V820" i="3"/>
  <c r="S820" i="3"/>
  <c r="B820" i="3"/>
  <c r="AF819" i="3"/>
  <c r="W819" i="3" s="1"/>
  <c r="V819" i="3"/>
  <c r="S819" i="3"/>
  <c r="B819" i="3"/>
  <c r="AF818" i="3"/>
  <c r="W818" i="3" s="1"/>
  <c r="V818" i="3"/>
  <c r="S818" i="3"/>
  <c r="B818" i="3"/>
  <c r="AF817" i="3"/>
  <c r="W817" i="3" s="1"/>
  <c r="V817" i="3"/>
  <c r="S817" i="3"/>
  <c r="B817" i="3"/>
  <c r="AJ816" i="3"/>
  <c r="W816" i="3" s="1"/>
  <c r="V816" i="3"/>
  <c r="S816" i="3"/>
  <c r="B816" i="3"/>
  <c r="R815" i="3"/>
  <c r="Q815" i="3"/>
  <c r="L815" i="3"/>
  <c r="J815" i="3"/>
  <c r="I815" i="3"/>
  <c r="T815" i="3" s="1"/>
  <c r="AF814" i="3"/>
  <c r="W814" i="3" s="1"/>
  <c r="V814" i="3"/>
  <c r="S814" i="3"/>
  <c r="S813" i="3" s="1"/>
  <c r="B814" i="3"/>
  <c r="R813" i="3"/>
  <c r="Q813" i="3"/>
  <c r="L813" i="3"/>
  <c r="K813" i="3"/>
  <c r="J813" i="3"/>
  <c r="I813" i="3"/>
  <c r="T813" i="3" s="1"/>
  <c r="AF812" i="3"/>
  <c r="W812" i="3" s="1"/>
  <c r="V812" i="3"/>
  <c r="S812" i="3"/>
  <c r="S811" i="3" s="1"/>
  <c r="B812" i="3"/>
  <c r="R811" i="3"/>
  <c r="Q811" i="3"/>
  <c r="L811" i="3"/>
  <c r="K811" i="3"/>
  <c r="J811" i="3"/>
  <c r="I811" i="3"/>
  <c r="T811" i="3" s="1"/>
  <c r="W810" i="3"/>
  <c r="S810" i="3"/>
  <c r="B810" i="3"/>
  <c r="AF809" i="3"/>
  <c r="W809" i="3" s="1"/>
  <c r="V809" i="3"/>
  <c r="S809" i="3"/>
  <c r="B809" i="3"/>
  <c r="R808" i="3"/>
  <c r="Q808" i="3"/>
  <c r="L808" i="3"/>
  <c r="K808" i="3"/>
  <c r="J808" i="3"/>
  <c r="I808" i="3"/>
  <c r="T808" i="3" s="1"/>
  <c r="AF807" i="3"/>
  <c r="W807" i="3" s="1"/>
  <c r="V807" i="3"/>
  <c r="S807" i="3"/>
  <c r="S806" i="3" s="1"/>
  <c r="B807" i="3"/>
  <c r="R806" i="3"/>
  <c r="Q806" i="3"/>
  <c r="L806" i="3"/>
  <c r="K806" i="3"/>
  <c r="J806" i="3"/>
  <c r="I806" i="3"/>
  <c r="T806" i="3" s="1"/>
  <c r="W805" i="3"/>
  <c r="V805" i="3"/>
  <c r="S805" i="3"/>
  <c r="B805" i="3"/>
  <c r="AF804" i="3"/>
  <c r="W804" i="3" s="1"/>
  <c r="V804" i="3"/>
  <c r="S804" i="3"/>
  <c r="B804" i="3"/>
  <c r="AF803" i="3"/>
  <c r="W803" i="3" s="1"/>
  <c r="V803" i="3"/>
  <c r="S803" i="3"/>
  <c r="B803" i="3"/>
  <c r="AF802" i="3"/>
  <c r="W802" i="3" s="1"/>
  <c r="V802" i="3"/>
  <c r="S802" i="3"/>
  <c r="S801" i="3" s="1"/>
  <c r="B802" i="3"/>
  <c r="R801" i="3"/>
  <c r="Q801" i="3"/>
  <c r="L801" i="3"/>
  <c r="K801" i="3"/>
  <c r="J801" i="3"/>
  <c r="I801" i="3"/>
  <c r="T801" i="3" s="1"/>
  <c r="AL800" i="3"/>
  <c r="AJ800" i="3"/>
  <c r="V800" i="3"/>
  <c r="S800" i="3"/>
  <c r="B800" i="3"/>
  <c r="AF799" i="3"/>
  <c r="W799" i="3" s="1"/>
  <c r="V799" i="3"/>
  <c r="S799" i="3"/>
  <c r="B799" i="3"/>
  <c r="AF798" i="3"/>
  <c r="W798" i="3" s="1"/>
  <c r="V798" i="3"/>
  <c r="S798" i="3"/>
  <c r="B798" i="3"/>
  <c r="AF797" i="3"/>
  <c r="W797" i="3" s="1"/>
  <c r="V797" i="3"/>
  <c r="S797" i="3"/>
  <c r="B797" i="3"/>
  <c r="AF796" i="3"/>
  <c r="W796" i="3" s="1"/>
  <c r="V796" i="3"/>
  <c r="S796" i="3"/>
  <c r="B796" i="3"/>
  <c r="AF795" i="3"/>
  <c r="W795" i="3" s="1"/>
  <c r="V795" i="3"/>
  <c r="S795" i="3"/>
  <c r="B795" i="3"/>
  <c r="R794" i="3"/>
  <c r="Q794" i="3"/>
  <c r="L794" i="3"/>
  <c r="K794" i="3"/>
  <c r="J794" i="3"/>
  <c r="I794" i="3"/>
  <c r="T794" i="3" s="1"/>
  <c r="AF793" i="3"/>
  <c r="W793" i="3" s="1"/>
  <c r="V793" i="3"/>
  <c r="S793" i="3"/>
  <c r="B793" i="3"/>
  <c r="AF792" i="3"/>
  <c r="W792" i="3" s="1"/>
  <c r="V792" i="3"/>
  <c r="S792" i="3"/>
  <c r="B792" i="3"/>
  <c r="W791" i="3"/>
  <c r="V791" i="3"/>
  <c r="S791" i="3"/>
  <c r="B791" i="3"/>
  <c r="AF790" i="3"/>
  <c r="W790" i="3" s="1"/>
  <c r="V790" i="3"/>
  <c r="S790" i="3"/>
  <c r="B790" i="3"/>
  <c r="W789" i="3"/>
  <c r="V789" i="3"/>
  <c r="S789" i="3"/>
  <c r="B789" i="3"/>
  <c r="AF788" i="3"/>
  <c r="W788" i="3" s="1"/>
  <c r="V788" i="3"/>
  <c r="S788" i="3"/>
  <c r="B788" i="3"/>
  <c r="AF787" i="3"/>
  <c r="W787" i="3" s="1"/>
  <c r="V787" i="3"/>
  <c r="S787" i="3"/>
  <c r="B787" i="3"/>
  <c r="R786" i="3"/>
  <c r="Q786" i="3"/>
  <c r="L786" i="3"/>
  <c r="K786" i="3"/>
  <c r="J786" i="3"/>
  <c r="I786" i="3"/>
  <c r="T786" i="3" s="1"/>
  <c r="AL785" i="3"/>
  <c r="W785" i="3" s="1"/>
  <c r="V785" i="3"/>
  <c r="S785" i="3"/>
  <c r="B785" i="3"/>
  <c r="AL784" i="3"/>
  <c r="W784" i="3" s="1"/>
  <c r="V784" i="3"/>
  <c r="S784" i="3"/>
  <c r="B784" i="3"/>
  <c r="AL783" i="3"/>
  <c r="AJ783" i="3"/>
  <c r="V783" i="3"/>
  <c r="S783" i="3"/>
  <c r="B783" i="3"/>
  <c r="AF782" i="3"/>
  <c r="W782" i="3" s="1"/>
  <c r="V782" i="3"/>
  <c r="S782" i="3"/>
  <c r="B782" i="3"/>
  <c r="AF781" i="3"/>
  <c r="W781" i="3" s="1"/>
  <c r="V781" i="3"/>
  <c r="S781" i="3"/>
  <c r="B781" i="3"/>
  <c r="AF780" i="3"/>
  <c r="W780" i="3" s="1"/>
  <c r="V780" i="3"/>
  <c r="S780" i="3"/>
  <c r="B780" i="3"/>
  <c r="AF779" i="3"/>
  <c r="W779" i="3" s="1"/>
  <c r="V779" i="3"/>
  <c r="S779" i="3"/>
  <c r="B779" i="3"/>
  <c r="AF778" i="3"/>
  <c r="W778" i="3" s="1"/>
  <c r="V778" i="3"/>
  <c r="S778" i="3"/>
  <c r="B778" i="3"/>
  <c r="AF777" i="3"/>
  <c r="W777" i="3" s="1"/>
  <c r="V777" i="3"/>
  <c r="S777" i="3"/>
  <c r="B777" i="3"/>
  <c r="AF776" i="3"/>
  <c r="W776" i="3" s="1"/>
  <c r="V776" i="3"/>
  <c r="S776" i="3"/>
  <c r="B776" i="3"/>
  <c r="AF775" i="3"/>
  <c r="W775" i="3" s="1"/>
  <c r="V775" i="3"/>
  <c r="S775" i="3"/>
  <c r="B775" i="3"/>
  <c r="AF774" i="3"/>
  <c r="W774" i="3" s="1"/>
  <c r="V774" i="3"/>
  <c r="S774" i="3"/>
  <c r="B774" i="3"/>
  <c r="AF773" i="3"/>
  <c r="W773" i="3" s="1"/>
  <c r="V773" i="3"/>
  <c r="S773" i="3"/>
  <c r="B773" i="3"/>
  <c r="AF772" i="3"/>
  <c r="W772" i="3" s="1"/>
  <c r="V772" i="3"/>
  <c r="S772" i="3"/>
  <c r="B772" i="3"/>
  <c r="AF771" i="3"/>
  <c r="W771" i="3" s="1"/>
  <c r="V771" i="3"/>
  <c r="S771" i="3"/>
  <c r="B771" i="3"/>
  <c r="AF770" i="3"/>
  <c r="W770" i="3" s="1"/>
  <c r="V770" i="3"/>
  <c r="S770" i="3"/>
  <c r="B770" i="3"/>
  <c r="AD769" i="3"/>
  <c r="W769" i="3" s="1"/>
  <c r="V769" i="3"/>
  <c r="S769" i="3"/>
  <c r="B769" i="3"/>
  <c r="AF768" i="3"/>
  <c r="W768" i="3" s="1"/>
  <c r="V768" i="3"/>
  <c r="S768" i="3"/>
  <c r="B768" i="3"/>
  <c r="AF767" i="3"/>
  <c r="W767" i="3" s="1"/>
  <c r="V767" i="3"/>
  <c r="S767" i="3"/>
  <c r="B767" i="3"/>
  <c r="AF766" i="3"/>
  <c r="W766" i="3" s="1"/>
  <c r="V766" i="3"/>
  <c r="S766" i="3"/>
  <c r="B766" i="3"/>
  <c r="AF765" i="3"/>
  <c r="W765" i="3" s="1"/>
  <c r="V765" i="3"/>
  <c r="S765" i="3"/>
  <c r="B765" i="3"/>
  <c r="AF764" i="3"/>
  <c r="W764" i="3" s="1"/>
  <c r="V764" i="3"/>
  <c r="S764" i="3"/>
  <c r="B764" i="3"/>
  <c r="AF763" i="3"/>
  <c r="W763" i="3" s="1"/>
  <c r="V763" i="3"/>
  <c r="S763" i="3"/>
  <c r="B763" i="3"/>
  <c r="AF762" i="3"/>
  <c r="W762" i="3" s="1"/>
  <c r="V762" i="3"/>
  <c r="S762" i="3"/>
  <c r="B762" i="3"/>
  <c r="AF761" i="3"/>
  <c r="W761" i="3" s="1"/>
  <c r="V761" i="3"/>
  <c r="S761" i="3"/>
  <c r="B761" i="3"/>
  <c r="AF760" i="3"/>
  <c r="W760" i="3" s="1"/>
  <c r="V760" i="3"/>
  <c r="S760" i="3"/>
  <c r="B760" i="3"/>
  <c r="R759" i="3"/>
  <c r="Q759" i="3"/>
  <c r="L759" i="3"/>
  <c r="K759" i="3"/>
  <c r="J759" i="3"/>
  <c r="I759" i="3"/>
  <c r="T759" i="3" s="1"/>
  <c r="S758" i="3"/>
  <c r="B758" i="3"/>
  <c r="W757" i="3"/>
  <c r="S757" i="3"/>
  <c r="B757" i="3"/>
  <c r="S756" i="3"/>
  <c r="B756" i="3"/>
  <c r="S755" i="3"/>
  <c r="B755" i="3"/>
  <c r="AJ754" i="3"/>
  <c r="W754" i="3" s="1"/>
  <c r="V754" i="3"/>
  <c r="S754" i="3"/>
  <c r="B754" i="3"/>
  <c r="AJ753" i="3"/>
  <c r="W753" i="3" s="1"/>
  <c r="V753" i="3"/>
  <c r="S753" i="3"/>
  <c r="B753" i="3"/>
  <c r="W752" i="3"/>
  <c r="V752" i="3"/>
  <c r="S752" i="3"/>
  <c r="B752" i="3"/>
  <c r="AJ751" i="3"/>
  <c r="W751" i="3" s="1"/>
  <c r="V751" i="3"/>
  <c r="S751" i="3"/>
  <c r="B751" i="3"/>
  <c r="W750" i="3"/>
  <c r="V750" i="3"/>
  <c r="S750" i="3"/>
  <c r="B750" i="3"/>
  <c r="AJ749" i="3"/>
  <c r="W749" i="3" s="1"/>
  <c r="V749" i="3"/>
  <c r="S749" i="3"/>
  <c r="B749" i="3"/>
  <c r="W748" i="3"/>
  <c r="V748" i="3"/>
  <c r="S748" i="3"/>
  <c r="B748" i="3"/>
  <c r="AD747" i="3"/>
  <c r="W747" i="3" s="1"/>
  <c r="V747" i="3"/>
  <c r="S747" i="3"/>
  <c r="B747" i="3"/>
  <c r="R746" i="3"/>
  <c r="Q746" i="3"/>
  <c r="L746" i="3"/>
  <c r="K746" i="3"/>
  <c r="J746" i="3"/>
  <c r="I746" i="3"/>
  <c r="T746" i="3" s="1"/>
  <c r="S745" i="3"/>
  <c r="B745" i="3"/>
  <c r="S744" i="3"/>
  <c r="B744" i="3"/>
  <c r="W743" i="3"/>
  <c r="S743" i="3"/>
  <c r="B743" i="3"/>
  <c r="S742" i="3"/>
  <c r="B742" i="3"/>
  <c r="S741" i="3"/>
  <c r="B741" i="3"/>
  <c r="S740" i="3"/>
  <c r="B740" i="3"/>
  <c r="W739" i="3"/>
  <c r="S739" i="3"/>
  <c r="B739" i="3"/>
  <c r="S738" i="3"/>
  <c r="B738" i="3"/>
  <c r="S737" i="3"/>
  <c r="B737" i="3"/>
  <c r="W736" i="3"/>
  <c r="S736" i="3"/>
  <c r="B736" i="3"/>
  <c r="S735" i="3"/>
  <c r="B735" i="3"/>
  <c r="S734" i="3"/>
  <c r="B734" i="3"/>
  <c r="S733" i="3"/>
  <c r="B733" i="3"/>
  <c r="V732" i="3"/>
  <c r="S732" i="3"/>
  <c r="B732" i="3"/>
  <c r="S731" i="3"/>
  <c r="B731" i="3"/>
  <c r="S730" i="3"/>
  <c r="B730" i="3"/>
  <c r="S729" i="3"/>
  <c r="B729" i="3"/>
  <c r="W728" i="3"/>
  <c r="S728" i="3"/>
  <c r="B728" i="3"/>
  <c r="S727" i="3"/>
  <c r="B727" i="3"/>
  <c r="W726" i="3"/>
  <c r="V726" i="3"/>
  <c r="S726" i="3"/>
  <c r="B726" i="3"/>
  <c r="AF725" i="3"/>
  <c r="W725" i="3" s="1"/>
  <c r="V725" i="3"/>
  <c r="S725" i="3"/>
  <c r="B725" i="3"/>
  <c r="AJ724" i="3"/>
  <c r="AF724" i="3"/>
  <c r="V724" i="3"/>
  <c r="S724" i="3"/>
  <c r="B724" i="3"/>
  <c r="AF723" i="3"/>
  <c r="W723" i="3" s="1"/>
  <c r="V723" i="3"/>
  <c r="S723" i="3"/>
  <c r="B723" i="3"/>
  <c r="AF722" i="3"/>
  <c r="W722" i="3" s="1"/>
  <c r="V722" i="3"/>
  <c r="S722" i="3"/>
  <c r="B722" i="3"/>
  <c r="AF721" i="3"/>
  <c r="W721" i="3" s="1"/>
  <c r="V721" i="3"/>
  <c r="S721" i="3"/>
  <c r="B721" i="3"/>
  <c r="AD720" i="3"/>
  <c r="W720" i="3" s="1"/>
  <c r="V720" i="3"/>
  <c r="S720" i="3"/>
  <c r="B720" i="3"/>
  <c r="AD719" i="3"/>
  <c r="W719" i="3" s="1"/>
  <c r="V719" i="3"/>
  <c r="S719" i="3"/>
  <c r="B719" i="3"/>
  <c r="AF718" i="3"/>
  <c r="W718" i="3" s="1"/>
  <c r="V718" i="3"/>
  <c r="S718" i="3"/>
  <c r="B718" i="3"/>
  <c r="R717" i="3"/>
  <c r="Q717" i="3"/>
  <c r="L717" i="3"/>
  <c r="K717" i="3"/>
  <c r="J717" i="3"/>
  <c r="I717" i="3"/>
  <c r="T717" i="3" s="1"/>
  <c r="S716" i="3"/>
  <c r="B716" i="3"/>
  <c r="S715" i="3"/>
  <c r="B715" i="3"/>
  <c r="W714" i="3"/>
  <c r="S714" i="3"/>
  <c r="B714" i="3"/>
  <c r="S713" i="3"/>
  <c r="B713" i="3"/>
  <c r="S712" i="3"/>
  <c r="B712" i="3"/>
  <c r="S711" i="3"/>
  <c r="B711" i="3"/>
  <c r="W710" i="3"/>
  <c r="V710" i="3"/>
  <c r="S710" i="3"/>
  <c r="B710" i="3"/>
  <c r="AL709" i="3"/>
  <c r="W709" i="3" s="1"/>
  <c r="V709" i="3"/>
  <c r="S709" i="3"/>
  <c r="B709" i="3"/>
  <c r="AJ708" i="3"/>
  <c r="W708" i="3" s="1"/>
  <c r="V708" i="3"/>
  <c r="S708" i="3"/>
  <c r="B708" i="3"/>
  <c r="AJ707" i="3"/>
  <c r="W707" i="3" s="1"/>
  <c r="V707" i="3"/>
  <c r="S707" i="3"/>
  <c r="B707" i="3"/>
  <c r="AF706" i="3"/>
  <c r="W706" i="3" s="1"/>
  <c r="V706" i="3"/>
  <c r="S706" i="3"/>
  <c r="B706" i="3"/>
  <c r="AF705" i="3"/>
  <c r="W705" i="3" s="1"/>
  <c r="V705" i="3"/>
  <c r="S705" i="3"/>
  <c r="B705" i="3"/>
  <c r="AD704" i="3"/>
  <c r="W704" i="3" s="1"/>
  <c r="V704" i="3"/>
  <c r="S704" i="3"/>
  <c r="B704" i="3"/>
  <c r="AF703" i="3"/>
  <c r="W703" i="3" s="1"/>
  <c r="V703" i="3"/>
  <c r="S703" i="3"/>
  <c r="B703" i="3"/>
  <c r="AF702" i="3"/>
  <c r="W702" i="3" s="1"/>
  <c r="V702" i="3"/>
  <c r="S702" i="3"/>
  <c r="B702" i="3"/>
  <c r="AF701" i="3"/>
  <c r="W701" i="3" s="1"/>
  <c r="V701" i="3"/>
  <c r="S701" i="3"/>
  <c r="B701" i="3"/>
  <c r="AF700" i="3"/>
  <c r="W700" i="3" s="1"/>
  <c r="V700" i="3"/>
  <c r="S700" i="3"/>
  <c r="B700" i="3"/>
  <c r="AF699" i="3"/>
  <c r="W699" i="3" s="1"/>
  <c r="V699" i="3"/>
  <c r="S699" i="3"/>
  <c r="B699" i="3"/>
  <c r="AJ698" i="3"/>
  <c r="W698" i="3" s="1"/>
  <c r="V698" i="3"/>
  <c r="S698" i="3"/>
  <c r="B698" i="3"/>
  <c r="AF697" i="3"/>
  <c r="W697" i="3" s="1"/>
  <c r="V697" i="3"/>
  <c r="S697" i="3"/>
  <c r="B697" i="3"/>
  <c r="AF696" i="3"/>
  <c r="W696" i="3" s="1"/>
  <c r="V696" i="3"/>
  <c r="S696" i="3"/>
  <c r="B696" i="3"/>
  <c r="AN695" i="3"/>
  <c r="W695" i="3" s="1"/>
  <c r="V695" i="3"/>
  <c r="S695" i="3"/>
  <c r="B695" i="3"/>
  <c r="AN694" i="3"/>
  <c r="W694" i="3" s="1"/>
  <c r="V694" i="3"/>
  <c r="S694" i="3"/>
  <c r="B694" i="3"/>
  <c r="AN693" i="3"/>
  <c r="W693" i="3" s="1"/>
  <c r="V693" i="3"/>
  <c r="S693" i="3"/>
  <c r="B693" i="3"/>
  <c r="AF692" i="3"/>
  <c r="W692" i="3" s="1"/>
  <c r="V692" i="3"/>
  <c r="S692" i="3"/>
  <c r="B692" i="3"/>
  <c r="AF691" i="3"/>
  <c r="W691" i="3" s="1"/>
  <c r="V691" i="3"/>
  <c r="S691" i="3"/>
  <c r="B691" i="3"/>
  <c r="AF690" i="3"/>
  <c r="W690" i="3" s="1"/>
  <c r="V690" i="3"/>
  <c r="S690" i="3"/>
  <c r="B690" i="3"/>
  <c r="AF689" i="3"/>
  <c r="W689" i="3" s="1"/>
  <c r="V689" i="3"/>
  <c r="S689" i="3"/>
  <c r="B689" i="3"/>
  <c r="AF688" i="3"/>
  <c r="W688" i="3" s="1"/>
  <c r="V688" i="3"/>
  <c r="S688" i="3"/>
  <c r="B688" i="3"/>
  <c r="AF687" i="3"/>
  <c r="W687" i="3" s="1"/>
  <c r="V687" i="3"/>
  <c r="S687" i="3"/>
  <c r="B687" i="3"/>
  <c r="AF686" i="3"/>
  <c r="W686" i="3" s="1"/>
  <c r="V686" i="3"/>
  <c r="S686" i="3"/>
  <c r="B686" i="3"/>
  <c r="AF685" i="3"/>
  <c r="W685" i="3" s="1"/>
  <c r="V685" i="3"/>
  <c r="S685" i="3"/>
  <c r="B685" i="3"/>
  <c r="AF684" i="3"/>
  <c r="W684" i="3" s="1"/>
  <c r="V684" i="3"/>
  <c r="S684" i="3"/>
  <c r="B684" i="3"/>
  <c r="AF683" i="3"/>
  <c r="W683" i="3" s="1"/>
  <c r="V683" i="3"/>
  <c r="S683" i="3"/>
  <c r="B683" i="3"/>
  <c r="AF682" i="3"/>
  <c r="W682" i="3" s="1"/>
  <c r="V682" i="3"/>
  <c r="S682" i="3"/>
  <c r="B682" i="3"/>
  <c r="S681" i="3"/>
  <c r="B681" i="3"/>
  <c r="S680" i="3"/>
  <c r="B680" i="3"/>
  <c r="W679" i="3"/>
  <c r="S679" i="3"/>
  <c r="B679" i="3"/>
  <c r="AF678" i="3"/>
  <c r="W678" i="3" s="1"/>
  <c r="V678" i="3"/>
  <c r="S678" i="3"/>
  <c r="B678" i="3"/>
  <c r="AF677" i="3"/>
  <c r="W677" i="3" s="1"/>
  <c r="V677" i="3"/>
  <c r="S677" i="3"/>
  <c r="B677" i="3"/>
  <c r="AF676" i="3"/>
  <c r="W676" i="3" s="1"/>
  <c r="V676" i="3"/>
  <c r="S676" i="3"/>
  <c r="B676" i="3"/>
  <c r="AF675" i="3"/>
  <c r="W675" i="3" s="1"/>
  <c r="V675" i="3"/>
  <c r="S675" i="3"/>
  <c r="B675" i="3"/>
  <c r="AF674" i="3"/>
  <c r="W674" i="3" s="1"/>
  <c r="V674" i="3"/>
  <c r="S674" i="3"/>
  <c r="B674" i="3"/>
  <c r="R673" i="3"/>
  <c r="Q673" i="3"/>
  <c r="L673" i="3"/>
  <c r="K673" i="3"/>
  <c r="J673" i="3"/>
  <c r="I673" i="3"/>
  <c r="T673" i="3" s="1"/>
  <c r="AJ672" i="3"/>
  <c r="S672" i="3"/>
  <c r="B672" i="3"/>
  <c r="AJ671" i="3"/>
  <c r="W671" i="3"/>
  <c r="S671" i="3"/>
  <c r="B671" i="3"/>
  <c r="AF670" i="3"/>
  <c r="W670" i="3" s="1"/>
  <c r="V670" i="3"/>
  <c r="S670" i="3"/>
  <c r="B670" i="3"/>
  <c r="AJ669" i="3"/>
  <c r="W669" i="3" s="1"/>
  <c r="V669" i="3"/>
  <c r="S669" i="3"/>
  <c r="B669" i="3"/>
  <c r="W668" i="3"/>
  <c r="V668" i="3"/>
  <c r="S668" i="3"/>
  <c r="B668" i="3"/>
  <c r="W667" i="3"/>
  <c r="V667" i="3"/>
  <c r="S667" i="3"/>
  <c r="B667" i="3"/>
  <c r="W666" i="3"/>
  <c r="V666" i="3"/>
  <c r="S666" i="3"/>
  <c r="B666" i="3"/>
  <c r="W665" i="3"/>
  <c r="V665" i="3"/>
  <c r="S665" i="3"/>
  <c r="B665" i="3"/>
  <c r="AF664" i="3"/>
  <c r="W664" i="3" s="1"/>
  <c r="V664" i="3"/>
  <c r="S664" i="3"/>
  <c r="B664" i="3"/>
  <c r="AJ663" i="3"/>
  <c r="V663" i="3"/>
  <c r="S663" i="3"/>
  <c r="B663" i="3"/>
  <c r="AJ662" i="3"/>
  <c r="W662" i="3" s="1"/>
  <c r="V662" i="3"/>
  <c r="S662" i="3"/>
  <c r="B662" i="3"/>
  <c r="W661" i="3"/>
  <c r="V661" i="3"/>
  <c r="S661" i="3"/>
  <c r="B661" i="3"/>
  <c r="W660" i="3"/>
  <c r="V660" i="3"/>
  <c r="S660" i="3"/>
  <c r="B660" i="3"/>
  <c r="W659" i="3"/>
  <c r="V659" i="3"/>
  <c r="S659" i="3"/>
  <c r="B659" i="3"/>
  <c r="W658" i="3"/>
  <c r="V658" i="3"/>
  <c r="S658" i="3"/>
  <c r="B658" i="3"/>
  <c r="AF657" i="3"/>
  <c r="W657" i="3" s="1"/>
  <c r="V657" i="3"/>
  <c r="S657" i="3"/>
  <c r="B657" i="3"/>
  <c r="AF656" i="3"/>
  <c r="W656" i="3" s="1"/>
  <c r="V656" i="3"/>
  <c r="S656" i="3"/>
  <c r="B656" i="3"/>
  <c r="AF655" i="3"/>
  <c r="W655" i="3" s="1"/>
  <c r="V655" i="3"/>
  <c r="S655" i="3"/>
  <c r="B655" i="3"/>
  <c r="AF654" i="3"/>
  <c r="W654" i="3" s="1"/>
  <c r="V654" i="3"/>
  <c r="S654" i="3"/>
  <c r="B654" i="3"/>
  <c r="AF653" i="3"/>
  <c r="W653" i="3" s="1"/>
  <c r="V653" i="3"/>
  <c r="S653" i="3"/>
  <c r="B653" i="3"/>
  <c r="AF652" i="3"/>
  <c r="W652" i="3" s="1"/>
  <c r="V652" i="3"/>
  <c r="S652" i="3"/>
  <c r="B652" i="3"/>
  <c r="AF651" i="3"/>
  <c r="W651" i="3" s="1"/>
  <c r="V651" i="3"/>
  <c r="S651" i="3"/>
  <c r="B651" i="3"/>
  <c r="AF650" i="3"/>
  <c r="W650" i="3" s="1"/>
  <c r="V650" i="3"/>
  <c r="S650" i="3"/>
  <c r="B650" i="3"/>
  <c r="W649" i="3"/>
  <c r="V649" i="3"/>
  <c r="S649" i="3"/>
  <c r="B649" i="3"/>
  <c r="AJ648" i="3"/>
  <c r="W648" i="3" s="1"/>
  <c r="V648" i="3"/>
  <c r="S648" i="3"/>
  <c r="B648" i="3"/>
  <c r="AF647" i="3"/>
  <c r="W647" i="3" s="1"/>
  <c r="V647" i="3"/>
  <c r="S647" i="3"/>
  <c r="B647" i="3"/>
  <c r="AF646" i="3"/>
  <c r="W646" i="3" s="1"/>
  <c r="V646" i="3"/>
  <c r="S646" i="3"/>
  <c r="B646" i="3"/>
  <c r="AF645" i="3"/>
  <c r="W645" i="3" s="1"/>
  <c r="V645" i="3"/>
  <c r="S645" i="3"/>
  <c r="B645" i="3"/>
  <c r="AF644" i="3"/>
  <c r="W644" i="3" s="1"/>
  <c r="V644" i="3"/>
  <c r="S644" i="3"/>
  <c r="B644" i="3"/>
  <c r="AJ643" i="3"/>
  <c r="W643" i="3" s="1"/>
  <c r="V643" i="3"/>
  <c r="S643" i="3"/>
  <c r="B643" i="3"/>
  <c r="AF642" i="3"/>
  <c r="W642" i="3" s="1"/>
  <c r="V642" i="3"/>
  <c r="S642" i="3"/>
  <c r="B642" i="3"/>
  <c r="R641" i="3"/>
  <c r="Q641" i="3"/>
  <c r="L641" i="3"/>
  <c r="K641" i="3"/>
  <c r="J641" i="3"/>
  <c r="I641" i="3"/>
  <c r="T641" i="3" s="1"/>
  <c r="S640" i="3"/>
  <c r="B640" i="3"/>
  <c r="W639" i="3"/>
  <c r="S639" i="3"/>
  <c r="B639" i="3"/>
  <c r="AF638" i="3"/>
  <c r="W638" i="3" s="1"/>
  <c r="V638" i="3"/>
  <c r="S638" i="3"/>
  <c r="B638" i="3"/>
  <c r="AF637" i="3"/>
  <c r="W637" i="3" s="1"/>
  <c r="V637" i="3"/>
  <c r="S637" i="3"/>
  <c r="B637" i="3"/>
  <c r="S636" i="3"/>
  <c r="B636" i="3"/>
  <c r="S635" i="3"/>
  <c r="B635" i="3"/>
  <c r="S634" i="3"/>
  <c r="B634" i="3"/>
  <c r="W633" i="3"/>
  <c r="S633" i="3"/>
  <c r="B633" i="3"/>
  <c r="S632" i="3"/>
  <c r="B632" i="3"/>
  <c r="S631" i="3"/>
  <c r="B631" i="3"/>
  <c r="S630" i="3"/>
  <c r="B630" i="3"/>
  <c r="S629" i="3"/>
  <c r="B629" i="3"/>
  <c r="S628" i="3"/>
  <c r="B628" i="3"/>
  <c r="S627" i="3"/>
  <c r="B627" i="3"/>
  <c r="S626" i="3"/>
  <c r="B626" i="3"/>
  <c r="W625" i="3"/>
  <c r="S625" i="3"/>
  <c r="B625" i="3"/>
  <c r="S624" i="3"/>
  <c r="B624" i="3"/>
  <c r="S623" i="3"/>
  <c r="B623" i="3"/>
  <c r="S622" i="3"/>
  <c r="B622" i="3"/>
  <c r="W621" i="3"/>
  <c r="S621" i="3"/>
  <c r="B621" i="3"/>
  <c r="S620" i="3"/>
  <c r="B620" i="3"/>
  <c r="AF619" i="3"/>
  <c r="W619" i="3" s="1"/>
  <c r="V619" i="3"/>
  <c r="S619" i="3"/>
  <c r="B619" i="3"/>
  <c r="AF618" i="3"/>
  <c r="W618" i="3" s="1"/>
  <c r="V618" i="3"/>
  <c r="S618" i="3"/>
  <c r="B618" i="3"/>
  <c r="AD617" i="3"/>
  <c r="W617" i="3" s="1"/>
  <c r="V617" i="3"/>
  <c r="S617" i="3"/>
  <c r="B617" i="3"/>
  <c r="AF616" i="3"/>
  <c r="W616" i="3" s="1"/>
  <c r="V616" i="3"/>
  <c r="S616" i="3"/>
  <c r="B616" i="3"/>
  <c r="AF615" i="3"/>
  <c r="W615" i="3" s="1"/>
  <c r="V615" i="3"/>
  <c r="S615" i="3"/>
  <c r="B615" i="3"/>
  <c r="AF614" i="3"/>
  <c r="W614" i="3" s="1"/>
  <c r="V614" i="3"/>
  <c r="S614" i="3"/>
  <c r="B614" i="3"/>
  <c r="AF613" i="3"/>
  <c r="W613" i="3" s="1"/>
  <c r="V613" i="3"/>
  <c r="S613" i="3"/>
  <c r="B613" i="3"/>
  <c r="AJ612" i="3"/>
  <c r="W612" i="3" s="1"/>
  <c r="V612" i="3"/>
  <c r="S612" i="3"/>
  <c r="B612" i="3"/>
  <c r="AF611" i="3"/>
  <c r="W611" i="3" s="1"/>
  <c r="V611" i="3"/>
  <c r="S611" i="3"/>
  <c r="B611" i="3"/>
  <c r="AD610" i="3"/>
  <c r="W610" i="3" s="1"/>
  <c r="V610" i="3"/>
  <c r="S610" i="3"/>
  <c r="B610" i="3"/>
  <c r="AJ609" i="3"/>
  <c r="W609" i="3" s="1"/>
  <c r="V609" i="3"/>
  <c r="S609" i="3"/>
  <c r="B609" i="3"/>
  <c r="AF608" i="3"/>
  <c r="W608" i="3" s="1"/>
  <c r="V608" i="3"/>
  <c r="S608" i="3"/>
  <c r="B608" i="3"/>
  <c r="AJ607" i="3"/>
  <c r="W607" i="3" s="1"/>
  <c r="V607" i="3"/>
  <c r="S607" i="3"/>
  <c r="B607" i="3"/>
  <c r="AF606" i="3"/>
  <c r="W606" i="3" s="1"/>
  <c r="V606" i="3"/>
  <c r="S606" i="3"/>
  <c r="B606" i="3"/>
  <c r="AF605" i="3"/>
  <c r="W605" i="3" s="1"/>
  <c r="V605" i="3"/>
  <c r="S605" i="3"/>
  <c r="B605" i="3"/>
  <c r="AF604" i="3"/>
  <c r="W604" i="3" s="1"/>
  <c r="V604" i="3"/>
  <c r="S604" i="3"/>
  <c r="B604" i="3"/>
  <c r="AJ603" i="3"/>
  <c r="W603" i="3" s="1"/>
  <c r="V603" i="3"/>
  <c r="S603" i="3"/>
  <c r="B603" i="3"/>
  <c r="AF602" i="3"/>
  <c r="W602" i="3" s="1"/>
  <c r="V602" i="3"/>
  <c r="S602" i="3"/>
  <c r="B602" i="3"/>
  <c r="W601" i="3"/>
  <c r="S601" i="3"/>
  <c r="B601" i="3"/>
  <c r="AH600" i="3"/>
  <c r="W600" i="3" s="1"/>
  <c r="V600" i="3"/>
  <c r="S600" i="3"/>
  <c r="B600" i="3"/>
  <c r="AJ599" i="3"/>
  <c r="W599" i="3" s="1"/>
  <c r="V599" i="3"/>
  <c r="S599" i="3"/>
  <c r="B599" i="3"/>
  <c r="AJ598" i="3"/>
  <c r="W598" i="3" s="1"/>
  <c r="V598" i="3"/>
  <c r="S598" i="3"/>
  <c r="B598" i="3"/>
  <c r="AF597" i="3"/>
  <c r="W597" i="3" s="1"/>
  <c r="V597" i="3"/>
  <c r="S597" i="3"/>
  <c r="B597" i="3"/>
  <c r="AJ596" i="3"/>
  <c r="W596" i="3" s="1"/>
  <c r="V596" i="3"/>
  <c r="S596" i="3"/>
  <c r="B596" i="3"/>
  <c r="AJ595" i="3"/>
  <c r="W595" i="3" s="1"/>
  <c r="V595" i="3"/>
  <c r="S595" i="3"/>
  <c r="B595" i="3"/>
  <c r="AF594" i="3"/>
  <c r="W594" i="3" s="1"/>
  <c r="V594" i="3"/>
  <c r="S594" i="3"/>
  <c r="B594" i="3"/>
  <c r="AF593" i="3"/>
  <c r="W593" i="3" s="1"/>
  <c r="V593" i="3"/>
  <c r="S593" i="3"/>
  <c r="B593" i="3"/>
  <c r="AF592" i="3"/>
  <c r="W592" i="3" s="1"/>
  <c r="V592" i="3"/>
  <c r="S592" i="3"/>
  <c r="B592" i="3"/>
  <c r="AF591" i="3"/>
  <c r="W591" i="3" s="1"/>
  <c r="V591" i="3"/>
  <c r="S591" i="3"/>
  <c r="B591" i="3"/>
  <c r="AF590" i="3"/>
  <c r="W590" i="3" s="1"/>
  <c r="V590" i="3"/>
  <c r="S590" i="3"/>
  <c r="B590" i="3"/>
  <c r="AF589" i="3"/>
  <c r="W589" i="3" s="1"/>
  <c r="V589" i="3"/>
  <c r="S589" i="3"/>
  <c r="B589" i="3"/>
  <c r="AF588" i="3"/>
  <c r="W588" i="3" s="1"/>
  <c r="V588" i="3"/>
  <c r="S588" i="3"/>
  <c r="B588" i="3"/>
  <c r="AF587" i="3"/>
  <c r="W587" i="3" s="1"/>
  <c r="V587" i="3"/>
  <c r="S587" i="3"/>
  <c r="B587" i="3"/>
  <c r="AF586" i="3"/>
  <c r="W586" i="3" s="1"/>
  <c r="V586" i="3"/>
  <c r="S586" i="3"/>
  <c r="B586" i="3"/>
  <c r="AF585" i="3"/>
  <c r="W585" i="3" s="1"/>
  <c r="V585" i="3"/>
  <c r="S585" i="3"/>
  <c r="B585" i="3"/>
  <c r="AF584" i="3"/>
  <c r="W584" i="3" s="1"/>
  <c r="V584" i="3"/>
  <c r="S584" i="3"/>
  <c r="B584" i="3"/>
  <c r="AF583" i="3"/>
  <c r="W583" i="3" s="1"/>
  <c r="V583" i="3"/>
  <c r="S583" i="3"/>
  <c r="B583" i="3"/>
  <c r="AF582" i="3"/>
  <c r="W582" i="3" s="1"/>
  <c r="V582" i="3"/>
  <c r="S582" i="3"/>
  <c r="B582" i="3"/>
  <c r="AF581" i="3"/>
  <c r="W581" i="3" s="1"/>
  <c r="V581" i="3"/>
  <c r="S581" i="3"/>
  <c r="B581" i="3"/>
  <c r="AF580" i="3"/>
  <c r="W580" i="3" s="1"/>
  <c r="V580" i="3"/>
  <c r="S580" i="3"/>
  <c r="B580" i="3"/>
  <c r="AF579" i="3"/>
  <c r="W579" i="3" s="1"/>
  <c r="V579" i="3"/>
  <c r="S579" i="3"/>
  <c r="B579" i="3"/>
  <c r="AF578" i="3"/>
  <c r="W578" i="3" s="1"/>
  <c r="V578" i="3"/>
  <c r="S578" i="3"/>
  <c r="B578" i="3"/>
  <c r="AF577" i="3"/>
  <c r="W577" i="3" s="1"/>
  <c r="V577" i="3"/>
  <c r="S577" i="3"/>
  <c r="B577" i="3"/>
  <c r="AF576" i="3"/>
  <c r="W576" i="3" s="1"/>
  <c r="V576" i="3"/>
  <c r="S576" i="3"/>
  <c r="B576" i="3"/>
  <c r="AJ575" i="3"/>
  <c r="W575" i="3" s="1"/>
  <c r="V575" i="3"/>
  <c r="S575" i="3"/>
  <c r="B575" i="3"/>
  <c r="AF574" i="3"/>
  <c r="W574" i="3" s="1"/>
  <c r="V574" i="3"/>
  <c r="S574" i="3"/>
  <c r="B574" i="3"/>
  <c r="AJ573" i="3"/>
  <c r="W573" i="3" s="1"/>
  <c r="V573" i="3"/>
  <c r="S573" i="3"/>
  <c r="B573" i="3"/>
  <c r="AF572" i="3"/>
  <c r="W572" i="3" s="1"/>
  <c r="V572" i="3"/>
  <c r="S572" i="3"/>
  <c r="B572" i="3"/>
  <c r="AF571" i="3"/>
  <c r="W571" i="3" s="1"/>
  <c r="V571" i="3"/>
  <c r="S571" i="3"/>
  <c r="B571" i="3"/>
  <c r="AF570" i="3"/>
  <c r="W570" i="3" s="1"/>
  <c r="V570" i="3"/>
  <c r="S570" i="3"/>
  <c r="B570" i="3"/>
  <c r="AJ569" i="3"/>
  <c r="W569" i="3" s="1"/>
  <c r="V569" i="3"/>
  <c r="S569" i="3"/>
  <c r="B569" i="3"/>
  <c r="AF568" i="3"/>
  <c r="W568" i="3" s="1"/>
  <c r="V568" i="3"/>
  <c r="S568" i="3"/>
  <c r="B568" i="3"/>
  <c r="AF567" i="3"/>
  <c r="W567" i="3" s="1"/>
  <c r="V567" i="3"/>
  <c r="S567" i="3"/>
  <c r="B567" i="3"/>
  <c r="AF566" i="3"/>
  <c r="W566" i="3" s="1"/>
  <c r="V566" i="3"/>
  <c r="S566" i="3"/>
  <c r="B566" i="3"/>
  <c r="AF565" i="3"/>
  <c r="W565" i="3" s="1"/>
  <c r="V565" i="3"/>
  <c r="S565" i="3"/>
  <c r="B565" i="3"/>
  <c r="AF564" i="3"/>
  <c r="W564" i="3" s="1"/>
  <c r="V564" i="3"/>
  <c r="S564" i="3"/>
  <c r="B564" i="3"/>
  <c r="AF563" i="3"/>
  <c r="W563" i="3" s="1"/>
  <c r="V563" i="3"/>
  <c r="S563" i="3"/>
  <c r="B563" i="3"/>
  <c r="AF562" i="3"/>
  <c r="W562" i="3" s="1"/>
  <c r="V562" i="3"/>
  <c r="S562" i="3"/>
  <c r="B562" i="3"/>
  <c r="AF561" i="3"/>
  <c r="W561" i="3" s="1"/>
  <c r="V561" i="3"/>
  <c r="S561" i="3"/>
  <c r="B561" i="3"/>
  <c r="AF560" i="3"/>
  <c r="W560" i="3" s="1"/>
  <c r="V560" i="3"/>
  <c r="S560" i="3"/>
  <c r="B560" i="3"/>
  <c r="AF559" i="3"/>
  <c r="W559" i="3" s="1"/>
  <c r="V559" i="3"/>
  <c r="S559" i="3"/>
  <c r="B559" i="3"/>
  <c r="AF558" i="3"/>
  <c r="W558" i="3" s="1"/>
  <c r="V558" i="3"/>
  <c r="S558" i="3"/>
  <c r="B558" i="3"/>
  <c r="AF557" i="3"/>
  <c r="W557" i="3" s="1"/>
  <c r="V557" i="3"/>
  <c r="S557" i="3"/>
  <c r="B557" i="3"/>
  <c r="AF556" i="3"/>
  <c r="W556" i="3" s="1"/>
  <c r="V556" i="3"/>
  <c r="S556" i="3"/>
  <c r="B556" i="3"/>
  <c r="AF555" i="3"/>
  <c r="W555" i="3" s="1"/>
  <c r="V555" i="3"/>
  <c r="S555" i="3"/>
  <c r="B555" i="3"/>
  <c r="AF554" i="3"/>
  <c r="W554" i="3" s="1"/>
  <c r="V554" i="3"/>
  <c r="S554" i="3"/>
  <c r="B554" i="3"/>
  <c r="AF553" i="3"/>
  <c r="W553" i="3" s="1"/>
  <c r="V553" i="3"/>
  <c r="S553" i="3"/>
  <c r="B553" i="3"/>
  <c r="AF552" i="3"/>
  <c r="W552" i="3" s="1"/>
  <c r="V552" i="3"/>
  <c r="S552" i="3"/>
  <c r="B552" i="3"/>
  <c r="R551" i="3"/>
  <c r="Q551" i="3"/>
  <c r="L551" i="3"/>
  <c r="K551" i="3"/>
  <c r="J551" i="3"/>
  <c r="I551" i="3"/>
  <c r="T551" i="3" s="1"/>
  <c r="P13" i="3"/>
  <c r="AF549" i="3"/>
  <c r="W549" i="3" s="1"/>
  <c r="V549" i="3"/>
  <c r="S549" i="3"/>
  <c r="B549" i="3"/>
  <c r="AF548" i="3"/>
  <c r="W548" i="3" s="1"/>
  <c r="V548" i="3"/>
  <c r="S548" i="3"/>
  <c r="B548" i="3"/>
  <c r="R547" i="3"/>
  <c r="Q547" i="3"/>
  <c r="L547" i="3"/>
  <c r="K547" i="3"/>
  <c r="J547" i="3"/>
  <c r="I547" i="3"/>
  <c r="T547" i="3" s="1"/>
  <c r="AJ546" i="3"/>
  <c r="W546" i="3" s="1"/>
  <c r="V546" i="3"/>
  <c r="S546" i="3"/>
  <c r="B546" i="3"/>
  <c r="S545" i="3"/>
  <c r="B545" i="3"/>
  <c r="R544" i="3"/>
  <c r="Q544" i="3"/>
  <c r="L544" i="3"/>
  <c r="K544" i="3"/>
  <c r="J544" i="3"/>
  <c r="I544" i="3"/>
  <c r="T544" i="3" s="1"/>
  <c r="AF543" i="3"/>
  <c r="W543" i="3" s="1"/>
  <c r="V543" i="3"/>
  <c r="S543" i="3"/>
  <c r="B543" i="3"/>
  <c r="AN542" i="3"/>
  <c r="S542" i="3"/>
  <c r="B542" i="3"/>
  <c r="AF541" i="3"/>
  <c r="W541" i="3" s="1"/>
  <c r="V541" i="3"/>
  <c r="S541" i="3"/>
  <c r="B541" i="3"/>
  <c r="S540" i="3"/>
  <c r="B540" i="3"/>
  <c r="R539" i="3"/>
  <c r="Q539" i="3"/>
  <c r="L539" i="3"/>
  <c r="K539" i="3"/>
  <c r="J539" i="3"/>
  <c r="I539" i="3"/>
  <c r="T539" i="3" s="1"/>
  <c r="W538" i="3"/>
  <c r="S538" i="3"/>
  <c r="B538" i="3"/>
  <c r="V537" i="3"/>
  <c r="S537" i="3"/>
  <c r="B537" i="3"/>
  <c r="S536" i="3"/>
  <c r="B536" i="3"/>
  <c r="S535" i="3"/>
  <c r="B535" i="3"/>
  <c r="W534" i="3"/>
  <c r="V534" i="3"/>
  <c r="S534" i="3"/>
  <c r="B534" i="3"/>
  <c r="V533" i="3"/>
  <c r="S533" i="3"/>
  <c r="B533" i="3"/>
  <c r="W532" i="3"/>
  <c r="V532" i="3"/>
  <c r="S532" i="3"/>
  <c r="B532" i="3"/>
  <c r="W531" i="3"/>
  <c r="V531" i="3"/>
  <c r="S531" i="3"/>
  <c r="B531" i="3"/>
  <c r="AF530" i="3"/>
  <c r="W530" i="3" s="1"/>
  <c r="V530" i="3"/>
  <c r="S530" i="3"/>
  <c r="B530" i="3"/>
  <c r="R529" i="3"/>
  <c r="Q529" i="3"/>
  <c r="L529" i="3"/>
  <c r="K529" i="3"/>
  <c r="J529" i="3"/>
  <c r="I529" i="3"/>
  <c r="T529" i="3" s="1"/>
  <c r="AF528" i="3"/>
  <c r="W528" i="3" s="1"/>
  <c r="V528" i="3"/>
  <c r="S528" i="3"/>
  <c r="S527" i="3" s="1"/>
  <c r="B528" i="3"/>
  <c r="R527" i="3"/>
  <c r="Q527" i="3"/>
  <c r="L527" i="3"/>
  <c r="K527" i="3"/>
  <c r="J527" i="3"/>
  <c r="I527" i="3"/>
  <c r="T527" i="3" s="1"/>
  <c r="AJ526" i="3"/>
  <c r="W526" i="3" s="1"/>
  <c r="V526" i="3"/>
  <c r="S526" i="3"/>
  <c r="B526" i="3"/>
  <c r="AF525" i="3"/>
  <c r="W525" i="3" s="1"/>
  <c r="V525" i="3"/>
  <c r="S525" i="3"/>
  <c r="B525" i="3"/>
  <c r="R524" i="3"/>
  <c r="Q524" i="3"/>
  <c r="L524" i="3"/>
  <c r="K524" i="3"/>
  <c r="J524" i="3"/>
  <c r="I524" i="3"/>
  <c r="T524" i="3" s="1"/>
  <c r="AF523" i="3"/>
  <c r="W523" i="3" s="1"/>
  <c r="V523" i="3"/>
  <c r="S523" i="3"/>
  <c r="S522" i="3" s="1"/>
  <c r="B523" i="3"/>
  <c r="R522" i="3"/>
  <c r="Q522" i="3"/>
  <c r="L522" i="3"/>
  <c r="K522" i="3"/>
  <c r="J522" i="3"/>
  <c r="I522" i="3"/>
  <c r="T522" i="3" s="1"/>
  <c r="W521" i="3"/>
  <c r="V521" i="3"/>
  <c r="S521" i="3"/>
  <c r="B521" i="3"/>
  <c r="AF520" i="3"/>
  <c r="W520" i="3" s="1"/>
  <c r="V520" i="3"/>
  <c r="S520" i="3"/>
  <c r="B520" i="3"/>
  <c r="AF519" i="3"/>
  <c r="W519" i="3" s="1"/>
  <c r="V519" i="3"/>
  <c r="S519" i="3"/>
  <c r="B519" i="3"/>
  <c r="W518" i="3"/>
  <c r="S518" i="3"/>
  <c r="B518" i="3"/>
  <c r="AF517" i="3"/>
  <c r="W517" i="3" s="1"/>
  <c r="V517" i="3"/>
  <c r="S517" i="3"/>
  <c r="B517" i="3"/>
  <c r="R516" i="3"/>
  <c r="Q516" i="3"/>
  <c r="L516" i="3"/>
  <c r="K516" i="3"/>
  <c r="J516" i="3"/>
  <c r="I516" i="3"/>
  <c r="T516" i="3" s="1"/>
  <c r="W515" i="3"/>
  <c r="V515" i="3"/>
  <c r="S515" i="3"/>
  <c r="B515" i="3"/>
  <c r="W514" i="3"/>
  <c r="V514" i="3"/>
  <c r="S514" i="3"/>
  <c r="B514" i="3"/>
  <c r="R513" i="3"/>
  <c r="Q513" i="3"/>
  <c r="L513" i="3"/>
  <c r="K513" i="3"/>
  <c r="J513" i="3"/>
  <c r="I513" i="3"/>
  <c r="T513" i="3" s="1"/>
  <c r="AF512" i="3"/>
  <c r="W512" i="3" s="1"/>
  <c r="V512" i="3"/>
  <c r="S512" i="3"/>
  <c r="S511" i="3" s="1"/>
  <c r="B512" i="3"/>
  <c r="R511" i="3"/>
  <c r="Q511" i="3"/>
  <c r="L511" i="3"/>
  <c r="K511" i="3"/>
  <c r="J511" i="3"/>
  <c r="I511" i="3"/>
  <c r="T511" i="3" s="1"/>
  <c r="V510" i="3"/>
  <c r="S510" i="3"/>
  <c r="B510" i="3"/>
  <c r="AF509" i="3"/>
  <c r="W509" i="3" s="1"/>
  <c r="V509" i="3"/>
  <c r="S509" i="3"/>
  <c r="S508" i="3" s="1"/>
  <c r="B509" i="3"/>
  <c r="R508" i="3"/>
  <c r="Q508" i="3"/>
  <c r="L508" i="3"/>
  <c r="K508" i="3"/>
  <c r="J508" i="3"/>
  <c r="I508" i="3"/>
  <c r="T508" i="3" s="1"/>
  <c r="AF507" i="3"/>
  <c r="W507" i="3" s="1"/>
  <c r="V507" i="3"/>
  <c r="S507" i="3"/>
  <c r="B507" i="3"/>
  <c r="AF506" i="3"/>
  <c r="W506" i="3" s="1"/>
  <c r="V506" i="3"/>
  <c r="S506" i="3"/>
  <c r="B506" i="3"/>
  <c r="R505" i="3"/>
  <c r="Q505" i="3"/>
  <c r="L505" i="3"/>
  <c r="K505" i="3"/>
  <c r="J505" i="3"/>
  <c r="I505" i="3"/>
  <c r="T505" i="3" s="1"/>
  <c r="AF504" i="3"/>
  <c r="W504" i="3" s="1"/>
  <c r="V504" i="3"/>
  <c r="S504" i="3"/>
  <c r="S503" i="3" s="1"/>
  <c r="B504" i="3"/>
  <c r="R503" i="3"/>
  <c r="Q503" i="3"/>
  <c r="L503" i="3"/>
  <c r="K503" i="3"/>
  <c r="J503" i="3"/>
  <c r="I503" i="3"/>
  <c r="T503" i="3" s="1"/>
  <c r="AF502" i="3"/>
  <c r="W502" i="3" s="1"/>
  <c r="V502" i="3"/>
  <c r="S502" i="3"/>
  <c r="B502" i="3"/>
  <c r="AJ501" i="3"/>
  <c r="W501" i="3" s="1"/>
  <c r="V501" i="3"/>
  <c r="S501" i="3"/>
  <c r="B501" i="3"/>
  <c r="AJ500" i="3"/>
  <c r="W500" i="3" s="1"/>
  <c r="V500" i="3"/>
  <c r="S500" i="3"/>
  <c r="B500" i="3"/>
  <c r="AJ499" i="3"/>
  <c r="W499" i="3" s="1"/>
  <c r="V499" i="3"/>
  <c r="S499" i="3"/>
  <c r="B499" i="3"/>
  <c r="AF498" i="3"/>
  <c r="W498" i="3" s="1"/>
  <c r="V498" i="3"/>
  <c r="S498" i="3"/>
  <c r="B498" i="3"/>
  <c r="R497" i="3"/>
  <c r="Q497" i="3"/>
  <c r="L497" i="3"/>
  <c r="K497" i="3"/>
  <c r="J497" i="3"/>
  <c r="I497" i="3"/>
  <c r="T497" i="3" s="1"/>
  <c r="AF496" i="3"/>
  <c r="W496" i="3" s="1"/>
  <c r="V496" i="3"/>
  <c r="S496" i="3"/>
  <c r="B496" i="3"/>
  <c r="AF495" i="3"/>
  <c r="W495" i="3" s="1"/>
  <c r="V495" i="3"/>
  <c r="S495" i="3"/>
  <c r="B495" i="3"/>
  <c r="AF494" i="3"/>
  <c r="W494" i="3" s="1"/>
  <c r="V494" i="3"/>
  <c r="S494" i="3"/>
  <c r="B494" i="3"/>
  <c r="AF493" i="3"/>
  <c r="W493" i="3" s="1"/>
  <c r="V493" i="3"/>
  <c r="S493" i="3"/>
  <c r="B493" i="3"/>
  <c r="R492" i="3"/>
  <c r="Q492" i="3"/>
  <c r="L492" i="3"/>
  <c r="K492" i="3"/>
  <c r="J492" i="3"/>
  <c r="I492" i="3"/>
  <c r="T492" i="3" s="1"/>
  <c r="AJ491" i="3"/>
  <c r="W491" i="3" s="1"/>
  <c r="V491" i="3"/>
  <c r="S491" i="3"/>
  <c r="S490" i="3" s="1"/>
  <c r="B491" i="3"/>
  <c r="R490" i="3"/>
  <c r="Q490" i="3"/>
  <c r="L490" i="3"/>
  <c r="K490" i="3"/>
  <c r="J490" i="3"/>
  <c r="I490" i="3"/>
  <c r="T490" i="3" s="1"/>
  <c r="AF489" i="3"/>
  <c r="W489" i="3" s="1"/>
  <c r="V489" i="3"/>
  <c r="S489" i="3"/>
  <c r="S488" i="3" s="1"/>
  <c r="B489" i="3"/>
  <c r="R488" i="3"/>
  <c r="Q488" i="3"/>
  <c r="L488" i="3"/>
  <c r="K488" i="3"/>
  <c r="J488" i="3"/>
  <c r="I488" i="3"/>
  <c r="T488" i="3" s="1"/>
  <c r="W487" i="3"/>
  <c r="V487" i="3"/>
  <c r="S487" i="3"/>
  <c r="B487" i="3"/>
  <c r="AH486" i="3"/>
  <c r="W486" i="3" s="1"/>
  <c r="V486" i="3"/>
  <c r="S486" i="3"/>
  <c r="B486" i="3"/>
  <c r="AF485" i="3"/>
  <c r="W485" i="3" s="1"/>
  <c r="V485" i="3"/>
  <c r="S485" i="3"/>
  <c r="B485" i="3"/>
  <c r="AF484" i="3"/>
  <c r="W484" i="3" s="1"/>
  <c r="V484" i="3"/>
  <c r="S484" i="3"/>
  <c r="B484" i="3"/>
  <c r="AF483" i="3"/>
  <c r="W483" i="3" s="1"/>
  <c r="V483" i="3"/>
  <c r="S483" i="3"/>
  <c r="B483" i="3"/>
  <c r="AF482" i="3"/>
  <c r="W482" i="3" s="1"/>
  <c r="V482" i="3"/>
  <c r="S482" i="3"/>
  <c r="B482" i="3"/>
  <c r="AF481" i="3"/>
  <c r="W481" i="3" s="1"/>
  <c r="V481" i="3"/>
  <c r="S481" i="3"/>
  <c r="B481" i="3"/>
  <c r="AF480" i="3"/>
  <c r="W480" i="3" s="1"/>
  <c r="V480" i="3"/>
  <c r="S480" i="3"/>
  <c r="B480" i="3"/>
  <c r="R479" i="3"/>
  <c r="Q479" i="3"/>
  <c r="L479" i="3"/>
  <c r="K479" i="3"/>
  <c r="J479" i="3"/>
  <c r="I479" i="3"/>
  <c r="T479" i="3" s="1"/>
  <c r="AF478" i="3"/>
  <c r="W478" i="3" s="1"/>
  <c r="V478" i="3"/>
  <c r="S478" i="3"/>
  <c r="B478" i="3"/>
  <c r="AF477" i="3"/>
  <c r="W477" i="3" s="1"/>
  <c r="V477" i="3"/>
  <c r="S477" i="3"/>
  <c r="B477" i="3"/>
  <c r="AF476" i="3"/>
  <c r="W476" i="3" s="1"/>
  <c r="V476" i="3"/>
  <c r="S476" i="3"/>
  <c r="B476" i="3"/>
  <c r="AF475" i="3"/>
  <c r="W475" i="3" s="1"/>
  <c r="V475" i="3"/>
  <c r="S475" i="3"/>
  <c r="B475" i="3"/>
  <c r="AF474" i="3"/>
  <c r="W474" i="3"/>
  <c r="S474" i="3"/>
  <c r="B474" i="3"/>
  <c r="W473" i="3"/>
  <c r="V473" i="3"/>
  <c r="S473" i="3"/>
  <c r="B473" i="3"/>
  <c r="W472" i="3"/>
  <c r="V472" i="3"/>
  <c r="S472" i="3"/>
  <c r="B472" i="3"/>
  <c r="W471" i="3"/>
  <c r="V471" i="3"/>
  <c r="S471" i="3"/>
  <c r="B471" i="3"/>
  <c r="AF470" i="3"/>
  <c r="W470" i="3" s="1"/>
  <c r="V470" i="3"/>
  <c r="S470" i="3"/>
  <c r="B470" i="3"/>
  <c r="AF469" i="3"/>
  <c r="W469" i="3" s="1"/>
  <c r="V469" i="3"/>
  <c r="S469" i="3"/>
  <c r="B469" i="3"/>
  <c r="AF468" i="3"/>
  <c r="W468" i="3" s="1"/>
  <c r="V468" i="3"/>
  <c r="S468" i="3"/>
  <c r="B468" i="3"/>
  <c r="R467" i="3"/>
  <c r="Q467" i="3"/>
  <c r="L467" i="3"/>
  <c r="K467" i="3"/>
  <c r="J467" i="3"/>
  <c r="I467" i="3"/>
  <c r="T467" i="3" s="1"/>
  <c r="AF466" i="3"/>
  <c r="W466" i="3" s="1"/>
  <c r="V466" i="3"/>
  <c r="S466" i="3"/>
  <c r="B466" i="3"/>
  <c r="AF465" i="3"/>
  <c r="S465" i="3"/>
  <c r="B465" i="3"/>
  <c r="AJ464" i="3"/>
  <c r="W464" i="3" s="1"/>
  <c r="V464" i="3"/>
  <c r="S464" i="3"/>
  <c r="B464" i="3"/>
  <c r="AF463" i="3"/>
  <c r="W463" i="3" s="1"/>
  <c r="V463" i="3"/>
  <c r="S463" i="3"/>
  <c r="B463" i="3"/>
  <c r="AN462" i="3"/>
  <c r="W462" i="3"/>
  <c r="S462" i="3"/>
  <c r="B462" i="3"/>
  <c r="R461" i="3"/>
  <c r="Q461" i="3"/>
  <c r="L461" i="3"/>
  <c r="K461" i="3"/>
  <c r="J461" i="3"/>
  <c r="I461" i="3"/>
  <c r="T461" i="3" s="1"/>
  <c r="AF460" i="3"/>
  <c r="W460" i="3" s="1"/>
  <c r="V460" i="3"/>
  <c r="S460" i="3"/>
  <c r="S459" i="3" s="1"/>
  <c r="B460" i="3"/>
  <c r="R459" i="3"/>
  <c r="Q459" i="3"/>
  <c r="L459" i="3"/>
  <c r="K459" i="3"/>
  <c r="J459" i="3"/>
  <c r="I459" i="3"/>
  <c r="T459" i="3" s="1"/>
  <c r="AF458" i="3"/>
  <c r="W458" i="3" s="1"/>
  <c r="V458" i="3"/>
  <c r="S458" i="3"/>
  <c r="S457" i="3" s="1"/>
  <c r="B458" i="3"/>
  <c r="R457" i="3"/>
  <c r="Q457" i="3"/>
  <c r="L457" i="3"/>
  <c r="K457" i="3"/>
  <c r="J457" i="3"/>
  <c r="I457" i="3"/>
  <c r="T457" i="3" s="1"/>
  <c r="AF456" i="3"/>
  <c r="V456" i="3"/>
  <c r="S456" i="3"/>
  <c r="S455" i="3" s="1"/>
  <c r="B456" i="3"/>
  <c r="R455" i="3"/>
  <c r="Q455" i="3"/>
  <c r="L455" i="3"/>
  <c r="K455" i="3"/>
  <c r="J455" i="3"/>
  <c r="I455" i="3"/>
  <c r="T455" i="3" s="1"/>
  <c r="AF454" i="3"/>
  <c r="W454" i="3" s="1"/>
  <c r="V454" i="3"/>
  <c r="S454" i="3"/>
  <c r="S453" i="3" s="1"/>
  <c r="B454" i="3"/>
  <c r="R453" i="3"/>
  <c r="Q453" i="3"/>
  <c r="L453" i="3"/>
  <c r="K453" i="3"/>
  <c r="J453" i="3"/>
  <c r="I453" i="3"/>
  <c r="T453" i="3" s="1"/>
  <c r="AF452" i="3"/>
  <c r="W452" i="3" s="1"/>
  <c r="V452" i="3"/>
  <c r="S452" i="3"/>
  <c r="S451" i="3" s="1"/>
  <c r="B452" i="3"/>
  <c r="R451" i="3"/>
  <c r="Q451" i="3"/>
  <c r="L451" i="3"/>
  <c r="K451" i="3"/>
  <c r="J451" i="3"/>
  <c r="I451" i="3"/>
  <c r="T451" i="3" s="1"/>
  <c r="AF450" i="3"/>
  <c r="W450" i="3" s="1"/>
  <c r="V450" i="3"/>
  <c r="S450" i="3"/>
  <c r="S449" i="3" s="1"/>
  <c r="B450" i="3"/>
  <c r="R449" i="3"/>
  <c r="Q449" i="3"/>
  <c r="L449" i="3"/>
  <c r="K449" i="3"/>
  <c r="J449" i="3"/>
  <c r="I449" i="3"/>
  <c r="T449" i="3" s="1"/>
  <c r="AF448" i="3"/>
  <c r="W448" i="3" s="1"/>
  <c r="V448" i="3"/>
  <c r="S448" i="3"/>
  <c r="B448" i="3"/>
  <c r="AF447" i="3"/>
  <c r="W447" i="3" s="1"/>
  <c r="V447" i="3"/>
  <c r="S447" i="3"/>
  <c r="B447" i="3"/>
  <c r="AF446" i="3"/>
  <c r="W446" i="3" s="1"/>
  <c r="V446" i="3"/>
  <c r="S446" i="3"/>
  <c r="B446" i="3"/>
  <c r="AJ445" i="3"/>
  <c r="W445" i="3" s="1"/>
  <c r="V445" i="3"/>
  <c r="S445" i="3"/>
  <c r="B445" i="3"/>
  <c r="AF444" i="3"/>
  <c r="W444" i="3" s="1"/>
  <c r="V444" i="3"/>
  <c r="S444" i="3"/>
  <c r="B444" i="3"/>
  <c r="AF443" i="3"/>
  <c r="W443" i="3" s="1"/>
  <c r="V443" i="3"/>
  <c r="S443" i="3"/>
  <c r="B443" i="3"/>
  <c r="AF442" i="3"/>
  <c r="W442" i="3" s="1"/>
  <c r="V442" i="3"/>
  <c r="S442" i="3"/>
  <c r="B442" i="3"/>
  <c r="AF441" i="3"/>
  <c r="W441" i="3" s="1"/>
  <c r="S441" i="3"/>
  <c r="B441" i="3"/>
  <c r="AF440" i="3"/>
  <c r="W440" i="3" s="1"/>
  <c r="V440" i="3"/>
  <c r="S440" i="3"/>
  <c r="B440" i="3"/>
  <c r="S439" i="3"/>
  <c r="B439" i="3"/>
  <c r="R438" i="3"/>
  <c r="Q438" i="3"/>
  <c r="L438" i="3"/>
  <c r="K438" i="3"/>
  <c r="J438" i="3"/>
  <c r="I438" i="3"/>
  <c r="T438" i="3" s="1"/>
  <c r="AF437" i="3"/>
  <c r="W437" i="3" s="1"/>
  <c r="V437" i="3"/>
  <c r="S437" i="3"/>
  <c r="B437" i="3"/>
  <c r="AF436" i="3"/>
  <c r="W436" i="3" s="1"/>
  <c r="V436" i="3"/>
  <c r="S436" i="3"/>
  <c r="S435" i="3" s="1"/>
  <c r="B436" i="3"/>
  <c r="R435" i="3"/>
  <c r="Q435" i="3"/>
  <c r="L435" i="3"/>
  <c r="K435" i="3"/>
  <c r="J435" i="3"/>
  <c r="I435" i="3"/>
  <c r="T435" i="3" s="1"/>
  <c r="AF434" i="3"/>
  <c r="W434" i="3" s="1"/>
  <c r="V434" i="3"/>
  <c r="S434" i="3"/>
  <c r="B434" i="3"/>
  <c r="W433" i="3"/>
  <c r="V433" i="3"/>
  <c r="S433" i="3"/>
  <c r="B433" i="3"/>
  <c r="AF432" i="3"/>
  <c r="W432" i="3" s="1"/>
  <c r="V432" i="3"/>
  <c r="S432" i="3"/>
  <c r="B432" i="3"/>
  <c r="AF431" i="3"/>
  <c r="W431" i="3" s="1"/>
  <c r="V431" i="3"/>
  <c r="S431" i="3"/>
  <c r="B431" i="3"/>
  <c r="AF430" i="3"/>
  <c r="W430" i="3" s="1"/>
  <c r="V430" i="3"/>
  <c r="S430" i="3"/>
  <c r="B430" i="3"/>
  <c r="R429" i="3"/>
  <c r="Q429" i="3"/>
  <c r="L429" i="3"/>
  <c r="K429" i="3"/>
  <c r="J429" i="3"/>
  <c r="I429" i="3"/>
  <c r="T429" i="3" s="1"/>
  <c r="AJ428" i="3"/>
  <c r="W428" i="3" s="1"/>
  <c r="V428" i="3"/>
  <c r="S428" i="3"/>
  <c r="B428" i="3"/>
  <c r="W427" i="3"/>
  <c r="V427" i="3"/>
  <c r="S427" i="3"/>
  <c r="B427" i="3"/>
  <c r="W426" i="3"/>
  <c r="V426" i="3"/>
  <c r="S426" i="3"/>
  <c r="B426" i="3"/>
  <c r="W425" i="3"/>
  <c r="V425" i="3"/>
  <c r="S425" i="3"/>
  <c r="B425" i="3"/>
  <c r="AF424" i="3"/>
  <c r="W424" i="3" s="1"/>
  <c r="V424" i="3"/>
  <c r="S424" i="3"/>
  <c r="B424" i="3"/>
  <c r="AF423" i="3"/>
  <c r="W423" i="3" s="1"/>
  <c r="V423" i="3"/>
  <c r="S423" i="3"/>
  <c r="B423" i="3"/>
  <c r="R422" i="3"/>
  <c r="Q422" i="3"/>
  <c r="L422" i="3"/>
  <c r="K422" i="3"/>
  <c r="J422" i="3"/>
  <c r="I422" i="3"/>
  <c r="T422" i="3" s="1"/>
  <c r="AF421" i="3"/>
  <c r="W421" i="3" s="1"/>
  <c r="V421" i="3"/>
  <c r="S421" i="3"/>
  <c r="B421" i="3"/>
  <c r="W420" i="3"/>
  <c r="V420" i="3"/>
  <c r="S420" i="3"/>
  <c r="B420" i="3"/>
  <c r="AF419" i="3"/>
  <c r="W419" i="3" s="1"/>
  <c r="V419" i="3"/>
  <c r="S419" i="3"/>
  <c r="B419" i="3"/>
  <c r="R418" i="3"/>
  <c r="Q418" i="3"/>
  <c r="L418" i="3"/>
  <c r="K418" i="3"/>
  <c r="J418" i="3"/>
  <c r="I418" i="3"/>
  <c r="T418" i="3" s="1"/>
  <c r="AF417" i="3"/>
  <c r="W417" i="3" s="1"/>
  <c r="V417" i="3"/>
  <c r="S417" i="3"/>
  <c r="S416" i="3" s="1"/>
  <c r="B417" i="3"/>
  <c r="R416" i="3"/>
  <c r="Q416" i="3"/>
  <c r="L416" i="3"/>
  <c r="K416" i="3"/>
  <c r="J416" i="3"/>
  <c r="I416" i="3"/>
  <c r="T416" i="3" s="1"/>
  <c r="AN415" i="3"/>
  <c r="S415" i="3"/>
  <c r="B415" i="3"/>
  <c r="AF414" i="3"/>
  <c r="W414" i="3" s="1"/>
  <c r="V414" i="3"/>
  <c r="S414" i="3"/>
  <c r="B414" i="3"/>
  <c r="AF413" i="3"/>
  <c r="W413" i="3" s="1"/>
  <c r="V413" i="3"/>
  <c r="S413" i="3"/>
  <c r="B413" i="3"/>
  <c r="R412" i="3"/>
  <c r="Q412" i="3"/>
  <c r="L412" i="3"/>
  <c r="K412" i="3"/>
  <c r="J412" i="3"/>
  <c r="I412" i="3"/>
  <c r="T412" i="3" s="1"/>
  <c r="S411" i="3"/>
  <c r="B411" i="3"/>
  <c r="S410" i="3"/>
  <c r="B410" i="3"/>
  <c r="W409" i="3"/>
  <c r="S409" i="3"/>
  <c r="B409" i="3"/>
  <c r="R408" i="3"/>
  <c r="Q408" i="3"/>
  <c r="L408" i="3"/>
  <c r="K408" i="3"/>
  <c r="J408" i="3"/>
  <c r="I408" i="3"/>
  <c r="T408" i="3" s="1"/>
  <c r="AF407" i="3"/>
  <c r="W407" i="3" s="1"/>
  <c r="V407" i="3"/>
  <c r="S407" i="3"/>
  <c r="S406" i="3" s="1"/>
  <c r="B407" i="3"/>
  <c r="R406" i="3"/>
  <c r="Q406" i="3"/>
  <c r="L406" i="3"/>
  <c r="K406" i="3"/>
  <c r="J406" i="3"/>
  <c r="I406" i="3"/>
  <c r="T406" i="3" s="1"/>
  <c r="AF405" i="3"/>
  <c r="W405" i="3" s="1"/>
  <c r="V405" i="3"/>
  <c r="S405" i="3"/>
  <c r="B405" i="3"/>
  <c r="AF404" i="3"/>
  <c r="W404" i="3" s="1"/>
  <c r="V404" i="3"/>
  <c r="S404" i="3"/>
  <c r="B404" i="3"/>
  <c r="AF403" i="3"/>
  <c r="W403" i="3" s="1"/>
  <c r="V403" i="3"/>
  <c r="S403" i="3"/>
  <c r="B403" i="3"/>
  <c r="AF402" i="3"/>
  <c r="W402" i="3" s="1"/>
  <c r="V402" i="3"/>
  <c r="S402" i="3"/>
  <c r="B402" i="3"/>
  <c r="AF401" i="3"/>
  <c r="W401" i="3" s="1"/>
  <c r="V401" i="3"/>
  <c r="S401" i="3"/>
  <c r="B401" i="3"/>
  <c r="AF400" i="3"/>
  <c r="W400" i="3" s="1"/>
  <c r="V400" i="3"/>
  <c r="S400" i="3"/>
  <c r="B400" i="3"/>
  <c r="AF399" i="3"/>
  <c r="W399" i="3" s="1"/>
  <c r="V399" i="3"/>
  <c r="S399" i="3"/>
  <c r="B399" i="3"/>
  <c r="R398" i="3"/>
  <c r="Q398" i="3"/>
  <c r="L398" i="3"/>
  <c r="K398" i="3"/>
  <c r="J398" i="3"/>
  <c r="I398" i="3"/>
  <c r="T398" i="3" s="1"/>
  <c r="AJ397" i="3"/>
  <c r="W397" i="3" s="1"/>
  <c r="V397" i="3"/>
  <c r="S397" i="3"/>
  <c r="S396" i="3" s="1"/>
  <c r="B397" i="3"/>
  <c r="R396" i="3"/>
  <c r="Q396" i="3"/>
  <c r="L396" i="3"/>
  <c r="K396" i="3"/>
  <c r="J396" i="3"/>
  <c r="I396" i="3"/>
  <c r="T396" i="3" s="1"/>
  <c r="AN395" i="3"/>
  <c r="V395" i="3"/>
  <c r="S395" i="3"/>
  <c r="B395" i="3"/>
  <c r="AF394" i="3"/>
  <c r="W394" i="3" s="1"/>
  <c r="V394" i="3"/>
  <c r="S394" i="3"/>
  <c r="B394" i="3"/>
  <c r="AJ393" i="3"/>
  <c r="W393" i="3" s="1"/>
  <c r="V393" i="3"/>
  <c r="S393" i="3"/>
  <c r="B393" i="3"/>
  <c r="AJ392" i="3"/>
  <c r="W392" i="3" s="1"/>
  <c r="V392" i="3"/>
  <c r="S392" i="3"/>
  <c r="B392" i="3"/>
  <c r="R391" i="3"/>
  <c r="Q391" i="3"/>
  <c r="L391" i="3"/>
  <c r="K391" i="3"/>
  <c r="J391" i="3"/>
  <c r="I391" i="3"/>
  <c r="T391" i="3" s="1"/>
  <c r="AF390" i="3"/>
  <c r="W390" i="3" s="1"/>
  <c r="V390" i="3"/>
  <c r="S390" i="3"/>
  <c r="S389" i="3" s="1"/>
  <c r="B390" i="3"/>
  <c r="R389" i="3"/>
  <c r="Q389" i="3"/>
  <c r="L389" i="3"/>
  <c r="K389" i="3"/>
  <c r="J389" i="3"/>
  <c r="I389" i="3"/>
  <c r="T389" i="3" s="1"/>
  <c r="W388" i="3"/>
  <c r="V388" i="3"/>
  <c r="S388" i="3"/>
  <c r="B388" i="3"/>
  <c r="AF387" i="3"/>
  <c r="W387" i="3" s="1"/>
  <c r="V387" i="3"/>
  <c r="S387" i="3"/>
  <c r="S386" i="3" s="1"/>
  <c r="B387" i="3"/>
  <c r="R386" i="3"/>
  <c r="Q386" i="3"/>
  <c r="L386" i="3"/>
  <c r="K386" i="3"/>
  <c r="J386" i="3"/>
  <c r="I386" i="3"/>
  <c r="T386" i="3" s="1"/>
  <c r="AF385" i="3"/>
  <c r="W385" i="3"/>
  <c r="S385" i="3"/>
  <c r="B385" i="3"/>
  <c r="AN384" i="3"/>
  <c r="S384" i="3"/>
  <c r="B384" i="3"/>
  <c r="AJ383" i="3"/>
  <c r="W383" i="3" s="1"/>
  <c r="V383" i="3"/>
  <c r="S383" i="3"/>
  <c r="B383" i="3"/>
  <c r="AF382" i="3"/>
  <c r="W382" i="3" s="1"/>
  <c r="V382" i="3"/>
  <c r="S382" i="3"/>
  <c r="B382" i="3"/>
  <c r="R381" i="3"/>
  <c r="Q381" i="3"/>
  <c r="L381" i="3"/>
  <c r="K381" i="3"/>
  <c r="J381" i="3"/>
  <c r="I381" i="3"/>
  <c r="T381" i="3" s="1"/>
  <c r="AF380" i="3"/>
  <c r="W380" i="3" s="1"/>
  <c r="V380" i="3"/>
  <c r="S380" i="3"/>
  <c r="S379" i="3" s="1"/>
  <c r="B380" i="3"/>
  <c r="R379" i="3"/>
  <c r="Q379" i="3"/>
  <c r="L379" i="3"/>
  <c r="K379" i="3"/>
  <c r="J379" i="3"/>
  <c r="I379" i="3"/>
  <c r="T379" i="3" s="1"/>
  <c r="AJ378" i="3"/>
  <c r="AF378" i="3"/>
  <c r="V378" i="3"/>
  <c r="S378" i="3"/>
  <c r="S377" i="3" s="1"/>
  <c r="B378" i="3"/>
  <c r="R377" i="3"/>
  <c r="Q377" i="3"/>
  <c r="L377" i="3"/>
  <c r="K377" i="3"/>
  <c r="J377" i="3"/>
  <c r="I377" i="3"/>
  <c r="T377" i="3" s="1"/>
  <c r="W376" i="3"/>
  <c r="S376" i="3"/>
  <c r="B376" i="3"/>
  <c r="AF375" i="3"/>
  <c r="W375" i="3" s="1"/>
  <c r="V375" i="3"/>
  <c r="S375" i="3"/>
  <c r="B375" i="3"/>
  <c r="R374" i="3"/>
  <c r="Q374" i="3"/>
  <c r="L374" i="3"/>
  <c r="K374" i="3"/>
  <c r="J374" i="3"/>
  <c r="I374" i="3"/>
  <c r="T374" i="3" s="1"/>
  <c r="AF373" i="3"/>
  <c r="W373" i="3" s="1"/>
  <c r="V373" i="3"/>
  <c r="S373" i="3"/>
  <c r="B373" i="3"/>
  <c r="AF372" i="3"/>
  <c r="W372" i="3" s="1"/>
  <c r="V372" i="3"/>
  <c r="S372" i="3"/>
  <c r="B372" i="3"/>
  <c r="AN371" i="3"/>
  <c r="W371" i="3"/>
  <c r="S371" i="3"/>
  <c r="B371" i="3"/>
  <c r="AF370" i="3"/>
  <c r="W370" i="3" s="1"/>
  <c r="V370" i="3"/>
  <c r="S370" i="3"/>
  <c r="B370" i="3"/>
  <c r="AF369" i="3"/>
  <c r="W369" i="3" s="1"/>
  <c r="V369" i="3"/>
  <c r="S369" i="3"/>
  <c r="B369" i="3"/>
  <c r="W368" i="3"/>
  <c r="V368" i="3"/>
  <c r="S368" i="3"/>
  <c r="B368" i="3"/>
  <c r="AF367" i="3"/>
  <c r="W367" i="3" s="1"/>
  <c r="S367" i="3"/>
  <c r="B367" i="3"/>
  <c r="AF366" i="3"/>
  <c r="W366" i="3" s="1"/>
  <c r="V366" i="3"/>
  <c r="S366" i="3"/>
  <c r="B366" i="3"/>
  <c r="AF365" i="3"/>
  <c r="W365" i="3" s="1"/>
  <c r="V365" i="3"/>
  <c r="S365" i="3"/>
  <c r="B365" i="3"/>
  <c r="AJ364" i="3"/>
  <c r="W364" i="3" s="1"/>
  <c r="V364" i="3"/>
  <c r="S364" i="3"/>
  <c r="B364" i="3"/>
  <c r="W363" i="3"/>
  <c r="V363" i="3"/>
  <c r="S363" i="3"/>
  <c r="B363" i="3"/>
  <c r="AF362" i="3"/>
  <c r="W362" i="3" s="1"/>
  <c r="V362" i="3"/>
  <c r="S362" i="3"/>
  <c r="B362" i="3"/>
  <c r="AF361" i="3"/>
  <c r="W361" i="3" s="1"/>
  <c r="V361" i="3"/>
  <c r="S361" i="3"/>
  <c r="B361" i="3"/>
  <c r="AF360" i="3"/>
  <c r="W360" i="3" s="1"/>
  <c r="V360" i="3"/>
  <c r="S360" i="3"/>
  <c r="B360" i="3"/>
  <c r="AF359" i="3"/>
  <c r="W359" i="3" s="1"/>
  <c r="V359" i="3"/>
  <c r="S359" i="3"/>
  <c r="B359" i="3"/>
  <c r="AF358" i="3"/>
  <c r="W358" i="3" s="1"/>
  <c r="V358" i="3"/>
  <c r="S358" i="3"/>
  <c r="B358" i="3"/>
  <c r="W357" i="3"/>
  <c r="S357" i="3"/>
  <c r="B357" i="3"/>
  <c r="R356" i="3"/>
  <c r="Q356" i="3"/>
  <c r="L356" i="3"/>
  <c r="K356" i="3"/>
  <c r="J356" i="3"/>
  <c r="I356" i="3"/>
  <c r="T356" i="3" s="1"/>
  <c r="AJ355" i="3"/>
  <c r="AF355" i="3"/>
  <c r="V355" i="3"/>
  <c r="S355" i="3"/>
  <c r="S354" i="3" s="1"/>
  <c r="B355" i="3"/>
  <c r="R354" i="3"/>
  <c r="Q354" i="3"/>
  <c r="L354" i="3"/>
  <c r="K354" i="3"/>
  <c r="J354" i="3"/>
  <c r="I354" i="3"/>
  <c r="T354" i="3" s="1"/>
  <c r="W353" i="3"/>
  <c r="V353" i="3"/>
  <c r="S353" i="3"/>
  <c r="B353" i="3"/>
  <c r="AF352" i="3"/>
  <c r="W352" i="3" s="1"/>
  <c r="V352" i="3"/>
  <c r="S352" i="3"/>
  <c r="S351" i="3" s="1"/>
  <c r="B352" i="3"/>
  <c r="R351" i="3"/>
  <c r="Q351" i="3"/>
  <c r="L351" i="3"/>
  <c r="K351" i="3"/>
  <c r="J351" i="3"/>
  <c r="I351" i="3"/>
  <c r="T351" i="3" s="1"/>
  <c r="AF350" i="3"/>
  <c r="W350" i="3" s="1"/>
  <c r="V350" i="3"/>
  <c r="S350" i="3"/>
  <c r="B350" i="3"/>
  <c r="W349" i="3"/>
  <c r="V349" i="3"/>
  <c r="S349" i="3"/>
  <c r="B349" i="3"/>
  <c r="S348" i="3"/>
  <c r="B348" i="3"/>
  <c r="R347" i="3"/>
  <c r="Q347" i="3"/>
  <c r="L347" i="3"/>
  <c r="K347" i="3"/>
  <c r="J347" i="3"/>
  <c r="I347" i="3"/>
  <c r="T347" i="3" s="1"/>
  <c r="AF346" i="3"/>
  <c r="S346" i="3"/>
  <c r="B346" i="3"/>
  <c r="AF345" i="3"/>
  <c r="W345" i="3" s="1"/>
  <c r="V345" i="3"/>
  <c r="S345" i="3"/>
  <c r="B345" i="3"/>
  <c r="R344" i="3"/>
  <c r="Q344" i="3"/>
  <c r="L344" i="3"/>
  <c r="K344" i="3"/>
  <c r="J344" i="3"/>
  <c r="I344" i="3"/>
  <c r="T344" i="3" s="1"/>
  <c r="AJ343" i="3"/>
  <c r="W343" i="3" s="1"/>
  <c r="V343" i="3"/>
  <c r="S343" i="3"/>
  <c r="B343" i="3"/>
  <c r="AJ342" i="3"/>
  <c r="W342" i="3" s="1"/>
  <c r="V342" i="3"/>
  <c r="S342" i="3"/>
  <c r="B342" i="3"/>
  <c r="R341" i="3"/>
  <c r="Q341" i="3"/>
  <c r="L341" i="3"/>
  <c r="K341" i="3"/>
  <c r="J341" i="3"/>
  <c r="I341" i="3"/>
  <c r="T341" i="3" s="1"/>
  <c r="AF340" i="3"/>
  <c r="W340" i="3" s="1"/>
  <c r="V340" i="3"/>
  <c r="S340" i="3"/>
  <c r="B340" i="3"/>
  <c r="AJ339" i="3"/>
  <c r="W339" i="3" s="1"/>
  <c r="V339" i="3"/>
  <c r="S339" i="3"/>
  <c r="B339" i="3"/>
  <c r="AL338" i="3"/>
  <c r="W338" i="3" s="1"/>
  <c r="V338" i="3"/>
  <c r="S338" i="3"/>
  <c r="B338" i="3"/>
  <c r="V337" i="3"/>
  <c r="S337" i="3"/>
  <c r="B337" i="3"/>
  <c r="R336" i="3"/>
  <c r="Q336" i="3"/>
  <c r="L336" i="3"/>
  <c r="K336" i="3"/>
  <c r="J336" i="3"/>
  <c r="I336" i="3"/>
  <c r="T336" i="3" s="1"/>
  <c r="AF335" i="3"/>
  <c r="W335" i="3" s="1"/>
  <c r="V335" i="3"/>
  <c r="S335" i="3"/>
  <c r="AF333" i="3"/>
  <c r="W333" i="3" s="1"/>
  <c r="V333" i="3"/>
  <c r="S333" i="3"/>
  <c r="B333" i="3"/>
  <c r="AF332" i="3"/>
  <c r="W332" i="3" s="1"/>
  <c r="V332" i="3"/>
  <c r="S332" i="3"/>
  <c r="B332" i="3"/>
  <c r="AF331" i="3"/>
  <c r="W331" i="3" s="1"/>
  <c r="V331" i="3"/>
  <c r="S331" i="3"/>
  <c r="B331" i="3"/>
  <c r="AL330" i="3"/>
  <c r="W330" i="3" s="1"/>
  <c r="V330" i="3"/>
  <c r="S330" i="3"/>
  <c r="B330" i="3"/>
  <c r="AJ329" i="3"/>
  <c r="W329" i="3" s="1"/>
  <c r="V329" i="3"/>
  <c r="S329" i="3"/>
  <c r="B329" i="3"/>
  <c r="W328" i="3"/>
  <c r="V328" i="3"/>
  <c r="S328" i="3"/>
  <c r="B328" i="3"/>
  <c r="AJ327" i="3"/>
  <c r="W327" i="3" s="1"/>
  <c r="V327" i="3"/>
  <c r="S327" i="3"/>
  <c r="B327" i="3"/>
  <c r="AN326" i="3"/>
  <c r="W326" i="3" s="1"/>
  <c r="V326" i="3"/>
  <c r="S326" i="3"/>
  <c r="B326" i="3"/>
  <c r="AF325" i="3"/>
  <c r="W325" i="3" s="1"/>
  <c r="V325" i="3"/>
  <c r="S325" i="3"/>
  <c r="B325" i="3"/>
  <c r="AF324" i="3"/>
  <c r="W324" i="3" s="1"/>
  <c r="V324" i="3"/>
  <c r="S324" i="3"/>
  <c r="B324" i="3"/>
  <c r="AF323" i="3"/>
  <c r="W323" i="3" s="1"/>
  <c r="V323" i="3"/>
  <c r="S323" i="3"/>
  <c r="B323" i="3"/>
  <c r="AF322" i="3"/>
  <c r="W322" i="3" s="1"/>
  <c r="V322" i="3"/>
  <c r="S322" i="3"/>
  <c r="B322" i="3"/>
  <c r="AJ321" i="3"/>
  <c r="W321" i="3" s="1"/>
  <c r="V321" i="3"/>
  <c r="S321" i="3"/>
  <c r="B321" i="3"/>
  <c r="AF320" i="3"/>
  <c r="W320" i="3" s="1"/>
  <c r="V320" i="3"/>
  <c r="S320" i="3"/>
  <c r="B320" i="3"/>
  <c r="R319" i="3"/>
  <c r="Q319" i="3"/>
  <c r="L319" i="3"/>
  <c r="K319" i="3"/>
  <c r="J319" i="3"/>
  <c r="I319" i="3"/>
  <c r="T319" i="3" s="1"/>
  <c r="AF318" i="3"/>
  <c r="W318" i="3" s="1"/>
  <c r="V318" i="3"/>
  <c r="S318" i="3"/>
  <c r="B318" i="3"/>
  <c r="AF317" i="3"/>
  <c r="W317" i="3" s="1"/>
  <c r="V317" i="3"/>
  <c r="S317" i="3"/>
  <c r="B317" i="3"/>
  <c r="AF316" i="3"/>
  <c r="W316" i="3" s="1"/>
  <c r="V316" i="3"/>
  <c r="S316" i="3"/>
  <c r="B316" i="3"/>
  <c r="AJ315" i="3"/>
  <c r="W315" i="3" s="1"/>
  <c r="V315" i="3"/>
  <c r="S315" i="3"/>
  <c r="B315" i="3"/>
  <c r="AJ314" i="3"/>
  <c r="W314" i="3" s="1"/>
  <c r="V314" i="3"/>
  <c r="S314" i="3"/>
  <c r="B314" i="3"/>
  <c r="AD313" i="3"/>
  <c r="W313" i="3" s="1"/>
  <c r="V313" i="3"/>
  <c r="S313" i="3"/>
  <c r="B313" i="3"/>
  <c r="AF312" i="3"/>
  <c r="W312" i="3" s="1"/>
  <c r="V312" i="3"/>
  <c r="S312" i="3"/>
  <c r="B312" i="3"/>
  <c r="AF311" i="3"/>
  <c r="W311" i="3" s="1"/>
  <c r="V311" i="3"/>
  <c r="S311" i="3"/>
  <c r="B311" i="3"/>
  <c r="S310" i="3"/>
  <c r="B310" i="3"/>
  <c r="AD309" i="3"/>
  <c r="W309" i="3" s="1"/>
  <c r="V309" i="3"/>
  <c r="S309" i="3"/>
  <c r="B309" i="3"/>
  <c r="AF308" i="3"/>
  <c r="W308" i="3" s="1"/>
  <c r="V308" i="3"/>
  <c r="S308" i="3"/>
  <c r="B308" i="3"/>
  <c r="AF307" i="3"/>
  <c r="W307" i="3" s="1"/>
  <c r="V307" i="3"/>
  <c r="S307" i="3"/>
  <c r="B307" i="3"/>
  <c r="AF306" i="3"/>
  <c r="W306" i="3" s="1"/>
  <c r="V306" i="3"/>
  <c r="S306" i="3"/>
  <c r="B306" i="3"/>
  <c r="AF305" i="3"/>
  <c r="W305" i="3" s="1"/>
  <c r="V305" i="3"/>
  <c r="S305" i="3"/>
  <c r="B305" i="3"/>
  <c r="AF304" i="3"/>
  <c r="W304" i="3" s="1"/>
  <c r="V304" i="3"/>
  <c r="S304" i="3"/>
  <c r="B304" i="3"/>
  <c r="R303" i="3"/>
  <c r="Q303" i="3"/>
  <c r="L303" i="3"/>
  <c r="K303" i="3"/>
  <c r="J303" i="3"/>
  <c r="I303" i="3"/>
  <c r="T303" i="3" s="1"/>
  <c r="AF302" i="3"/>
  <c r="W302" i="3" s="1"/>
  <c r="V302" i="3"/>
  <c r="S302" i="3"/>
  <c r="S301" i="3" s="1"/>
  <c r="B302" i="3"/>
  <c r="R301" i="3"/>
  <c r="Q301" i="3"/>
  <c r="L301" i="3"/>
  <c r="K301" i="3"/>
  <c r="J301" i="3"/>
  <c r="I301" i="3"/>
  <c r="T301" i="3" s="1"/>
  <c r="W300" i="3"/>
  <c r="V300" i="3"/>
  <c r="S300" i="3"/>
  <c r="B300" i="3"/>
  <c r="S299" i="3"/>
  <c r="B299" i="3"/>
  <c r="W298" i="3"/>
  <c r="V298" i="3"/>
  <c r="S298" i="3"/>
  <c r="B298" i="3"/>
  <c r="W297" i="3"/>
  <c r="V297" i="3"/>
  <c r="S297" i="3"/>
  <c r="B297" i="3"/>
  <c r="AF296" i="3"/>
  <c r="W296" i="3" s="1"/>
  <c r="V296" i="3"/>
  <c r="S296" i="3"/>
  <c r="B296" i="3"/>
  <c r="R295" i="3"/>
  <c r="Q295" i="3"/>
  <c r="L295" i="3"/>
  <c r="K295" i="3"/>
  <c r="J295" i="3"/>
  <c r="I295" i="3"/>
  <c r="T295" i="3" s="1"/>
  <c r="AH294" i="3"/>
  <c r="W294" i="3" s="1"/>
  <c r="V294" i="3"/>
  <c r="S294" i="3"/>
  <c r="B294" i="3"/>
  <c r="W293" i="3"/>
  <c r="V293" i="3"/>
  <c r="S293" i="3"/>
  <c r="B293" i="3"/>
  <c r="AJ292" i="3"/>
  <c r="W292" i="3" s="1"/>
  <c r="V292" i="3"/>
  <c r="S292" i="3"/>
  <c r="B292" i="3"/>
  <c r="AJ291" i="3"/>
  <c r="W291" i="3" s="1"/>
  <c r="V291" i="3"/>
  <c r="S291" i="3"/>
  <c r="B291" i="3"/>
  <c r="AJ290" i="3"/>
  <c r="W290" i="3" s="1"/>
  <c r="V290" i="3"/>
  <c r="S290" i="3"/>
  <c r="B290" i="3"/>
  <c r="R289" i="3"/>
  <c r="Q289" i="3"/>
  <c r="L289" i="3"/>
  <c r="K289" i="3"/>
  <c r="J289" i="3"/>
  <c r="I289" i="3"/>
  <c r="T289" i="3" s="1"/>
  <c r="AF288" i="3"/>
  <c r="W288" i="3" s="1"/>
  <c r="V288" i="3"/>
  <c r="S288" i="3"/>
  <c r="B288" i="3"/>
  <c r="AF287" i="3"/>
  <c r="W287" i="3" s="1"/>
  <c r="V287" i="3"/>
  <c r="S287" i="3"/>
  <c r="B287" i="3"/>
  <c r="R286" i="3"/>
  <c r="Q286" i="3"/>
  <c r="L286" i="3"/>
  <c r="K286" i="3"/>
  <c r="J286" i="3"/>
  <c r="I286" i="3"/>
  <c r="T286" i="3" s="1"/>
  <c r="W285" i="3"/>
  <c r="V285" i="3"/>
  <c r="S285" i="3"/>
  <c r="S284" i="3" s="1"/>
  <c r="B285" i="3"/>
  <c r="R284" i="3"/>
  <c r="Q284" i="3"/>
  <c r="L284" i="3"/>
  <c r="K284" i="3"/>
  <c r="J284" i="3"/>
  <c r="I284" i="3"/>
  <c r="T284" i="3" s="1"/>
  <c r="AF283" i="3"/>
  <c r="W283" i="3" s="1"/>
  <c r="V283" i="3"/>
  <c r="S283" i="3"/>
  <c r="B283" i="3"/>
  <c r="AF282" i="3"/>
  <c r="W282" i="3" s="1"/>
  <c r="V282" i="3"/>
  <c r="S282" i="3"/>
  <c r="B282" i="3"/>
  <c r="W281" i="3"/>
  <c r="V281" i="3"/>
  <c r="S281" i="3"/>
  <c r="B281" i="3"/>
  <c r="AF280" i="3"/>
  <c r="W280" i="3" s="1"/>
  <c r="V280" i="3"/>
  <c r="S280" i="3"/>
  <c r="B280" i="3"/>
  <c r="R279" i="3"/>
  <c r="Q279" i="3"/>
  <c r="L279" i="3"/>
  <c r="K279" i="3"/>
  <c r="J279" i="3"/>
  <c r="I279" i="3"/>
  <c r="T279" i="3" s="1"/>
  <c r="AF278" i="3"/>
  <c r="W278" i="3" s="1"/>
  <c r="V278" i="3"/>
  <c r="S278" i="3"/>
  <c r="B278" i="3"/>
  <c r="AF277" i="3"/>
  <c r="W277" i="3" s="1"/>
  <c r="V277" i="3"/>
  <c r="S277" i="3"/>
  <c r="B277" i="3"/>
  <c r="AJ276" i="3"/>
  <c r="W276" i="3" s="1"/>
  <c r="V276" i="3"/>
  <c r="S276" i="3"/>
  <c r="B276" i="3"/>
  <c r="AF275" i="3"/>
  <c r="W275" i="3" s="1"/>
  <c r="V275" i="3"/>
  <c r="S275" i="3"/>
  <c r="B275" i="3"/>
  <c r="AF274" i="3"/>
  <c r="W274" i="3" s="1"/>
  <c r="V274" i="3"/>
  <c r="S274" i="3"/>
  <c r="B274" i="3"/>
  <c r="AJ273" i="3"/>
  <c r="AF273" i="3"/>
  <c r="V273" i="3"/>
  <c r="S273" i="3"/>
  <c r="B273" i="3"/>
  <c r="R272" i="3"/>
  <c r="Q272" i="3"/>
  <c r="L272" i="3"/>
  <c r="K272" i="3"/>
  <c r="J272" i="3"/>
  <c r="I272" i="3"/>
  <c r="T272" i="3" s="1"/>
  <c r="AF271" i="3"/>
  <c r="W271" i="3" s="1"/>
  <c r="V271" i="3"/>
  <c r="S271" i="3"/>
  <c r="B271" i="3"/>
  <c r="AF270" i="3"/>
  <c r="W270" i="3" s="1"/>
  <c r="V270" i="3"/>
  <c r="S270" i="3"/>
  <c r="B270" i="3"/>
  <c r="AF269" i="3"/>
  <c r="W269" i="3" s="1"/>
  <c r="V269" i="3"/>
  <c r="S269" i="3"/>
  <c r="B269" i="3"/>
  <c r="AF268" i="3"/>
  <c r="W268" i="3" s="1"/>
  <c r="V268" i="3"/>
  <c r="S268" i="3"/>
  <c r="B268" i="3"/>
  <c r="AF267" i="3"/>
  <c r="W267" i="3" s="1"/>
  <c r="V267" i="3"/>
  <c r="S267" i="3"/>
  <c r="B267" i="3"/>
  <c r="R266" i="3"/>
  <c r="Q266" i="3"/>
  <c r="L266" i="3"/>
  <c r="K266" i="3"/>
  <c r="J266" i="3"/>
  <c r="I266" i="3"/>
  <c r="T266" i="3" s="1"/>
  <c r="AF265" i="3"/>
  <c r="W265" i="3" s="1"/>
  <c r="V265" i="3"/>
  <c r="S265" i="3"/>
  <c r="B265" i="3"/>
  <c r="AF264" i="3"/>
  <c r="W264" i="3" s="1"/>
  <c r="V264" i="3"/>
  <c r="S264" i="3"/>
  <c r="B264" i="3"/>
  <c r="AF263" i="3"/>
  <c r="W263" i="3" s="1"/>
  <c r="V263" i="3"/>
  <c r="S263" i="3"/>
  <c r="B263" i="3"/>
  <c r="AF262" i="3"/>
  <c r="W262" i="3" s="1"/>
  <c r="V262" i="3"/>
  <c r="S262" i="3"/>
  <c r="B262" i="3"/>
  <c r="AF261" i="3"/>
  <c r="W261" i="3" s="1"/>
  <c r="V261" i="3"/>
  <c r="S261" i="3"/>
  <c r="B261" i="3"/>
  <c r="W260" i="3"/>
  <c r="V260" i="3"/>
  <c r="S260" i="3"/>
  <c r="B260" i="3"/>
  <c r="AF259" i="3"/>
  <c r="W259" i="3" s="1"/>
  <c r="V259" i="3"/>
  <c r="S259" i="3"/>
  <c r="B259" i="3"/>
  <c r="AF258" i="3"/>
  <c r="W258" i="3" s="1"/>
  <c r="V258" i="3"/>
  <c r="S258" i="3"/>
  <c r="B258" i="3"/>
  <c r="AF257" i="3"/>
  <c r="W257" i="3" s="1"/>
  <c r="V257" i="3"/>
  <c r="S257" i="3"/>
  <c r="B257" i="3"/>
  <c r="W256" i="3"/>
  <c r="V256" i="3"/>
  <c r="S256" i="3"/>
  <c r="B256" i="3"/>
  <c r="AF255" i="3"/>
  <c r="W255" i="3" s="1"/>
  <c r="V255" i="3"/>
  <c r="S255" i="3"/>
  <c r="B255" i="3"/>
  <c r="AJ254" i="3"/>
  <c r="W254" i="3" s="1"/>
  <c r="V254" i="3"/>
  <c r="S254" i="3"/>
  <c r="B254" i="3"/>
  <c r="AF253" i="3"/>
  <c r="W253" i="3" s="1"/>
  <c r="V253" i="3"/>
  <c r="S253" i="3"/>
  <c r="B253" i="3"/>
  <c r="AF252" i="3"/>
  <c r="W252" i="3" s="1"/>
  <c r="V252" i="3"/>
  <c r="S252" i="3"/>
  <c r="B252" i="3"/>
  <c r="AF251" i="3"/>
  <c r="W251" i="3" s="1"/>
  <c r="V251" i="3"/>
  <c r="S251" i="3"/>
  <c r="B251" i="3"/>
  <c r="AF250" i="3"/>
  <c r="W250" i="3" s="1"/>
  <c r="V250" i="3"/>
  <c r="S250" i="3"/>
  <c r="B250" i="3"/>
  <c r="AF249" i="3"/>
  <c r="W249" i="3" s="1"/>
  <c r="V249" i="3"/>
  <c r="S249" i="3"/>
  <c r="B249" i="3"/>
  <c r="AF248" i="3"/>
  <c r="W248" i="3" s="1"/>
  <c r="V248" i="3"/>
  <c r="S248" i="3"/>
  <c r="B248" i="3"/>
  <c r="AD247" i="3"/>
  <c r="W247" i="3" s="1"/>
  <c r="V247" i="3"/>
  <c r="S247" i="3"/>
  <c r="B247" i="3"/>
  <c r="AF246" i="3"/>
  <c r="W246" i="3" s="1"/>
  <c r="V246" i="3"/>
  <c r="S246" i="3"/>
  <c r="B246" i="3"/>
  <c r="AF245" i="3"/>
  <c r="W245" i="3" s="1"/>
  <c r="V245" i="3"/>
  <c r="S245" i="3"/>
  <c r="B245" i="3"/>
  <c r="AF244" i="3"/>
  <c r="W244" i="3" s="1"/>
  <c r="V244" i="3"/>
  <c r="S244" i="3"/>
  <c r="B244" i="3"/>
  <c r="AD243" i="3"/>
  <c r="W243" i="3" s="1"/>
  <c r="V243" i="3"/>
  <c r="S243" i="3"/>
  <c r="B243" i="3"/>
  <c r="W242" i="3"/>
  <c r="S242" i="3"/>
  <c r="B242" i="3"/>
  <c r="AN241" i="3"/>
  <c r="W241" i="3" s="1"/>
  <c r="V241" i="3"/>
  <c r="S241" i="3"/>
  <c r="B241" i="3"/>
  <c r="AD240" i="3"/>
  <c r="W240" i="3" s="1"/>
  <c r="V240" i="3"/>
  <c r="S240" i="3"/>
  <c r="B240" i="3"/>
  <c r="R239" i="3"/>
  <c r="Q239" i="3"/>
  <c r="L239" i="3"/>
  <c r="K239" i="3"/>
  <c r="J239" i="3"/>
  <c r="I239" i="3"/>
  <c r="T239" i="3" s="1"/>
  <c r="AD238" i="3"/>
  <c r="W238" i="3" s="1"/>
  <c r="V238" i="3"/>
  <c r="S238" i="3"/>
  <c r="B238" i="3"/>
  <c r="W237" i="3"/>
  <c r="V237" i="3"/>
  <c r="S237" i="3"/>
  <c r="B237" i="3"/>
  <c r="S236" i="3"/>
  <c r="B236" i="3"/>
  <c r="AJ235" i="3"/>
  <c r="W235" i="3" s="1"/>
  <c r="V235" i="3"/>
  <c r="S235" i="3"/>
  <c r="B235" i="3"/>
  <c r="AF234" i="3"/>
  <c r="W234" i="3" s="1"/>
  <c r="V234" i="3"/>
  <c r="S234" i="3"/>
  <c r="B234" i="3"/>
  <c r="R233" i="3"/>
  <c r="Q233" i="3"/>
  <c r="L233" i="3"/>
  <c r="K233" i="3"/>
  <c r="J233" i="3"/>
  <c r="I233" i="3"/>
  <c r="T233" i="3" s="1"/>
  <c r="AJ232" i="3"/>
  <c r="AF232" i="3"/>
  <c r="S232" i="3"/>
  <c r="B232" i="3"/>
  <c r="AD231" i="3"/>
  <c r="W231" i="3" s="1"/>
  <c r="V231" i="3"/>
  <c r="S231" i="3"/>
  <c r="B231" i="3"/>
  <c r="AD230" i="3"/>
  <c r="W230" i="3" s="1"/>
  <c r="V230" i="3"/>
  <c r="S230" i="3"/>
  <c r="B230" i="3"/>
  <c r="AD229" i="3"/>
  <c r="W229" i="3" s="1"/>
  <c r="V229" i="3"/>
  <c r="S229" i="3"/>
  <c r="B229" i="3"/>
  <c r="W228" i="3"/>
  <c r="V228" i="3"/>
  <c r="S228" i="3"/>
  <c r="B228" i="3"/>
  <c r="AD227" i="3"/>
  <c r="W227" i="3" s="1"/>
  <c r="V227" i="3"/>
  <c r="S227" i="3"/>
  <c r="B227" i="3"/>
  <c r="AD226" i="3"/>
  <c r="W226" i="3" s="1"/>
  <c r="V226" i="3"/>
  <c r="S226" i="3"/>
  <c r="B226" i="3"/>
  <c r="AD225" i="3"/>
  <c r="W225" i="3" s="1"/>
  <c r="V225" i="3"/>
  <c r="S225" i="3"/>
  <c r="B225" i="3"/>
  <c r="AD224" i="3"/>
  <c r="W224" i="3" s="1"/>
  <c r="V224" i="3"/>
  <c r="S224" i="3"/>
  <c r="B224" i="3"/>
  <c r="AD223" i="3"/>
  <c r="W223" i="3" s="1"/>
  <c r="V223" i="3"/>
  <c r="S223" i="3"/>
  <c r="B223" i="3"/>
  <c r="AD222" i="3"/>
  <c r="W222" i="3" s="1"/>
  <c r="V222" i="3"/>
  <c r="S222" i="3"/>
  <c r="B222" i="3"/>
  <c r="AD221" i="3"/>
  <c r="W221" i="3" s="1"/>
  <c r="V221" i="3"/>
  <c r="S221" i="3"/>
  <c r="B221" i="3"/>
  <c r="AD220" i="3"/>
  <c r="W220" i="3" s="1"/>
  <c r="V220" i="3"/>
  <c r="S220" i="3"/>
  <c r="B220" i="3"/>
  <c r="AD219" i="3"/>
  <c r="W219" i="3" s="1"/>
  <c r="V219" i="3"/>
  <c r="S219" i="3"/>
  <c r="B219" i="3"/>
  <c r="AF218" i="3"/>
  <c r="W218" i="3" s="1"/>
  <c r="V218" i="3"/>
  <c r="S218" i="3"/>
  <c r="B218" i="3"/>
  <c r="AD217" i="3"/>
  <c r="W217" i="3" s="1"/>
  <c r="V217" i="3"/>
  <c r="S217" i="3"/>
  <c r="B217" i="3"/>
  <c r="AJ216" i="3"/>
  <c r="W216" i="3" s="1"/>
  <c r="V216" i="3"/>
  <c r="S216" i="3"/>
  <c r="B216" i="3"/>
  <c r="AJ215" i="3"/>
  <c r="W215" i="3" s="1"/>
  <c r="V215" i="3"/>
  <c r="S215" i="3"/>
  <c r="B215" i="3"/>
  <c r="AD214" i="3"/>
  <c r="W214" i="3" s="1"/>
  <c r="V214" i="3"/>
  <c r="S214" i="3"/>
  <c r="B214" i="3"/>
  <c r="AJ213" i="3"/>
  <c r="W213" i="3" s="1"/>
  <c r="V213" i="3"/>
  <c r="S213" i="3"/>
  <c r="B213" i="3"/>
  <c r="AF212" i="3"/>
  <c r="W212" i="3" s="1"/>
  <c r="V212" i="3"/>
  <c r="S212" i="3"/>
  <c r="B212" i="3"/>
  <c r="W211" i="3"/>
  <c r="V211" i="3"/>
  <c r="S211" i="3"/>
  <c r="B211" i="3"/>
  <c r="AF210" i="3"/>
  <c r="W210" i="3" s="1"/>
  <c r="V210" i="3"/>
  <c r="S210" i="3"/>
  <c r="B210" i="3"/>
  <c r="W209" i="3"/>
  <c r="V209" i="3"/>
  <c r="S209" i="3"/>
  <c r="B209" i="3"/>
  <c r="AJ208" i="3"/>
  <c r="W208" i="3" s="1"/>
  <c r="V208" i="3"/>
  <c r="S208" i="3"/>
  <c r="B208" i="3"/>
  <c r="AF207" i="3"/>
  <c r="W207" i="3" s="1"/>
  <c r="V207" i="3"/>
  <c r="S207" i="3"/>
  <c r="B207" i="3"/>
  <c r="AF206" i="3"/>
  <c r="W206" i="3" s="1"/>
  <c r="V206" i="3"/>
  <c r="S206" i="3"/>
  <c r="B206" i="3"/>
  <c r="W205" i="3"/>
  <c r="S205" i="3"/>
  <c r="B205" i="3"/>
  <c r="AF204" i="3"/>
  <c r="W204" i="3" s="1"/>
  <c r="V204" i="3"/>
  <c r="S204" i="3"/>
  <c r="B204" i="3"/>
  <c r="AD203" i="3"/>
  <c r="W203" i="3" s="1"/>
  <c r="V203" i="3"/>
  <c r="S203" i="3"/>
  <c r="B203" i="3"/>
  <c r="AD202" i="3"/>
  <c r="W202" i="3" s="1"/>
  <c r="V202" i="3"/>
  <c r="S202" i="3"/>
  <c r="B202" i="3"/>
  <c r="AD201" i="3"/>
  <c r="W201" i="3" s="1"/>
  <c r="V201" i="3"/>
  <c r="S201" i="3"/>
  <c r="B201" i="3"/>
  <c r="AD200" i="3"/>
  <c r="W200" i="3" s="1"/>
  <c r="V200" i="3"/>
  <c r="S200" i="3"/>
  <c r="B200" i="3"/>
  <c r="AF199" i="3"/>
  <c r="W199" i="3" s="1"/>
  <c r="V199" i="3"/>
  <c r="S199" i="3"/>
  <c r="B199" i="3"/>
  <c r="AF198" i="3"/>
  <c r="W198" i="3" s="1"/>
  <c r="V198" i="3"/>
  <c r="S198" i="3"/>
  <c r="B198" i="3"/>
  <c r="AJ197" i="3"/>
  <c r="W197" i="3" s="1"/>
  <c r="V197" i="3"/>
  <c r="S197" i="3"/>
  <c r="B197" i="3"/>
  <c r="R196" i="3"/>
  <c r="Q196" i="3"/>
  <c r="L196" i="3"/>
  <c r="K196" i="3"/>
  <c r="J196" i="3"/>
  <c r="I196" i="3"/>
  <c r="T196" i="3" s="1"/>
  <c r="AD195" i="3"/>
  <c r="W195" i="3" s="1"/>
  <c r="V195" i="3"/>
  <c r="S195" i="3"/>
  <c r="B195" i="3"/>
  <c r="AF194" i="3"/>
  <c r="W194" i="3" s="1"/>
  <c r="V194" i="3"/>
  <c r="S194" i="3"/>
  <c r="B194" i="3"/>
  <c r="AF193" i="3"/>
  <c r="W193" i="3" s="1"/>
  <c r="V193" i="3"/>
  <c r="S193" i="3"/>
  <c r="B193" i="3"/>
  <c r="AF192" i="3"/>
  <c r="W192" i="3" s="1"/>
  <c r="V192" i="3"/>
  <c r="S192" i="3"/>
  <c r="B192" i="3"/>
  <c r="AD191" i="3"/>
  <c r="W191" i="3" s="1"/>
  <c r="V191" i="3"/>
  <c r="S191" i="3"/>
  <c r="B191" i="3"/>
  <c r="AF190" i="3"/>
  <c r="W190" i="3" s="1"/>
  <c r="V190" i="3"/>
  <c r="S190" i="3"/>
  <c r="B190" i="3"/>
  <c r="AF189" i="3"/>
  <c r="W189" i="3" s="1"/>
  <c r="V189" i="3"/>
  <c r="S189" i="3"/>
  <c r="B189" i="3"/>
  <c r="AF188" i="3"/>
  <c r="W188" i="3" s="1"/>
  <c r="V188" i="3"/>
  <c r="S188" i="3"/>
  <c r="B188" i="3"/>
  <c r="AF187" i="3"/>
  <c r="W187" i="3" s="1"/>
  <c r="V187" i="3"/>
  <c r="S187" i="3"/>
  <c r="B187" i="3"/>
  <c r="AF186" i="3"/>
  <c r="W186" i="3" s="1"/>
  <c r="V186" i="3"/>
  <c r="S186" i="3"/>
  <c r="B186" i="3"/>
  <c r="AF185" i="3"/>
  <c r="W185" i="3" s="1"/>
  <c r="V185" i="3"/>
  <c r="S185" i="3"/>
  <c r="B185" i="3"/>
  <c r="AF184" i="3"/>
  <c r="W184" i="3" s="1"/>
  <c r="V184" i="3"/>
  <c r="S184" i="3"/>
  <c r="B184" i="3"/>
  <c r="AF183" i="3"/>
  <c r="W183" i="3" s="1"/>
  <c r="V183" i="3"/>
  <c r="S183" i="3"/>
  <c r="B183" i="3"/>
  <c r="AF182" i="3"/>
  <c r="W182" i="3" s="1"/>
  <c r="V182" i="3"/>
  <c r="S182" i="3"/>
  <c r="B182" i="3"/>
  <c r="S181" i="3"/>
  <c r="B181" i="3"/>
  <c r="W180" i="3"/>
  <c r="V180" i="3"/>
  <c r="S180" i="3"/>
  <c r="B180" i="3"/>
  <c r="AD179" i="3"/>
  <c r="W179" i="3" s="1"/>
  <c r="V179" i="3"/>
  <c r="S179" i="3"/>
  <c r="B179" i="3"/>
  <c r="AD178" i="3"/>
  <c r="W178" i="3" s="1"/>
  <c r="V178" i="3"/>
  <c r="S178" i="3"/>
  <c r="B178" i="3"/>
  <c r="AD177" i="3"/>
  <c r="W177" i="3" s="1"/>
  <c r="V177" i="3"/>
  <c r="S177" i="3"/>
  <c r="B177" i="3"/>
  <c r="W176" i="3"/>
  <c r="V176" i="3"/>
  <c r="S176" i="3"/>
  <c r="B176" i="3"/>
  <c r="W175" i="3"/>
  <c r="V175" i="3"/>
  <c r="S175" i="3"/>
  <c r="B175" i="3"/>
  <c r="AF174" i="3"/>
  <c r="W174" i="3" s="1"/>
  <c r="V174" i="3"/>
  <c r="S174" i="3"/>
  <c r="B174" i="3"/>
  <c r="W173" i="3"/>
  <c r="V173" i="3"/>
  <c r="S173" i="3"/>
  <c r="B173" i="3"/>
  <c r="AD172" i="3"/>
  <c r="W172" i="3" s="1"/>
  <c r="V172" i="3"/>
  <c r="S172" i="3"/>
  <c r="B172" i="3"/>
  <c r="AH171" i="3"/>
  <c r="W171" i="3" s="1"/>
  <c r="V171" i="3"/>
  <c r="S171" i="3"/>
  <c r="B171" i="3"/>
  <c r="AL170" i="3"/>
  <c r="W170" i="3" s="1"/>
  <c r="V170" i="3"/>
  <c r="S170" i="3"/>
  <c r="B170" i="3"/>
  <c r="AD169" i="3"/>
  <c r="W169" i="3" s="1"/>
  <c r="V169" i="3"/>
  <c r="S169" i="3"/>
  <c r="B169" i="3"/>
  <c r="AF168" i="3"/>
  <c r="W168" i="3" s="1"/>
  <c r="V168" i="3"/>
  <c r="S168" i="3"/>
  <c r="B168" i="3"/>
  <c r="W167" i="3"/>
  <c r="V167" i="3"/>
  <c r="S167" i="3"/>
  <c r="B167" i="3"/>
  <c r="AF166" i="3"/>
  <c r="W166" i="3" s="1"/>
  <c r="V166" i="3"/>
  <c r="S166" i="3"/>
  <c r="B166" i="3"/>
  <c r="AF165" i="3"/>
  <c r="W165" i="3" s="1"/>
  <c r="V165" i="3"/>
  <c r="S165" i="3"/>
  <c r="B165" i="3"/>
  <c r="AF164" i="3"/>
  <c r="W164" i="3" s="1"/>
  <c r="V164" i="3"/>
  <c r="S164" i="3"/>
  <c r="B164" i="3"/>
  <c r="W163" i="3"/>
  <c r="V163" i="3"/>
  <c r="S163" i="3"/>
  <c r="B163" i="3"/>
  <c r="AF162" i="3"/>
  <c r="W162" i="3" s="1"/>
  <c r="V162" i="3"/>
  <c r="S162" i="3"/>
  <c r="B162" i="3"/>
  <c r="AF161" i="3"/>
  <c r="W161" i="3" s="1"/>
  <c r="V161" i="3"/>
  <c r="S161" i="3"/>
  <c r="B161" i="3"/>
  <c r="AF160" i="3"/>
  <c r="W160" i="3" s="1"/>
  <c r="V160" i="3"/>
  <c r="S160" i="3"/>
  <c r="B160" i="3"/>
  <c r="AF159" i="3"/>
  <c r="W159" i="3" s="1"/>
  <c r="V159" i="3"/>
  <c r="S159" i="3"/>
  <c r="B159" i="3"/>
  <c r="AD158" i="3"/>
  <c r="W158" i="3" s="1"/>
  <c r="V158" i="3"/>
  <c r="S158" i="3"/>
  <c r="B158" i="3"/>
  <c r="AF157" i="3"/>
  <c r="W157" i="3" s="1"/>
  <c r="V157" i="3"/>
  <c r="S157" i="3"/>
  <c r="B157" i="3"/>
  <c r="AD156" i="3"/>
  <c r="W156" i="3" s="1"/>
  <c r="V156" i="3"/>
  <c r="S156" i="3"/>
  <c r="B156" i="3"/>
  <c r="AF155" i="3"/>
  <c r="W155" i="3" s="1"/>
  <c r="V155" i="3"/>
  <c r="S155" i="3"/>
  <c r="B155" i="3"/>
  <c r="AF154" i="3"/>
  <c r="W154" i="3" s="1"/>
  <c r="V154" i="3"/>
  <c r="S154" i="3"/>
  <c r="B154" i="3"/>
  <c r="AF153" i="3"/>
  <c r="W153" i="3" s="1"/>
  <c r="V153" i="3"/>
  <c r="S153" i="3"/>
  <c r="B153" i="3"/>
  <c r="W152" i="3"/>
  <c r="V152" i="3"/>
  <c r="S152" i="3"/>
  <c r="B152" i="3"/>
  <c r="AF151" i="3"/>
  <c r="W151" i="3" s="1"/>
  <c r="V151" i="3"/>
  <c r="S151" i="3"/>
  <c r="B151" i="3"/>
  <c r="R150" i="3"/>
  <c r="Q150" i="3"/>
  <c r="L150" i="3"/>
  <c r="K150" i="3"/>
  <c r="J150" i="3"/>
  <c r="I150" i="3"/>
  <c r="T150" i="3" s="1"/>
  <c r="AF149" i="3"/>
  <c r="W149" i="3"/>
  <c r="S149" i="3"/>
  <c r="B149" i="3"/>
  <c r="AF148" i="3"/>
  <c r="W148" i="3" s="1"/>
  <c r="V148" i="3"/>
  <c r="S148" i="3"/>
  <c r="B148" i="3"/>
  <c r="AF147" i="3"/>
  <c r="W147" i="3" s="1"/>
  <c r="V147" i="3"/>
  <c r="S147" i="3"/>
  <c r="B147" i="3"/>
  <c r="W146" i="3"/>
  <c r="V146" i="3"/>
  <c r="S146" i="3"/>
  <c r="B146" i="3"/>
  <c r="W145" i="3"/>
  <c r="V145" i="3"/>
  <c r="S145" i="3"/>
  <c r="B145" i="3"/>
  <c r="W144" i="3"/>
  <c r="V144" i="3"/>
  <c r="S144" i="3"/>
  <c r="B144" i="3"/>
  <c r="AD143" i="3"/>
  <c r="W143" i="3" s="1"/>
  <c r="V143" i="3"/>
  <c r="S143" i="3"/>
  <c r="B143" i="3"/>
  <c r="AJ142" i="3"/>
  <c r="W142" i="3" s="1"/>
  <c r="V142" i="3"/>
  <c r="S142" i="3"/>
  <c r="B142" i="3"/>
  <c r="AJ141" i="3"/>
  <c r="W141" i="3" s="1"/>
  <c r="V141" i="3"/>
  <c r="S141" i="3"/>
  <c r="B141" i="3"/>
  <c r="W140" i="3"/>
  <c r="V140" i="3"/>
  <c r="S140" i="3"/>
  <c r="B140" i="3"/>
  <c r="AJ139" i="3"/>
  <c r="W139" i="3" s="1"/>
  <c r="V139" i="3"/>
  <c r="S139" i="3"/>
  <c r="B139" i="3"/>
  <c r="W138" i="3"/>
  <c r="V138" i="3"/>
  <c r="S138" i="3"/>
  <c r="B138" i="3"/>
  <c r="AJ137" i="3"/>
  <c r="W137" i="3" s="1"/>
  <c r="V137" i="3"/>
  <c r="S137" i="3"/>
  <c r="B137" i="3"/>
  <c r="AJ136" i="3"/>
  <c r="W136" i="3" s="1"/>
  <c r="V136" i="3"/>
  <c r="S136" i="3"/>
  <c r="B136" i="3"/>
  <c r="W135" i="3"/>
  <c r="V135" i="3"/>
  <c r="S135" i="3"/>
  <c r="B135" i="3"/>
  <c r="W134" i="3"/>
  <c r="V134" i="3"/>
  <c r="S134" i="3"/>
  <c r="B134" i="3"/>
  <c r="V133" i="3"/>
  <c r="S133" i="3"/>
  <c r="B133" i="3"/>
  <c r="AF132" i="3"/>
  <c r="W132" i="3" s="1"/>
  <c r="V132" i="3"/>
  <c r="S132" i="3"/>
  <c r="B132" i="3"/>
  <c r="AF131" i="3"/>
  <c r="W131" i="3" s="1"/>
  <c r="V131" i="3"/>
  <c r="S131" i="3"/>
  <c r="B131" i="3"/>
  <c r="AF130" i="3"/>
  <c r="W130" i="3" s="1"/>
  <c r="V130" i="3"/>
  <c r="S130" i="3"/>
  <c r="B130" i="3"/>
  <c r="AF129" i="3"/>
  <c r="W129" i="3" s="1"/>
  <c r="V129" i="3"/>
  <c r="S129" i="3"/>
  <c r="B129" i="3"/>
  <c r="AF128" i="3"/>
  <c r="W128" i="3" s="1"/>
  <c r="V128" i="3"/>
  <c r="S128" i="3"/>
  <c r="B128" i="3"/>
  <c r="AF127" i="3"/>
  <c r="W127" i="3" s="1"/>
  <c r="V127" i="3"/>
  <c r="S127" i="3"/>
  <c r="B127" i="3"/>
  <c r="AF126" i="3"/>
  <c r="W126" i="3" s="1"/>
  <c r="V126" i="3"/>
  <c r="S126" i="3"/>
  <c r="B126" i="3"/>
  <c r="AF125" i="3"/>
  <c r="W125" i="3" s="1"/>
  <c r="V125" i="3"/>
  <c r="S125" i="3"/>
  <c r="B125" i="3"/>
  <c r="S124" i="3"/>
  <c r="B124" i="3"/>
  <c r="AF123" i="3"/>
  <c r="W123" i="3" s="1"/>
  <c r="V123" i="3"/>
  <c r="S123" i="3"/>
  <c r="B123" i="3"/>
  <c r="AF122" i="3"/>
  <c r="W122" i="3" s="1"/>
  <c r="V122" i="3"/>
  <c r="S122" i="3"/>
  <c r="B122" i="3"/>
  <c r="AF121" i="3"/>
  <c r="W121" i="3" s="1"/>
  <c r="V121" i="3"/>
  <c r="S121" i="3"/>
  <c r="B121" i="3"/>
  <c r="R120" i="3"/>
  <c r="Q120" i="3"/>
  <c r="L120" i="3"/>
  <c r="K120" i="3"/>
  <c r="J120" i="3"/>
  <c r="I120" i="3"/>
  <c r="T120" i="3" s="1"/>
  <c r="AF119" i="3"/>
  <c r="W119" i="3" s="1"/>
  <c r="V119" i="3"/>
  <c r="S119" i="3"/>
  <c r="B119" i="3"/>
  <c r="AF118" i="3"/>
  <c r="W118" i="3" s="1"/>
  <c r="V118" i="3"/>
  <c r="S118" i="3"/>
  <c r="B118" i="3"/>
  <c r="AD117" i="3"/>
  <c r="W117" i="3" s="1"/>
  <c r="V117" i="3"/>
  <c r="S117" i="3"/>
  <c r="B117" i="3"/>
  <c r="AD116" i="3"/>
  <c r="W116" i="3" s="1"/>
  <c r="V116" i="3"/>
  <c r="S116" i="3"/>
  <c r="B116" i="3"/>
  <c r="AD115" i="3"/>
  <c r="W115" i="3" s="1"/>
  <c r="V115" i="3"/>
  <c r="S115" i="3"/>
  <c r="B115" i="3"/>
  <c r="AD114" i="3"/>
  <c r="W114" i="3" s="1"/>
  <c r="V114" i="3"/>
  <c r="S114" i="3"/>
  <c r="B114" i="3"/>
  <c r="AD113" i="3"/>
  <c r="W113" i="3" s="1"/>
  <c r="V113" i="3"/>
  <c r="S113" i="3"/>
  <c r="B113" i="3"/>
  <c r="AD112" i="3"/>
  <c r="W112" i="3" s="1"/>
  <c r="V112" i="3"/>
  <c r="S112" i="3"/>
  <c r="B112" i="3"/>
  <c r="AF111" i="3"/>
  <c r="W111" i="3" s="1"/>
  <c r="V111" i="3"/>
  <c r="S111" i="3"/>
  <c r="B111" i="3"/>
  <c r="AJ110" i="3"/>
  <c r="W110" i="3" s="1"/>
  <c r="V110" i="3"/>
  <c r="S110" i="3"/>
  <c r="B110" i="3"/>
  <c r="AD109" i="3"/>
  <c r="W109" i="3" s="1"/>
  <c r="V109" i="3"/>
  <c r="S109" i="3"/>
  <c r="B109" i="3"/>
  <c r="AF108" i="3"/>
  <c r="W108" i="3" s="1"/>
  <c r="V108" i="3"/>
  <c r="S108" i="3"/>
  <c r="B108" i="3"/>
  <c r="AJ107" i="3"/>
  <c r="W107" i="3" s="1"/>
  <c r="V107" i="3"/>
  <c r="S107" i="3"/>
  <c r="B107" i="3"/>
  <c r="AF106" i="3"/>
  <c r="W106" i="3" s="1"/>
  <c r="V106" i="3"/>
  <c r="S106" i="3"/>
  <c r="B106" i="3"/>
  <c r="AJ105" i="3"/>
  <c r="W105" i="3" s="1"/>
  <c r="V105" i="3"/>
  <c r="S105" i="3"/>
  <c r="B105" i="3"/>
  <c r="AF104" i="3"/>
  <c r="W104" i="3" s="1"/>
  <c r="V104" i="3"/>
  <c r="S104" i="3"/>
  <c r="B104" i="3"/>
  <c r="AF103" i="3"/>
  <c r="W103" i="3" s="1"/>
  <c r="V103" i="3"/>
  <c r="S103" i="3"/>
  <c r="B103" i="3"/>
  <c r="AF102" i="3"/>
  <c r="W102" i="3" s="1"/>
  <c r="V102" i="3"/>
  <c r="S102" i="3"/>
  <c r="B102" i="3"/>
  <c r="AF101" i="3"/>
  <c r="W101" i="3" s="1"/>
  <c r="V101" i="3"/>
  <c r="S101" i="3"/>
  <c r="B101" i="3"/>
  <c r="AF100" i="3"/>
  <c r="W100" i="3" s="1"/>
  <c r="V100" i="3"/>
  <c r="S100" i="3"/>
  <c r="B100" i="3"/>
  <c r="AF99" i="3"/>
  <c r="W99" i="3" s="1"/>
  <c r="V99" i="3"/>
  <c r="S99" i="3"/>
  <c r="B99" i="3"/>
  <c r="AF98" i="3"/>
  <c r="W98" i="3" s="1"/>
  <c r="V98" i="3"/>
  <c r="S98" i="3"/>
  <c r="B98" i="3"/>
  <c r="AF97" i="3"/>
  <c r="W97" i="3" s="1"/>
  <c r="V97" i="3"/>
  <c r="S97" i="3"/>
  <c r="B97" i="3"/>
  <c r="AF96" i="3"/>
  <c r="W96" i="3" s="1"/>
  <c r="V96" i="3"/>
  <c r="S96" i="3"/>
  <c r="B96" i="3"/>
  <c r="AF95" i="3"/>
  <c r="W95" i="3" s="1"/>
  <c r="V95" i="3"/>
  <c r="S95" i="3"/>
  <c r="B95" i="3"/>
  <c r="AJ94" i="3"/>
  <c r="W94" i="3" s="1"/>
  <c r="V94" i="3"/>
  <c r="S94" i="3"/>
  <c r="B94" i="3"/>
  <c r="AJ93" i="3"/>
  <c r="W93" i="3" s="1"/>
  <c r="V93" i="3"/>
  <c r="S93" i="3"/>
  <c r="B93" i="3"/>
  <c r="AF92" i="3"/>
  <c r="W92" i="3" s="1"/>
  <c r="V92" i="3"/>
  <c r="S92" i="3"/>
  <c r="B92" i="3"/>
  <c r="AH91" i="3"/>
  <c r="W91" i="3" s="1"/>
  <c r="V91" i="3"/>
  <c r="S91" i="3"/>
  <c r="B91" i="3"/>
  <c r="AJ90" i="3"/>
  <c r="W90" i="3" s="1"/>
  <c r="V90" i="3"/>
  <c r="S90" i="3"/>
  <c r="B90" i="3"/>
  <c r="AF89" i="3"/>
  <c r="W89" i="3" s="1"/>
  <c r="V89" i="3"/>
  <c r="S89" i="3"/>
  <c r="B89" i="3"/>
  <c r="AJ88" i="3"/>
  <c r="W88" i="3" s="1"/>
  <c r="V88" i="3"/>
  <c r="S88" i="3"/>
  <c r="B88" i="3"/>
  <c r="AJ87" i="3"/>
  <c r="W87" i="3" s="1"/>
  <c r="V87" i="3"/>
  <c r="S87" i="3"/>
  <c r="B87" i="3"/>
  <c r="AJ86" i="3"/>
  <c r="W86" i="3" s="1"/>
  <c r="V86" i="3"/>
  <c r="S86" i="3"/>
  <c r="B86" i="3"/>
  <c r="AJ85" i="3"/>
  <c r="W85" i="3" s="1"/>
  <c r="V85" i="3"/>
  <c r="S85" i="3"/>
  <c r="B85" i="3"/>
  <c r="AF84" i="3"/>
  <c r="W84" i="3" s="1"/>
  <c r="V84" i="3"/>
  <c r="S84" i="3"/>
  <c r="B84" i="3"/>
  <c r="W83" i="3"/>
  <c r="V83" i="3"/>
  <c r="S83" i="3"/>
  <c r="B83" i="3"/>
  <c r="AD82" i="3"/>
  <c r="W82" i="3" s="1"/>
  <c r="V82" i="3"/>
  <c r="S82" i="3"/>
  <c r="B82" i="3"/>
  <c r="AD81" i="3"/>
  <c r="W81" i="3" s="1"/>
  <c r="V81" i="3"/>
  <c r="S81" i="3"/>
  <c r="B81" i="3"/>
  <c r="AF80" i="3"/>
  <c r="W80" i="3" s="1"/>
  <c r="V80" i="3"/>
  <c r="S80" i="3"/>
  <c r="B80" i="3"/>
  <c r="AF79" i="3"/>
  <c r="W79" i="3" s="1"/>
  <c r="V79" i="3"/>
  <c r="S79" i="3"/>
  <c r="B79" i="3"/>
  <c r="AF78" i="3"/>
  <c r="W78" i="3" s="1"/>
  <c r="V78" i="3"/>
  <c r="S78" i="3"/>
  <c r="B78" i="3"/>
  <c r="AF77" i="3"/>
  <c r="W77" i="3" s="1"/>
  <c r="V77" i="3"/>
  <c r="S77" i="3"/>
  <c r="B77" i="3"/>
  <c r="AJ76" i="3"/>
  <c r="W76" i="3" s="1"/>
  <c r="V76" i="3"/>
  <c r="S76" i="3"/>
  <c r="B76" i="3"/>
  <c r="AF75" i="3"/>
  <c r="W75" i="3" s="1"/>
  <c r="V75" i="3"/>
  <c r="S75" i="3"/>
  <c r="B75" i="3"/>
  <c r="AJ74" i="3"/>
  <c r="W74" i="3" s="1"/>
  <c r="V74" i="3"/>
  <c r="S74" i="3"/>
  <c r="B74" i="3"/>
  <c r="AF73" i="3"/>
  <c r="W73" i="3" s="1"/>
  <c r="V73" i="3"/>
  <c r="S73" i="3"/>
  <c r="B73" i="3"/>
  <c r="AF72" i="3"/>
  <c r="W72" i="3" s="1"/>
  <c r="V72" i="3"/>
  <c r="S72" i="3"/>
  <c r="B72" i="3"/>
  <c r="AF71" i="3"/>
  <c r="W71" i="3" s="1"/>
  <c r="V71" i="3"/>
  <c r="S71" i="3"/>
  <c r="B71" i="3"/>
  <c r="AN70" i="3"/>
  <c r="W70" i="3" s="1"/>
  <c r="V70" i="3"/>
  <c r="S70" i="3"/>
  <c r="B70" i="3"/>
  <c r="AJ69" i="3"/>
  <c r="W69" i="3" s="1"/>
  <c r="V69" i="3"/>
  <c r="S69" i="3"/>
  <c r="B69" i="3"/>
  <c r="AF68" i="3"/>
  <c r="W68" i="3" s="1"/>
  <c r="V68" i="3"/>
  <c r="S68" i="3"/>
  <c r="B68" i="3"/>
  <c r="AF67" i="3"/>
  <c r="W67" i="3" s="1"/>
  <c r="V67" i="3"/>
  <c r="S67" i="3"/>
  <c r="B67" i="3"/>
  <c r="AF66" i="3"/>
  <c r="W66" i="3" s="1"/>
  <c r="V66" i="3"/>
  <c r="S66" i="3"/>
  <c r="B66" i="3"/>
  <c r="AJ65" i="3"/>
  <c r="W65" i="3" s="1"/>
  <c r="V65" i="3"/>
  <c r="S65" i="3"/>
  <c r="B65" i="3"/>
  <c r="AJ64" i="3"/>
  <c r="W64" i="3" s="1"/>
  <c r="V64" i="3"/>
  <c r="S64" i="3"/>
  <c r="B64" i="3"/>
  <c r="AD63" i="3"/>
  <c r="W63" i="3" s="1"/>
  <c r="V63" i="3"/>
  <c r="S63" i="3"/>
  <c r="B63" i="3"/>
  <c r="AJ62" i="3"/>
  <c r="W62" i="3" s="1"/>
  <c r="V62" i="3"/>
  <c r="S62" i="3"/>
  <c r="B62" i="3"/>
  <c r="AF61" i="3"/>
  <c r="W61" i="3" s="1"/>
  <c r="V61" i="3"/>
  <c r="S61" i="3"/>
  <c r="B61" i="3"/>
  <c r="AF60" i="3"/>
  <c r="W60" i="3" s="1"/>
  <c r="V60" i="3"/>
  <c r="S60" i="3"/>
  <c r="B60" i="3"/>
  <c r="AF59" i="3"/>
  <c r="W59" i="3" s="1"/>
  <c r="V59" i="3"/>
  <c r="S59" i="3"/>
  <c r="B59" i="3"/>
  <c r="AF58" i="3"/>
  <c r="W58" i="3" s="1"/>
  <c r="V58" i="3"/>
  <c r="S58" i="3"/>
  <c r="B58" i="3"/>
  <c r="AF57" i="3"/>
  <c r="W57" i="3" s="1"/>
  <c r="V57" i="3"/>
  <c r="S57" i="3"/>
  <c r="B57" i="3"/>
  <c r="AF56" i="3"/>
  <c r="W56" i="3" s="1"/>
  <c r="V56" i="3"/>
  <c r="S56" i="3"/>
  <c r="B56" i="3"/>
  <c r="AF55" i="3"/>
  <c r="W55" i="3" s="1"/>
  <c r="V55" i="3"/>
  <c r="S55" i="3"/>
  <c r="B55" i="3"/>
  <c r="AF54" i="3"/>
  <c r="W54" i="3" s="1"/>
  <c r="V54" i="3"/>
  <c r="S54" i="3"/>
  <c r="B54" i="3"/>
  <c r="AF53" i="3"/>
  <c r="W53" i="3" s="1"/>
  <c r="V53" i="3"/>
  <c r="S53" i="3"/>
  <c r="B53" i="3"/>
  <c r="AF52" i="3"/>
  <c r="W52" i="3" s="1"/>
  <c r="V52" i="3"/>
  <c r="S52" i="3"/>
  <c r="B52" i="3"/>
  <c r="AF51" i="3"/>
  <c r="W51" i="3" s="1"/>
  <c r="V51" i="3"/>
  <c r="S51" i="3"/>
  <c r="B51" i="3"/>
  <c r="AF50" i="3"/>
  <c r="W50" i="3" s="1"/>
  <c r="V50" i="3"/>
  <c r="S50" i="3"/>
  <c r="B50" i="3"/>
  <c r="AF49" i="3"/>
  <c r="W49" i="3" s="1"/>
  <c r="V49" i="3"/>
  <c r="S49" i="3"/>
  <c r="B49" i="3"/>
  <c r="AF48" i="3"/>
  <c r="W48" i="3" s="1"/>
  <c r="V48" i="3"/>
  <c r="S48" i="3"/>
  <c r="B48" i="3"/>
  <c r="AF47" i="3"/>
  <c r="W47" i="3" s="1"/>
  <c r="V47" i="3"/>
  <c r="S47" i="3"/>
  <c r="B47" i="3"/>
  <c r="AD46" i="3"/>
  <c r="W46" i="3" s="1"/>
  <c r="V46" i="3"/>
  <c r="S46" i="3"/>
  <c r="B46" i="3"/>
  <c r="AJ45" i="3"/>
  <c r="W45" i="3" s="1"/>
  <c r="V45" i="3"/>
  <c r="S45" i="3"/>
  <c r="B45" i="3"/>
  <c r="AF44" i="3"/>
  <c r="W44" i="3" s="1"/>
  <c r="V44" i="3"/>
  <c r="S44" i="3"/>
  <c r="B44" i="3"/>
  <c r="AF43" i="3"/>
  <c r="W43" i="3" s="1"/>
  <c r="V43" i="3"/>
  <c r="S43" i="3"/>
  <c r="B43" i="3"/>
  <c r="AD42" i="3"/>
  <c r="W42" i="3" s="1"/>
  <c r="V42" i="3"/>
  <c r="S42" i="3"/>
  <c r="B42" i="3"/>
  <c r="AD41" i="3"/>
  <c r="W41" i="3" s="1"/>
  <c r="V41" i="3"/>
  <c r="S41" i="3"/>
  <c r="B41" i="3"/>
  <c r="AD40" i="3"/>
  <c r="W40" i="3" s="1"/>
  <c r="V40" i="3"/>
  <c r="S40" i="3"/>
  <c r="B40" i="3"/>
  <c r="AD39" i="3"/>
  <c r="W39" i="3" s="1"/>
  <c r="V39" i="3"/>
  <c r="S39" i="3"/>
  <c r="B39" i="3"/>
  <c r="AF38" i="3"/>
  <c r="W38" i="3" s="1"/>
  <c r="V38" i="3"/>
  <c r="S38" i="3"/>
  <c r="B38" i="3"/>
  <c r="AF37" i="3"/>
  <c r="W37" i="3" s="1"/>
  <c r="V37" i="3"/>
  <c r="S37" i="3"/>
  <c r="B37" i="3"/>
  <c r="V36" i="3"/>
  <c r="S36" i="3"/>
  <c r="B36" i="3"/>
  <c r="W35" i="3"/>
  <c r="V35" i="3"/>
  <c r="S35" i="3"/>
  <c r="B35" i="3"/>
  <c r="AF34" i="3"/>
  <c r="W34" i="3" s="1"/>
  <c r="V34" i="3"/>
  <c r="S34" i="3"/>
  <c r="B34" i="3"/>
  <c r="AF33" i="3"/>
  <c r="W33" i="3" s="1"/>
  <c r="V33" i="3"/>
  <c r="S33" i="3"/>
  <c r="B33" i="3"/>
  <c r="AF32" i="3"/>
  <c r="W32" i="3" s="1"/>
  <c r="V32" i="3"/>
  <c r="S32" i="3"/>
  <c r="B32" i="3"/>
  <c r="AF31" i="3"/>
  <c r="W31" i="3" s="1"/>
  <c r="V31" i="3"/>
  <c r="S31" i="3"/>
  <c r="B31" i="3"/>
  <c r="AF30" i="3"/>
  <c r="W30" i="3" s="1"/>
  <c r="V30" i="3"/>
  <c r="S30" i="3"/>
  <c r="B30" i="3"/>
  <c r="AD29" i="3"/>
  <c r="W29" i="3" s="1"/>
  <c r="V29" i="3"/>
  <c r="S29" i="3"/>
  <c r="B29" i="3"/>
  <c r="AF28" i="3"/>
  <c r="W28" i="3" s="1"/>
  <c r="V28" i="3"/>
  <c r="S28" i="3"/>
  <c r="B28" i="3"/>
  <c r="AF27" i="3"/>
  <c r="W27" i="3" s="1"/>
  <c r="V27" i="3"/>
  <c r="S27" i="3"/>
  <c r="B27" i="3"/>
  <c r="AF26" i="3"/>
  <c r="W26" i="3" s="1"/>
  <c r="V26" i="3"/>
  <c r="S26" i="3"/>
  <c r="B26" i="3"/>
  <c r="AF25" i="3"/>
  <c r="W25" i="3" s="1"/>
  <c r="V25" i="3"/>
  <c r="S25" i="3"/>
  <c r="B25" i="3"/>
  <c r="AF24" i="3"/>
  <c r="W24" i="3" s="1"/>
  <c r="V24" i="3"/>
  <c r="S24" i="3"/>
  <c r="B24" i="3"/>
  <c r="AF23" i="3"/>
  <c r="W23" i="3" s="1"/>
  <c r="V23" i="3"/>
  <c r="S23" i="3"/>
  <c r="B23" i="3"/>
  <c r="AF22" i="3"/>
  <c r="W22" i="3" s="1"/>
  <c r="V22" i="3"/>
  <c r="S22" i="3"/>
  <c r="B22" i="3"/>
  <c r="AF21" i="3"/>
  <c r="W21" i="3" s="1"/>
  <c r="V21" i="3"/>
  <c r="S21" i="3"/>
  <c r="B21" i="3"/>
  <c r="AJ20" i="3"/>
  <c r="W20" i="3" s="1"/>
  <c r="V20" i="3"/>
  <c r="S20" i="3"/>
  <c r="B20" i="3"/>
  <c r="AF19" i="3"/>
  <c r="W19" i="3" s="1"/>
  <c r="V19" i="3"/>
  <c r="S19" i="3"/>
  <c r="B19" i="3"/>
  <c r="AD18" i="3"/>
  <c r="W18" i="3" s="1"/>
  <c r="V18" i="3"/>
  <c r="S18" i="3"/>
  <c r="B18" i="3"/>
  <c r="AF17" i="3"/>
  <c r="W17" i="3" s="1"/>
  <c r="V17" i="3"/>
  <c r="S17" i="3"/>
  <c r="B17" i="3"/>
  <c r="AF16" i="3"/>
  <c r="W16" i="3" s="1"/>
  <c r="V16" i="3"/>
  <c r="S16" i="3"/>
  <c r="B16" i="3"/>
  <c r="R15" i="3"/>
  <c r="Q15" i="3"/>
  <c r="L15" i="3"/>
  <c r="K15" i="3"/>
  <c r="J15" i="3"/>
  <c r="I15" i="3"/>
  <c r="T15" i="3" s="1"/>
  <c r="S391" i="3" l="1"/>
  <c r="T1321" i="3"/>
  <c r="S1271" i="3"/>
  <c r="V374" i="3"/>
  <c r="T1274" i="3"/>
  <c r="V1274" i="3" s="1"/>
  <c r="S1314" i="3"/>
  <c r="S1313" i="3" s="1"/>
  <c r="S422" i="3"/>
  <c r="V341" i="3"/>
  <c r="W1335" i="3"/>
  <c r="V1335" i="3" s="1"/>
  <c r="V811" i="3"/>
  <c r="S1274" i="3"/>
  <c r="V641" i="3"/>
  <c r="S906" i="3"/>
  <c r="V1245" i="3"/>
  <c r="W1303" i="3"/>
  <c r="J14" i="3"/>
  <c r="V1198" i="3"/>
  <c r="S1327" i="3"/>
  <c r="V418" i="3"/>
  <c r="V1293" i="3"/>
  <c r="S513" i="3"/>
  <c r="V233" i="3"/>
  <c r="V451" i="3"/>
  <c r="W456" i="3"/>
  <c r="V462" i="3"/>
  <c r="S461" i="3"/>
  <c r="W732" i="3"/>
  <c r="W1160" i="3"/>
  <c r="W663" i="3"/>
  <c r="W273" i="3"/>
  <c r="S438" i="3"/>
  <c r="V739" i="3"/>
  <c r="W800" i="3"/>
  <c r="W870" i="3"/>
  <c r="S884" i="3"/>
  <c r="V1157" i="3"/>
  <c r="V1202" i="3"/>
  <c r="V1241" i="3"/>
  <c r="V1243" i="3"/>
  <c r="V1251" i="3"/>
  <c r="V1291" i="3"/>
  <c r="W133" i="3"/>
  <c r="S295" i="3"/>
  <c r="V381" i="3"/>
  <c r="V524" i="3"/>
  <c r="W724" i="3"/>
  <c r="V861" i="3"/>
  <c r="V909" i="3"/>
  <c r="V1098" i="3"/>
  <c r="V1286" i="3"/>
  <c r="V1124" i="3"/>
  <c r="V671" i="3"/>
  <c r="V347" i="3"/>
  <c r="V385" i="3"/>
  <c r="V389" i="3"/>
  <c r="V455" i="3"/>
  <c r="V516" i="3"/>
  <c r="V522" i="3"/>
  <c r="V621" i="3"/>
  <c r="V736" i="3"/>
  <c r="V743" i="3"/>
  <c r="V794" i="3"/>
  <c r="S894" i="3"/>
  <c r="V986" i="3"/>
  <c r="V996" i="3"/>
  <c r="V1113" i="3"/>
  <c r="V1140" i="3"/>
  <c r="V1210" i="3"/>
  <c r="V1214" i="3"/>
  <c r="V1226" i="3"/>
  <c r="I1314" i="3"/>
  <c r="I1313" i="3" s="1"/>
  <c r="W1330" i="3"/>
  <c r="V1330" i="3" s="1"/>
  <c r="J1327" i="3"/>
  <c r="S120" i="3"/>
  <c r="V336" i="3"/>
  <c r="W337" i="3"/>
  <c r="V344" i="3"/>
  <c r="V356" i="3"/>
  <c r="V377" i="3"/>
  <c r="W378" i="3"/>
  <c r="V416" i="3"/>
  <c r="V467" i="3"/>
  <c r="V503" i="3"/>
  <c r="S746" i="3"/>
  <c r="K815" i="3"/>
  <c r="K550" i="3" s="1"/>
  <c r="S861" i="3"/>
  <c r="V994" i="3"/>
  <c r="V1194" i="3"/>
  <c r="V1204" i="3"/>
  <c r="V1247" i="3"/>
  <c r="S1261" i="3"/>
  <c r="J1314" i="3"/>
  <c r="J1313" i="3" s="1"/>
  <c r="Q1314" i="3"/>
  <c r="Q1313" i="3" s="1"/>
  <c r="L1314" i="3"/>
  <c r="L1313" i="3" s="1"/>
  <c r="V905" i="3"/>
  <c r="V897" i="3"/>
  <c r="S408" i="3"/>
  <c r="V518" i="3"/>
  <c r="V728" i="3"/>
  <c r="V806" i="3"/>
  <c r="V810" i="3"/>
  <c r="V205" i="3"/>
  <c r="V319" i="3"/>
  <c r="S336" i="3"/>
  <c r="V379" i="3"/>
  <c r="V406" i="3"/>
  <c r="V422" i="3"/>
  <c r="V429" i="3"/>
  <c r="V459" i="3"/>
  <c r="S479" i="3"/>
  <c r="W533" i="3"/>
  <c r="V544" i="3"/>
  <c r="V639" i="3"/>
  <c r="V679" i="3"/>
  <c r="V149" i="3"/>
  <c r="V150" i="3"/>
  <c r="W232" i="3"/>
  <c r="S233" i="3"/>
  <c r="S272" i="3"/>
  <c r="S279" i="3"/>
  <c r="V289" i="3"/>
  <c r="V351" i="3"/>
  <c r="W355" i="3"/>
  <c r="S374" i="3"/>
  <c r="W395" i="3"/>
  <c r="V398" i="3"/>
  <c r="V492" i="3"/>
  <c r="S505" i="3"/>
  <c r="S544" i="3"/>
  <c r="V551" i="3"/>
  <c r="V846" i="3"/>
  <c r="V990" i="3"/>
  <c r="V1008" i="3"/>
  <c r="V1125" i="3"/>
  <c r="S1169" i="3"/>
  <c r="V1207" i="3"/>
  <c r="V1230" i="3"/>
  <c r="V1235" i="3"/>
  <c r="V1239" i="3"/>
  <c r="V1257" i="3"/>
  <c r="S1306" i="3"/>
  <c r="K1314" i="3"/>
  <c r="K1313" i="3" s="1"/>
  <c r="R1314" i="3"/>
  <c r="R1313" i="3" s="1"/>
  <c r="L1327" i="3"/>
  <c r="T1332" i="3"/>
  <c r="V832" i="3"/>
  <c r="S832" i="3"/>
  <c r="V884" i="3"/>
  <c r="V894" i="3"/>
  <c r="V910" i="3"/>
  <c r="V930" i="3"/>
  <c r="S930" i="3"/>
  <c r="V945" i="3"/>
  <c r="V998" i="3"/>
  <c r="S1098" i="3"/>
  <c r="V1173" i="3"/>
  <c r="V1233" i="3"/>
  <c r="S717" i="3"/>
  <c r="V759" i="3"/>
  <c r="S868" i="3"/>
  <c r="S925" i="3"/>
  <c r="S933" i="3"/>
  <c r="V954" i="3"/>
  <c r="V960" i="3"/>
  <c r="S979" i="3"/>
  <c r="S1018" i="3"/>
  <c r="S1029" i="3"/>
  <c r="V1278" i="3"/>
  <c r="V1282" i="3"/>
  <c r="K1327" i="3"/>
  <c r="R1327" i="3"/>
  <c r="S897" i="3"/>
  <c r="S547" i="3"/>
  <c r="V715" i="3"/>
  <c r="W715" i="3"/>
  <c r="V733" i="3"/>
  <c r="W733" i="3"/>
  <c r="Q14" i="3"/>
  <c r="V371" i="3"/>
  <c r="V386" i="3"/>
  <c r="S539" i="3"/>
  <c r="W629" i="3"/>
  <c r="V629" i="3"/>
  <c r="R14" i="3"/>
  <c r="W36" i="3"/>
  <c r="V367" i="3"/>
  <c r="V479" i="3"/>
  <c r="V497" i="3"/>
  <c r="S497" i="3"/>
  <c r="V729" i="3"/>
  <c r="W729" i="3"/>
  <c r="V737" i="3"/>
  <c r="W737" i="3"/>
  <c r="V744" i="3"/>
  <c r="W744" i="3"/>
  <c r="V757" i="3"/>
  <c r="S815" i="3"/>
  <c r="K1028" i="3"/>
  <c r="L14" i="3"/>
  <c r="V626" i="3"/>
  <c r="W626" i="3"/>
  <c r="V630" i="3"/>
  <c r="W630" i="3"/>
  <c r="V740" i="3"/>
  <c r="W740" i="3"/>
  <c r="W236" i="3"/>
  <c r="V236" i="3"/>
  <c r="S347" i="3"/>
  <c r="W415" i="3"/>
  <c r="V415" i="3"/>
  <c r="V625" i="3"/>
  <c r="V714" i="3"/>
  <c r="W730" i="3"/>
  <c r="V730" i="3"/>
  <c r="W738" i="3"/>
  <c r="V738" i="3"/>
  <c r="W745" i="3"/>
  <c r="V745" i="3"/>
  <c r="V758" i="3"/>
  <c r="W758" i="3"/>
  <c r="W898" i="3"/>
  <c r="I1327" i="3"/>
  <c r="T1328" i="3"/>
  <c r="P1327" i="3"/>
  <c r="W1329" i="3"/>
  <c r="V1329" i="3" s="1"/>
  <c r="S15" i="3"/>
  <c r="W348" i="3"/>
  <c r="V348" i="3"/>
  <c r="W410" i="3"/>
  <c r="V410" i="3"/>
  <c r="K14" i="3"/>
  <c r="S266" i="3"/>
  <c r="V286" i="3"/>
  <c r="W346" i="3"/>
  <c r="V346" i="3"/>
  <c r="V376" i="3"/>
  <c r="W384" i="3"/>
  <c r="V384" i="3"/>
  <c r="S398" i="3"/>
  <c r="V409" i="3"/>
  <c r="W510" i="3"/>
  <c r="W535" i="3"/>
  <c r="V535" i="3"/>
  <c r="W545" i="3"/>
  <c r="V545" i="3"/>
  <c r="R550" i="3"/>
  <c r="W631" i="3"/>
  <c r="V631" i="3"/>
  <c r="W635" i="3"/>
  <c r="V635" i="3"/>
  <c r="V640" i="3"/>
  <c r="W640" i="3"/>
  <c r="W734" i="3"/>
  <c r="V734" i="3"/>
  <c r="W741" i="3"/>
  <c r="V741" i="3"/>
  <c r="S794" i="3"/>
  <c r="V866" i="3"/>
  <c r="T1334" i="3"/>
  <c r="S150" i="3"/>
  <c r="V272" i="3"/>
  <c r="V279" i="3"/>
  <c r="V303" i="3"/>
  <c r="V354" i="3"/>
  <c r="S381" i="3"/>
  <c r="V396" i="3"/>
  <c r="V408" i="3"/>
  <c r="V412" i="3"/>
  <c r="V449" i="3"/>
  <c r="V453" i="3"/>
  <c r="V457" i="3"/>
  <c r="V461" i="3"/>
  <c r="S492" i="3"/>
  <c r="S524" i="3"/>
  <c r="V540" i="3"/>
  <c r="W540" i="3"/>
  <c r="W623" i="3"/>
  <c r="V623" i="3"/>
  <c r="V634" i="3"/>
  <c r="W634" i="3"/>
  <c r="W712" i="3"/>
  <c r="V712" i="3"/>
  <c r="W755" i="3"/>
  <c r="V755" i="3"/>
  <c r="V808" i="3"/>
  <c r="V912" i="3"/>
  <c r="S954" i="3"/>
  <c r="V958" i="3"/>
  <c r="S973" i="3"/>
  <c r="J1028" i="3"/>
  <c r="R1028" i="3"/>
  <c r="V266" i="3"/>
  <c r="S286" i="3"/>
  <c r="S344" i="3"/>
  <c r="V357" i="3"/>
  <c r="V474" i="3"/>
  <c r="S467" i="3"/>
  <c r="W537" i="3"/>
  <c r="V538" i="3"/>
  <c r="V601" i="3"/>
  <c r="V622" i="3"/>
  <c r="W622" i="3"/>
  <c r="W627" i="3"/>
  <c r="V627" i="3"/>
  <c r="V633" i="3"/>
  <c r="W680" i="3"/>
  <c r="V680" i="3"/>
  <c r="V711" i="3"/>
  <c r="W711" i="3"/>
  <c r="W716" i="3"/>
  <c r="V716" i="3"/>
  <c r="J550" i="3"/>
  <c r="V853" i="3"/>
  <c r="S888" i="3"/>
  <c r="V939" i="3"/>
  <c r="W942" i="3"/>
  <c r="V942" i="3"/>
  <c r="S945" i="3"/>
  <c r="V992" i="3"/>
  <c r="V1166" i="3"/>
  <c r="V1249" i="3"/>
  <c r="V1269" i="3"/>
  <c r="V1296" i="3"/>
  <c r="W1301" i="3"/>
  <c r="V1301" i="3"/>
  <c r="V1302" i="3"/>
  <c r="T1317" i="3"/>
  <c r="V505" i="3"/>
  <c r="V508" i="3"/>
  <c r="S516" i="3"/>
  <c r="S529" i="3"/>
  <c r="V539" i="3"/>
  <c r="V717" i="3"/>
  <c r="W783" i="3"/>
  <c r="V815" i="3"/>
  <c r="V843" i="3"/>
  <c r="V849" i="3"/>
  <c r="V857" i="3"/>
  <c r="V868" i="3"/>
  <c r="V888" i="3"/>
  <c r="S912" i="3"/>
  <c r="V943" i="3"/>
  <c r="V1004" i="3"/>
  <c r="V1169" i="3"/>
  <c r="V1200" i="3"/>
  <c r="V1255" i="3"/>
  <c r="V1289" i="3"/>
  <c r="V1300" i="3"/>
  <c r="V1306" i="3"/>
  <c r="S986" i="3"/>
  <c r="S998" i="3"/>
  <c r="S1113" i="3"/>
  <c r="S1173" i="3"/>
  <c r="V1176" i="3"/>
  <c r="V1180" i="3"/>
  <c r="S1187" i="3"/>
  <c r="S1194" i="3"/>
  <c r="V1212" i="3"/>
  <c r="V1216" i="3"/>
  <c r="S1278" i="3"/>
  <c r="S1286" i="3"/>
  <c r="W1316" i="3"/>
  <c r="V1316" i="3" s="1"/>
  <c r="W1320" i="3"/>
  <c r="W1331" i="3"/>
  <c r="V1331" i="3" s="1"/>
  <c r="W1333" i="3"/>
  <c r="V1333" i="3" s="1"/>
  <c r="Q1327" i="3"/>
  <c r="V1006" i="3"/>
  <c r="V1010" i="3"/>
  <c r="S1157" i="3"/>
  <c r="W1172" i="3"/>
  <c r="V1178" i="3"/>
  <c r="S1204" i="3"/>
  <c r="S1282" i="3"/>
  <c r="V1304" i="3"/>
  <c r="V1310" i="3"/>
  <c r="T1315" i="3"/>
  <c r="W1318" i="3"/>
  <c r="V1318" i="3" s="1"/>
  <c r="V120" i="3"/>
  <c r="W124" i="3"/>
  <c r="V124" i="3"/>
  <c r="W181" i="3"/>
  <c r="V181" i="3"/>
  <c r="V239" i="3"/>
  <c r="S341" i="3"/>
  <c r="S412" i="3"/>
  <c r="S418" i="3"/>
  <c r="V511" i="3"/>
  <c r="V513" i="3"/>
  <c r="V527" i="3"/>
  <c r="W536" i="3"/>
  <c r="V536" i="3"/>
  <c r="V438" i="3"/>
  <c r="V441" i="3"/>
  <c r="W465" i="3"/>
  <c r="V465" i="3"/>
  <c r="S196" i="3"/>
  <c r="V284" i="3"/>
  <c r="S289" i="3"/>
  <c r="V295" i="3"/>
  <c r="W310" i="3"/>
  <c r="V310" i="3"/>
  <c r="S429" i="3"/>
  <c r="V490" i="3"/>
  <c r="S551" i="3"/>
  <c r="W620" i="3"/>
  <c r="V620" i="3"/>
  <c r="W624" i="3"/>
  <c r="V624" i="3"/>
  <c r="W628" i="3"/>
  <c r="V628" i="3"/>
  <c r="W632" i="3"/>
  <c r="V632" i="3"/>
  <c r="W636" i="3"/>
  <c r="V636" i="3"/>
  <c r="W672" i="3"/>
  <c r="V672" i="3"/>
  <c r="V673" i="3"/>
  <c r="W681" i="3"/>
  <c r="V681" i="3"/>
  <c r="W713" i="3"/>
  <c r="V713" i="3"/>
  <c r="W756" i="3"/>
  <c r="V756" i="3"/>
  <c r="V786" i="3"/>
  <c r="I550" i="3"/>
  <c r="T550" i="3" s="1"/>
  <c r="Q550" i="3"/>
  <c r="V301" i="3"/>
  <c r="S319" i="3"/>
  <c r="I14" i="3"/>
  <c r="T14" i="3" s="1"/>
  <c r="V232" i="3"/>
  <c r="V196" i="3"/>
  <c r="S239" i="3"/>
  <c r="W299" i="3"/>
  <c r="V299" i="3"/>
  <c r="S303" i="3"/>
  <c r="S356" i="3"/>
  <c r="V391" i="3"/>
  <c r="W411" i="3"/>
  <c r="V411" i="3"/>
  <c r="V435" i="3"/>
  <c r="V488" i="3"/>
  <c r="W542" i="3"/>
  <c r="V542" i="3"/>
  <c r="S641" i="3"/>
  <c r="V242" i="3"/>
  <c r="S673" i="3"/>
  <c r="W727" i="3"/>
  <c r="V727" i="3"/>
  <c r="W731" i="3"/>
  <c r="V731" i="3"/>
  <c r="W735" i="3"/>
  <c r="V735" i="3"/>
  <c r="W742" i="3"/>
  <c r="V742" i="3"/>
  <c r="V547" i="3"/>
  <c r="L550" i="3"/>
  <c r="V746" i="3"/>
  <c r="S759" i="3"/>
  <c r="S786" i="3"/>
  <c r="V801" i="3"/>
  <c r="S808" i="3"/>
  <c r="V813" i="3"/>
  <c r="V881" i="3"/>
  <c r="V906" i="3"/>
  <c r="V919" i="3"/>
  <c r="V923" i="3"/>
  <c r="V963" i="3"/>
  <c r="S969" i="3"/>
  <c r="V973" i="3"/>
  <c r="V979" i="3"/>
  <c r="S1140" i="3"/>
  <c r="P1319" i="3"/>
  <c r="T1320" i="3"/>
  <c r="V851" i="3"/>
  <c r="V855" i="3"/>
  <c r="V859" i="3"/>
  <c r="V933" i="3"/>
  <c r="V1024" i="3"/>
  <c r="V891" i="3"/>
  <c r="V917" i="3"/>
  <c r="V921" i="3"/>
  <c r="V925" i="3"/>
  <c r="S939" i="3"/>
  <c r="V965" i="3"/>
  <c r="V967" i="3"/>
  <c r="V969" i="3"/>
  <c r="S1010" i="3"/>
  <c r="V1018" i="3"/>
  <c r="V1026" i="3"/>
  <c r="V1029" i="3"/>
  <c r="I1028" i="3"/>
  <c r="T1028" i="3" s="1"/>
  <c r="Q1028" i="3"/>
  <c r="W1104" i="3"/>
  <c r="V1104" i="3"/>
  <c r="L1028" i="3"/>
  <c r="V1154" i="3"/>
  <c r="V1183" i="3"/>
  <c r="V1223" i="3"/>
  <c r="V1109" i="3"/>
  <c r="V1123" i="3"/>
  <c r="S1235" i="3"/>
  <c r="V1259" i="3"/>
  <c r="V1265" i="3"/>
  <c r="V1185" i="3"/>
  <c r="V1187" i="3"/>
  <c r="S1216" i="3"/>
  <c r="S1230" i="3"/>
  <c r="S1251" i="3"/>
  <c r="V1261" i="3"/>
  <c r="V1267" i="3"/>
  <c r="V1271" i="3"/>
  <c r="U529" i="3" l="1"/>
  <c r="U14" i="3" s="1"/>
  <c r="U13" i="3" s="1"/>
  <c r="C26" i="4"/>
  <c r="V1320" i="3"/>
  <c r="U1313" i="3" s="1"/>
  <c r="V550" i="3"/>
  <c r="J13" i="3"/>
  <c r="L13" i="3"/>
  <c r="R13" i="3"/>
  <c r="S1028" i="3"/>
  <c r="S14" i="3"/>
  <c r="K13" i="3"/>
  <c r="Q13" i="3"/>
  <c r="T1327" i="3"/>
  <c r="I13" i="3"/>
  <c r="T13" i="3" s="1"/>
  <c r="T1319" i="3"/>
  <c r="P1314" i="3"/>
  <c r="P1313" i="3" s="1"/>
  <c r="V1028" i="3"/>
  <c r="S550" i="3"/>
  <c r="V529" i="3" l="1"/>
  <c r="T1314" i="3"/>
  <c r="T1313" i="3"/>
  <c r="S13" i="3"/>
  <c r="E19" i="11" l="1"/>
  <c r="AB18" i="11"/>
  <c r="AA18" i="11"/>
  <c r="Z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P238" i="13"/>
  <c r="P236" i="13"/>
  <c r="P234" i="13"/>
  <c r="P232" i="13"/>
  <c r="P230" i="13"/>
  <c r="P229" i="13"/>
  <c r="P227" i="13"/>
  <c r="P225" i="13"/>
  <c r="P223" i="13"/>
  <c r="P221" i="13"/>
  <c r="P219" i="13"/>
  <c r="P217" i="13"/>
  <c r="P215" i="13"/>
  <c r="P214" i="13"/>
  <c r="P213" i="13"/>
  <c r="P212" i="13"/>
  <c r="P210" i="13"/>
  <c r="P208" i="13"/>
  <c r="P206" i="13"/>
  <c r="P204" i="13"/>
  <c r="P203" i="13"/>
  <c r="P202" i="13"/>
  <c r="P200" i="13"/>
  <c r="P199" i="13"/>
  <c r="P197" i="13"/>
  <c r="P196" i="13"/>
  <c r="P194" i="13"/>
  <c r="P192" i="13"/>
  <c r="P191" i="13"/>
  <c r="P190" i="13"/>
  <c r="P189" i="13"/>
  <c r="P188" i="13"/>
  <c r="P186" i="13"/>
  <c r="P184" i="13"/>
  <c r="P183" i="13"/>
  <c r="P181" i="13"/>
  <c r="P180" i="13"/>
  <c r="P178" i="13"/>
  <c r="P177" i="13"/>
  <c r="P176" i="13"/>
  <c r="P175" i="13"/>
  <c r="P174" i="13"/>
  <c r="P173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8" i="13"/>
  <c r="P127" i="13"/>
  <c r="P126" i="13"/>
  <c r="P125" i="13"/>
  <c r="P123" i="13"/>
  <c r="P122" i="13"/>
  <c r="P121" i="13"/>
  <c r="P120" i="13"/>
  <c r="P119" i="13"/>
  <c r="P118" i="13"/>
  <c r="P117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8" i="13"/>
  <c r="P97" i="13"/>
  <c r="P96" i="13"/>
  <c r="P94" i="13"/>
  <c r="P92" i="13"/>
  <c r="P91" i="13"/>
  <c r="P90" i="13"/>
  <c r="P89" i="13"/>
  <c r="P88" i="13"/>
  <c r="P87" i="13"/>
  <c r="P83" i="13"/>
  <c r="P81" i="13"/>
  <c r="P79" i="13"/>
  <c r="P77" i="13"/>
  <c r="P75" i="13"/>
  <c r="P74" i="13"/>
  <c r="P73" i="13"/>
  <c r="P71" i="13"/>
  <c r="P69" i="13"/>
  <c r="P67" i="13"/>
  <c r="P66" i="13"/>
  <c r="P65" i="13"/>
  <c r="P62" i="13"/>
  <c r="P60" i="13"/>
  <c r="P58" i="13"/>
  <c r="P56" i="13"/>
  <c r="P55" i="13"/>
  <c r="P54" i="13"/>
  <c r="P52" i="13"/>
  <c r="P50" i="13"/>
  <c r="P48" i="13"/>
  <c r="P46" i="13"/>
  <c r="P45" i="13"/>
  <c r="P44" i="13"/>
  <c r="P42" i="13"/>
  <c r="P40" i="13"/>
  <c r="P38" i="13"/>
  <c r="P37" i="13"/>
  <c r="P36" i="13"/>
  <c r="P34" i="13"/>
  <c r="P33" i="13"/>
  <c r="P31" i="13"/>
  <c r="P30" i="13"/>
  <c r="P28" i="13"/>
  <c r="P26" i="13"/>
  <c r="P24" i="13"/>
  <c r="P22" i="13"/>
  <c r="P21" i="13"/>
  <c r="P20" i="13"/>
  <c r="P19" i="13"/>
  <c r="P18" i="13"/>
  <c r="P17" i="13"/>
  <c r="P16" i="13"/>
  <c r="P15" i="13"/>
  <c r="P13" i="13"/>
  <c r="AG212" i="8"/>
  <c r="AF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P13" i="8"/>
  <c r="E18" i="11" l="1"/>
  <c r="E17" i="11" s="1"/>
  <c r="D589" i="12" l="1"/>
  <c r="B589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B587" i="12"/>
  <c r="O586" i="12"/>
  <c r="D586" i="12" s="1"/>
  <c r="D582" i="12" s="1"/>
  <c r="B586" i="12"/>
  <c r="D585" i="12"/>
  <c r="B585" i="12"/>
  <c r="D584" i="12"/>
  <c r="B584" i="12"/>
  <c r="D583" i="12"/>
  <c r="B583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N582" i="12"/>
  <c r="M582" i="12"/>
  <c r="L582" i="12"/>
  <c r="K582" i="12"/>
  <c r="J582" i="12"/>
  <c r="I582" i="12"/>
  <c r="H582" i="12"/>
  <c r="G582" i="12"/>
  <c r="F582" i="12"/>
  <c r="E582" i="12"/>
  <c r="D581" i="12"/>
  <c r="B581" i="12"/>
  <c r="D580" i="12"/>
  <c r="B580" i="12"/>
  <c r="D579" i="12"/>
  <c r="B579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77" i="12"/>
  <c r="B577" i="12"/>
  <c r="D576" i="12"/>
  <c r="B576" i="12"/>
  <c r="D575" i="12"/>
  <c r="B575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D573" i="12"/>
  <c r="B573" i="12"/>
  <c r="B572" i="12"/>
  <c r="D571" i="12"/>
  <c r="B571" i="12"/>
  <c r="D570" i="12"/>
  <c r="B570" i="12"/>
  <c r="D569" i="12"/>
  <c r="B569" i="12"/>
  <c r="D568" i="12"/>
  <c r="B568" i="12"/>
  <c r="D567" i="12"/>
  <c r="D566" i="12" s="1"/>
  <c r="B567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5" i="12"/>
  <c r="B565" i="12"/>
  <c r="D564" i="12"/>
  <c r="B564" i="12"/>
  <c r="D563" i="12"/>
  <c r="B563" i="12"/>
  <c r="D562" i="12"/>
  <c r="D561" i="12" s="1"/>
  <c r="B562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0" i="12"/>
  <c r="B560" i="12"/>
  <c r="D559" i="12"/>
  <c r="B559" i="12"/>
  <c r="D558" i="12"/>
  <c r="D557" i="12" s="1"/>
  <c r="B558" i="12"/>
  <c r="AA557" i="12"/>
  <c r="AA549" i="12" s="1"/>
  <c r="Z557" i="12"/>
  <c r="Z549" i="12" s="1"/>
  <c r="Z7" i="12" s="1"/>
  <c r="Y557" i="12"/>
  <c r="X557" i="12"/>
  <c r="W557" i="12"/>
  <c r="W549" i="12" s="1"/>
  <c r="V557" i="12"/>
  <c r="V549" i="12" s="1"/>
  <c r="V7" i="12" s="1"/>
  <c r="U557" i="12"/>
  <c r="T557" i="12"/>
  <c r="S557" i="12"/>
  <c r="S549" i="12" s="1"/>
  <c r="R557" i="12"/>
  <c r="R549" i="12" s="1"/>
  <c r="R7" i="12" s="1"/>
  <c r="Q557" i="12"/>
  <c r="P557" i="12"/>
  <c r="O557" i="12"/>
  <c r="O549" i="12" s="1"/>
  <c r="N557" i="12"/>
  <c r="N549" i="12" s="1"/>
  <c r="N7" i="12" s="1"/>
  <c r="M557" i="12"/>
  <c r="L557" i="12"/>
  <c r="K557" i="12"/>
  <c r="K549" i="12" s="1"/>
  <c r="J557" i="12"/>
  <c r="J549" i="12" s="1"/>
  <c r="J7" i="12" s="1"/>
  <c r="I557" i="12"/>
  <c r="H557" i="12"/>
  <c r="G557" i="12"/>
  <c r="G549" i="12" s="1"/>
  <c r="F557" i="12"/>
  <c r="F549" i="12" s="1"/>
  <c r="F7" i="12" s="1"/>
  <c r="E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Y549" i="12"/>
  <c r="X549" i="12"/>
  <c r="U549" i="12"/>
  <c r="T549" i="12"/>
  <c r="Q549" i="12"/>
  <c r="P549" i="12"/>
  <c r="M549" i="12"/>
  <c r="L549" i="12"/>
  <c r="I549" i="12"/>
  <c r="H549" i="12"/>
  <c r="E549" i="12"/>
  <c r="D548" i="12"/>
  <c r="B548" i="12"/>
  <c r="D547" i="12"/>
  <c r="D545" i="12" s="1"/>
  <c r="B547" i="12"/>
  <c r="D546" i="12"/>
  <c r="B546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4" i="12"/>
  <c r="D543" i="12" s="1"/>
  <c r="B544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2" i="12"/>
  <c r="B542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D540" i="12"/>
  <c r="D538" i="12" s="1"/>
  <c r="B540" i="12"/>
  <c r="D539" i="12"/>
  <c r="B539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7" i="12"/>
  <c r="B537" i="12"/>
  <c r="D536" i="12"/>
  <c r="B536" i="12"/>
  <c r="D535" i="12"/>
  <c r="D534" i="12" s="1"/>
  <c r="B535" i="12"/>
  <c r="AA534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I534" i="12"/>
  <c r="H534" i="12"/>
  <c r="G534" i="12"/>
  <c r="F534" i="12"/>
  <c r="E534" i="12"/>
  <c r="D533" i="12"/>
  <c r="B533" i="12"/>
  <c r="D532" i="12"/>
  <c r="B532" i="12"/>
  <c r="D531" i="12"/>
  <c r="B531" i="12"/>
  <c r="D530" i="12"/>
  <c r="B530" i="12"/>
  <c r="D529" i="12"/>
  <c r="B529" i="12"/>
  <c r="D528" i="12"/>
  <c r="D526" i="12" s="1"/>
  <c r="B528" i="12"/>
  <c r="D527" i="12"/>
  <c r="B527" i="12"/>
  <c r="AA526" i="12"/>
  <c r="Z526" i="12"/>
  <c r="Y526" i="12"/>
  <c r="X526" i="12"/>
  <c r="W526" i="12"/>
  <c r="V526" i="12"/>
  <c r="U526" i="12"/>
  <c r="T526" i="12"/>
  <c r="S526" i="12"/>
  <c r="R526" i="12"/>
  <c r="Q526" i="12"/>
  <c r="P526" i="12"/>
  <c r="O526" i="12"/>
  <c r="N526" i="12"/>
  <c r="M526" i="12"/>
  <c r="L526" i="12"/>
  <c r="K526" i="12"/>
  <c r="J526" i="12"/>
  <c r="I526" i="12"/>
  <c r="H526" i="12"/>
  <c r="G526" i="12"/>
  <c r="F526" i="12"/>
  <c r="E526" i="12"/>
  <c r="D525" i="12"/>
  <c r="B525" i="12"/>
  <c r="B524" i="12"/>
  <c r="D523" i="12"/>
  <c r="B523" i="12"/>
  <c r="D522" i="12"/>
  <c r="B522" i="12"/>
  <c r="D521" i="12"/>
  <c r="B521" i="12"/>
  <c r="D520" i="12"/>
  <c r="B520" i="12"/>
  <c r="D519" i="12"/>
  <c r="B519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I518" i="12"/>
  <c r="H518" i="12"/>
  <c r="G518" i="12"/>
  <c r="F518" i="12"/>
  <c r="E518" i="12"/>
  <c r="D518" i="12"/>
  <c r="D517" i="12"/>
  <c r="B517" i="12"/>
  <c r="B516" i="12"/>
  <c r="D515" i="12"/>
  <c r="B515" i="12"/>
  <c r="D514" i="12"/>
  <c r="B514" i="12"/>
  <c r="D513" i="12"/>
  <c r="B513" i="12"/>
  <c r="D512" i="12"/>
  <c r="B512" i="12"/>
  <c r="D511" i="12"/>
  <c r="B511" i="12"/>
  <c r="D510" i="12"/>
  <c r="B510" i="12"/>
  <c r="D509" i="12"/>
  <c r="B509" i="12"/>
  <c r="D508" i="12"/>
  <c r="B508" i="12"/>
  <c r="D507" i="12"/>
  <c r="D506" i="12" s="1"/>
  <c r="B507" i="12"/>
  <c r="AA506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I506" i="12"/>
  <c r="H506" i="12"/>
  <c r="G506" i="12"/>
  <c r="F506" i="12"/>
  <c r="E506" i="12"/>
  <c r="D505" i="12"/>
  <c r="B505" i="12"/>
  <c r="D504" i="12"/>
  <c r="D503" i="12" s="1"/>
  <c r="B504" i="12"/>
  <c r="AA503" i="12"/>
  <c r="Z503" i="12"/>
  <c r="Y503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J503" i="12"/>
  <c r="I503" i="12"/>
  <c r="H503" i="12"/>
  <c r="G503" i="12"/>
  <c r="F503" i="12"/>
  <c r="E503" i="12"/>
  <c r="D502" i="12"/>
  <c r="B502" i="12"/>
  <c r="AA501" i="12"/>
  <c r="Z501" i="12"/>
  <c r="Y501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J501" i="12"/>
  <c r="I501" i="12"/>
  <c r="H501" i="12"/>
  <c r="G501" i="12"/>
  <c r="F501" i="12"/>
  <c r="E501" i="12"/>
  <c r="D501" i="12"/>
  <c r="D500" i="12"/>
  <c r="D499" i="12" s="1"/>
  <c r="B500" i="12"/>
  <c r="AA499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I499" i="12"/>
  <c r="H499" i="12"/>
  <c r="G499" i="12"/>
  <c r="F499" i="12"/>
  <c r="E499" i="12"/>
  <c r="B498" i="12"/>
  <c r="B497" i="12"/>
  <c r="B496" i="12"/>
  <c r="B495" i="12"/>
  <c r="B494" i="12"/>
  <c r="B493" i="12"/>
  <c r="B492" i="12"/>
  <c r="B491" i="12"/>
  <c r="B490" i="12"/>
  <c r="D489" i="12"/>
  <c r="B489" i="12"/>
  <c r="D488" i="12"/>
  <c r="B488" i="12"/>
  <c r="D487" i="12"/>
  <c r="B487" i="12"/>
  <c r="D486" i="12"/>
  <c r="B486" i="12"/>
  <c r="D485" i="12"/>
  <c r="B485" i="12"/>
  <c r="D484" i="12"/>
  <c r="B484" i="12"/>
  <c r="D483" i="12"/>
  <c r="B483" i="12"/>
  <c r="D482" i="12"/>
  <c r="B482" i="12"/>
  <c r="D481" i="12"/>
  <c r="B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D474" i="12"/>
  <c r="B474" i="12"/>
  <c r="D473" i="12"/>
  <c r="B473" i="12"/>
  <c r="D472" i="12"/>
  <c r="B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B458" i="12"/>
  <c r="B457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D437" i="12" s="1"/>
  <c r="B439" i="12"/>
  <c r="D438" i="12"/>
  <c r="B438" i="12"/>
  <c r="AA437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I437" i="12"/>
  <c r="H437" i="12"/>
  <c r="G437" i="12"/>
  <c r="F437" i="12"/>
  <c r="E437" i="12"/>
  <c r="B436" i="12"/>
  <c r="B435" i="12"/>
  <c r="B434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B396" i="12"/>
  <c r="O395" i="12"/>
  <c r="D395" i="12" s="1"/>
  <c r="B395" i="12"/>
  <c r="D394" i="12"/>
  <c r="B394" i="12"/>
  <c r="D393" i="12"/>
  <c r="B393" i="12"/>
  <c r="D392" i="12"/>
  <c r="B392" i="12"/>
  <c r="I391" i="12"/>
  <c r="D391" i="12"/>
  <c r="B391" i="12"/>
  <c r="D390" i="12"/>
  <c r="D389" i="12" s="1"/>
  <c r="B390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8" i="12"/>
  <c r="B388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D386" i="12"/>
  <c r="D385" i="12" s="1"/>
  <c r="B386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4" i="12"/>
  <c r="B384" i="12"/>
  <c r="D383" i="12"/>
  <c r="B383" i="12"/>
  <c r="D382" i="12"/>
  <c r="B382" i="12"/>
  <c r="D381" i="12"/>
  <c r="D380" i="12" s="1"/>
  <c r="B381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79" i="12"/>
  <c r="B379" i="12"/>
  <c r="B378" i="12"/>
  <c r="D377" i="12"/>
  <c r="B377" i="12"/>
  <c r="D376" i="12"/>
  <c r="B376" i="12"/>
  <c r="D375" i="12"/>
  <c r="B375" i="12"/>
  <c r="D374" i="12"/>
  <c r="B374" i="12"/>
  <c r="D373" i="12"/>
  <c r="B373" i="12"/>
  <c r="D372" i="12"/>
  <c r="B372" i="12"/>
  <c r="D371" i="12"/>
  <c r="B371" i="12"/>
  <c r="D370" i="12"/>
  <c r="B370" i="12"/>
  <c r="D369" i="12"/>
  <c r="B369" i="12"/>
  <c r="D368" i="12"/>
  <c r="B368" i="12"/>
  <c r="B367" i="12"/>
  <c r="D366" i="12"/>
  <c r="B366" i="12"/>
  <c r="D365" i="12"/>
  <c r="B365" i="12"/>
  <c r="D364" i="12"/>
  <c r="B364" i="12"/>
  <c r="D363" i="12"/>
  <c r="B363" i="12"/>
  <c r="D362" i="12"/>
  <c r="B362" i="12"/>
  <c r="D361" i="12"/>
  <c r="B361" i="12"/>
  <c r="D360" i="12"/>
  <c r="B360" i="12"/>
  <c r="D359" i="12"/>
  <c r="B359" i="12"/>
  <c r="D358" i="12"/>
  <c r="B358" i="12"/>
  <c r="D357" i="12"/>
  <c r="B357" i="12"/>
  <c r="D356" i="12"/>
  <c r="B356" i="12"/>
  <c r="D355" i="12"/>
  <c r="B355" i="12"/>
  <c r="D354" i="12"/>
  <c r="B354" i="12"/>
  <c r="D353" i="12"/>
  <c r="B353" i="12"/>
  <c r="D352" i="12"/>
  <c r="B352" i="12"/>
  <c r="D351" i="12"/>
  <c r="B351" i="12"/>
  <c r="D350" i="12"/>
  <c r="B350" i="12"/>
  <c r="D349" i="12"/>
  <c r="B349" i="12"/>
  <c r="D348" i="12"/>
  <c r="B348" i="12"/>
  <c r="D347" i="12"/>
  <c r="B347" i="12"/>
  <c r="D346" i="12"/>
  <c r="B346" i="12"/>
  <c r="D345" i="12"/>
  <c r="B345" i="12"/>
  <c r="D344" i="12"/>
  <c r="B344" i="12"/>
  <c r="D343" i="12"/>
  <c r="B343" i="12"/>
  <c r="D342" i="12"/>
  <c r="B342" i="12"/>
  <c r="D341" i="12"/>
  <c r="B341" i="12"/>
  <c r="D340" i="12"/>
  <c r="B340" i="12"/>
  <c r="D339" i="12"/>
  <c r="B339" i="12"/>
  <c r="D338" i="12"/>
  <c r="B338" i="12"/>
  <c r="D337" i="12"/>
  <c r="B337" i="12"/>
  <c r="D336" i="12"/>
  <c r="B336" i="12"/>
  <c r="D335" i="12"/>
  <c r="B335" i="12"/>
  <c r="D334" i="12"/>
  <c r="B334" i="12"/>
  <c r="D333" i="12"/>
  <c r="B333" i="12"/>
  <c r="D332" i="12"/>
  <c r="B332" i="12"/>
  <c r="D331" i="12"/>
  <c r="B331" i="12"/>
  <c r="D330" i="12"/>
  <c r="B330" i="12"/>
  <c r="D329" i="12"/>
  <c r="B329" i="12"/>
  <c r="D328" i="12"/>
  <c r="B328" i="12"/>
  <c r="D327" i="12"/>
  <c r="B327" i="12"/>
  <c r="D326" i="12"/>
  <c r="B326" i="12"/>
  <c r="D325" i="12"/>
  <c r="B325" i="12"/>
  <c r="D324" i="12"/>
  <c r="B324" i="12"/>
  <c r="D323" i="12"/>
  <c r="B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D311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D302" i="12"/>
  <c r="B302" i="12"/>
  <c r="D301" i="12"/>
  <c r="B301" i="12"/>
  <c r="D300" i="12"/>
  <c r="B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D292" i="12"/>
  <c r="B292" i="12"/>
  <c r="D291" i="12"/>
  <c r="B291" i="12"/>
  <c r="D290" i="12"/>
  <c r="B290" i="12"/>
  <c r="D289" i="12"/>
  <c r="B289" i="12"/>
  <c r="D288" i="12"/>
  <c r="B288" i="12"/>
  <c r="D287" i="12"/>
  <c r="B287" i="12"/>
  <c r="D286" i="12"/>
  <c r="B286" i="12"/>
  <c r="D285" i="12"/>
  <c r="B285" i="12"/>
  <c r="D284" i="12"/>
  <c r="B284" i="12"/>
  <c r="O283" i="12"/>
  <c r="D283" i="12" s="1"/>
  <c r="B283" i="12"/>
  <c r="M282" i="12"/>
  <c r="D282" i="12" s="1"/>
  <c r="B282" i="12"/>
  <c r="D281" i="12"/>
  <c r="B281" i="12"/>
  <c r="M280" i="12"/>
  <c r="D280" i="12" s="1"/>
  <c r="B280" i="12"/>
  <c r="D279" i="12"/>
  <c r="B279" i="12"/>
  <c r="D278" i="12"/>
  <c r="B278" i="12"/>
  <c r="M277" i="12"/>
  <c r="D277" i="12" s="1"/>
  <c r="B277" i="12"/>
  <c r="D276" i="12"/>
  <c r="B276" i="12"/>
  <c r="L275" i="12"/>
  <c r="D275" i="12" s="1"/>
  <c r="B275" i="12"/>
  <c r="D274" i="12"/>
  <c r="B274" i="12"/>
  <c r="M273" i="12"/>
  <c r="D273" i="12"/>
  <c r="B273" i="12"/>
  <c r="D272" i="12"/>
  <c r="B272" i="12"/>
  <c r="L271" i="12"/>
  <c r="D271" i="12"/>
  <c r="B271" i="12"/>
  <c r="D270" i="12"/>
  <c r="B270" i="12"/>
  <c r="D269" i="12"/>
  <c r="B269" i="12"/>
  <c r="D268" i="12"/>
  <c r="B268" i="12"/>
  <c r="L267" i="12"/>
  <c r="D267" i="12" s="1"/>
  <c r="B267" i="12"/>
  <c r="D266" i="12"/>
  <c r="B266" i="12"/>
  <c r="D265" i="12"/>
  <c r="B265" i="12"/>
  <c r="M264" i="12"/>
  <c r="D264" i="12"/>
  <c r="B264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N263" i="12"/>
  <c r="M263" i="12"/>
  <c r="K263" i="12"/>
  <c r="J263" i="12"/>
  <c r="I263" i="12"/>
  <c r="H263" i="12"/>
  <c r="G263" i="12"/>
  <c r="F263" i="12"/>
  <c r="E263" i="12"/>
  <c r="D262" i="12"/>
  <c r="B262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B249" i="12"/>
  <c r="B248" i="12"/>
  <c r="B247" i="12"/>
  <c r="B246" i="12"/>
  <c r="B245" i="12"/>
  <c r="D244" i="12"/>
  <c r="B244" i="12"/>
  <c r="D243" i="12"/>
  <c r="B243" i="12"/>
  <c r="D242" i="12"/>
  <c r="D241" i="12" s="1"/>
  <c r="B242" i="12"/>
  <c r="AA241" i="12"/>
  <c r="Z241" i="12"/>
  <c r="Y241" i="12"/>
  <c r="Y7" i="12" s="1"/>
  <c r="X241" i="12"/>
  <c r="W241" i="12"/>
  <c r="V241" i="12"/>
  <c r="U241" i="12"/>
  <c r="U7" i="12" s="1"/>
  <c r="T241" i="12"/>
  <c r="S241" i="12"/>
  <c r="R241" i="12"/>
  <c r="Q241" i="12"/>
  <c r="Q7" i="12" s="1"/>
  <c r="P241" i="12"/>
  <c r="O241" i="12"/>
  <c r="N241" i="12"/>
  <c r="M241" i="12"/>
  <c r="L241" i="12"/>
  <c r="K241" i="12"/>
  <c r="J241" i="12"/>
  <c r="I241" i="12"/>
  <c r="I7" i="12" s="1"/>
  <c r="H241" i="12"/>
  <c r="G241" i="12"/>
  <c r="F241" i="12"/>
  <c r="E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D225" i="12" s="1"/>
  <c r="B227" i="12"/>
  <c r="D226" i="12"/>
  <c r="B226" i="12"/>
  <c r="AA225" i="12"/>
  <c r="AA7" i="12" s="1"/>
  <c r="Z225" i="12"/>
  <c r="Y225" i="12"/>
  <c r="X225" i="12"/>
  <c r="X7" i="12" s="1"/>
  <c r="W225" i="12"/>
  <c r="W7" i="12" s="1"/>
  <c r="V225" i="12"/>
  <c r="U225" i="12"/>
  <c r="T225" i="12"/>
  <c r="T7" i="12" s="1"/>
  <c r="S225" i="12"/>
  <c r="S7" i="12" s="1"/>
  <c r="R225" i="12"/>
  <c r="Q225" i="12"/>
  <c r="P225" i="12"/>
  <c r="P7" i="12" s="1"/>
  <c r="O225" i="12"/>
  <c r="N225" i="12"/>
  <c r="M225" i="12"/>
  <c r="L225" i="12"/>
  <c r="K225" i="12"/>
  <c r="K7" i="12" s="1"/>
  <c r="J225" i="12"/>
  <c r="I225" i="12"/>
  <c r="H225" i="12"/>
  <c r="H7" i="12" s="1"/>
  <c r="G225" i="12"/>
  <c r="F225" i="12"/>
  <c r="E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D208" i="12"/>
  <c r="B208" i="12"/>
  <c r="D207" i="12"/>
  <c r="B207" i="12"/>
  <c r="D206" i="12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M188" i="12"/>
  <c r="D188" i="12" s="1"/>
  <c r="B188" i="12"/>
  <c r="B187" i="12"/>
  <c r="B186" i="12"/>
  <c r="B185" i="12"/>
  <c r="B184" i="12"/>
  <c r="B183" i="12"/>
  <c r="B182" i="12"/>
  <c r="B181" i="12"/>
  <c r="B180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D154" i="12"/>
  <c r="B154" i="12"/>
  <c r="D153" i="12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D137" i="12"/>
  <c r="B137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D120" i="12"/>
  <c r="B120" i="12"/>
  <c r="D119" i="12"/>
  <c r="B119" i="12"/>
  <c r="D118" i="12"/>
  <c r="B118" i="12"/>
  <c r="D117" i="12"/>
  <c r="B117" i="12"/>
  <c r="D116" i="12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B104" i="12"/>
  <c r="B103" i="12"/>
  <c r="O102" i="12"/>
  <c r="D102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O67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D52" i="12"/>
  <c r="B52" i="12"/>
  <c r="D51" i="12"/>
  <c r="B51" i="12"/>
  <c r="D50" i="12"/>
  <c r="B50" i="12"/>
  <c r="D49" i="12"/>
  <c r="B49" i="12"/>
  <c r="D48" i="12"/>
  <c r="B48" i="12"/>
  <c r="D47" i="12"/>
  <c r="B47" i="12"/>
  <c r="D46" i="12"/>
  <c r="B46" i="12"/>
  <c r="D45" i="12"/>
  <c r="B45" i="12"/>
  <c r="D44" i="12"/>
  <c r="B44" i="12"/>
  <c r="D43" i="12"/>
  <c r="B43" i="12"/>
  <c r="D42" i="12"/>
  <c r="B42" i="12"/>
  <c r="D41" i="12"/>
  <c r="B41" i="12"/>
  <c r="D40" i="12"/>
  <c r="B40" i="12"/>
  <c r="N39" i="12"/>
  <c r="M39" i="12"/>
  <c r="G39" i="12"/>
  <c r="D39" i="12" s="1"/>
  <c r="B39" i="12"/>
  <c r="D38" i="12"/>
  <c r="B38" i="12"/>
  <c r="D37" i="12"/>
  <c r="B37" i="12"/>
  <c r="D36" i="12"/>
  <c r="B36" i="12"/>
  <c r="D35" i="12"/>
  <c r="B35" i="12"/>
  <c r="D34" i="12"/>
  <c r="B34" i="12"/>
  <c r="D33" i="12"/>
  <c r="B33" i="12"/>
  <c r="E32" i="12"/>
  <c r="D32" i="12" s="1"/>
  <c r="B32" i="12"/>
  <c r="D31" i="12"/>
  <c r="B31" i="12"/>
  <c r="D30" i="12"/>
  <c r="B30" i="12"/>
  <c r="D29" i="12"/>
  <c r="B29" i="12"/>
  <c r="D28" i="12"/>
  <c r="B28" i="12"/>
  <c r="D27" i="12"/>
  <c r="B27" i="12"/>
  <c r="L26" i="12"/>
  <c r="D26" i="12" s="1"/>
  <c r="B26" i="12"/>
  <c r="G25" i="12"/>
  <c r="D25" i="12" s="1"/>
  <c r="B25" i="12"/>
  <c r="L24" i="12"/>
  <c r="D24" i="12"/>
  <c r="B24" i="12"/>
  <c r="D23" i="12"/>
  <c r="B23" i="12"/>
  <c r="D22" i="12"/>
  <c r="B22" i="12"/>
  <c r="D21" i="12"/>
  <c r="B21" i="12"/>
  <c r="L20" i="12"/>
  <c r="D20" i="12" s="1"/>
  <c r="B20" i="12"/>
  <c r="D19" i="12"/>
  <c r="B19" i="12"/>
  <c r="G18" i="12"/>
  <c r="D18" i="12" s="1"/>
  <c r="B18" i="12"/>
  <c r="O17" i="12"/>
  <c r="D17" i="12" s="1"/>
  <c r="B17" i="12"/>
  <c r="D16" i="12"/>
  <c r="B16" i="12"/>
  <c r="D15" i="12"/>
  <c r="B15" i="12"/>
  <c r="M14" i="12"/>
  <c r="M8" i="12" s="1"/>
  <c r="M7" i="12" s="1"/>
  <c r="D14" i="12"/>
  <c r="B14" i="12"/>
  <c r="I13" i="12"/>
  <c r="D13" i="12"/>
  <c r="B13" i="12"/>
  <c r="D12" i="12"/>
  <c r="B12" i="12"/>
  <c r="O11" i="12"/>
  <c r="D11" i="12"/>
  <c r="B11" i="12"/>
  <c r="O10" i="12"/>
  <c r="D10" i="12"/>
  <c r="B10" i="12"/>
  <c r="D9" i="12"/>
  <c r="B9" i="12"/>
  <c r="AA8" i="12"/>
  <c r="Z8" i="12"/>
  <c r="Y8" i="12"/>
  <c r="X8" i="12"/>
  <c r="W8" i="12"/>
  <c r="V8" i="12"/>
  <c r="U8" i="12"/>
  <c r="T8" i="12"/>
  <c r="S8" i="12"/>
  <c r="R8" i="12"/>
  <c r="Q8" i="12"/>
  <c r="P8" i="12"/>
  <c r="N8" i="12"/>
  <c r="K8" i="12"/>
  <c r="J8" i="12"/>
  <c r="I8" i="12"/>
  <c r="H8" i="12"/>
  <c r="F8" i="12"/>
  <c r="B720" i="7"/>
  <c r="B722" i="7"/>
  <c r="B721" i="7"/>
  <c r="B760" i="7"/>
  <c r="B764" i="7"/>
  <c r="B763" i="7"/>
  <c r="B762" i="7"/>
  <c r="B761" i="7"/>
  <c r="B747" i="7"/>
  <c r="B746" i="7"/>
  <c r="B745" i="7"/>
  <c r="B749" i="7"/>
  <c r="B748" i="7"/>
  <c r="B750" i="7"/>
  <c r="B60" i="13"/>
  <c r="K60" i="13"/>
  <c r="K59" i="13" s="1"/>
  <c r="L59" i="13"/>
  <c r="J59" i="13"/>
  <c r="I59" i="13"/>
  <c r="P59" i="13" s="1"/>
  <c r="B61" i="8"/>
  <c r="AE61" i="8"/>
  <c r="AG60" i="8"/>
  <c r="AF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E60" i="8"/>
  <c r="B836" i="7"/>
  <c r="F61" i="8" l="1"/>
  <c r="D8" i="12"/>
  <c r="D7" i="12" s="1"/>
  <c r="D263" i="12"/>
  <c r="D549" i="12"/>
  <c r="G8" i="12"/>
  <c r="G7" i="12" s="1"/>
  <c r="O8" i="12"/>
  <c r="L8" i="12"/>
  <c r="O263" i="12"/>
  <c r="E8" i="12"/>
  <c r="E7" i="12" s="1"/>
  <c r="L263" i="12"/>
  <c r="O582" i="12"/>
  <c r="AE60" i="8"/>
  <c r="B744" i="7"/>
  <c r="F60" i="8" l="1"/>
  <c r="O7" i="12"/>
  <c r="L7" i="12"/>
  <c r="B924" i="7"/>
  <c r="B1026" i="7"/>
  <c r="B835" i="7" l="1"/>
  <c r="B837" i="7"/>
  <c r="B885" i="7"/>
  <c r="B886" i="7"/>
  <c r="CD921" i="7"/>
  <c r="B921" i="7"/>
  <c r="B922" i="7"/>
  <c r="B790" i="7"/>
  <c r="B791" i="7"/>
  <c r="B990" i="7"/>
  <c r="B991" i="7"/>
  <c r="B1022" i="7"/>
  <c r="B1023" i="7"/>
  <c r="B677" i="7"/>
  <c r="B678" i="7"/>
  <c r="B759" i="7"/>
  <c r="CD376" i="7"/>
  <c r="B376" i="7"/>
  <c r="AT379" i="7"/>
  <c r="B379" i="7"/>
  <c r="B378" i="7"/>
  <c r="B377" i="7"/>
  <c r="B676" i="7"/>
  <c r="CD676" i="7"/>
  <c r="B725" i="7"/>
  <c r="B726" i="7"/>
  <c r="B727" i="7"/>
  <c r="B728" i="7"/>
  <c r="B718" i="7" l="1"/>
  <c r="B719" i="7"/>
  <c r="B958" i="7"/>
  <c r="B804" i="7" l="1"/>
  <c r="B805" i="7"/>
  <c r="B806" i="7"/>
  <c r="B1177" i="7"/>
  <c r="B742" i="7"/>
  <c r="B741" i="7"/>
  <c r="B1011" i="7"/>
  <c r="E39" i="10" l="1"/>
  <c r="D39" i="10"/>
  <c r="C39" i="10"/>
  <c r="E29" i="10"/>
  <c r="E9" i="10" s="1"/>
  <c r="D29" i="10"/>
  <c r="C29" i="10"/>
  <c r="E10" i="10"/>
  <c r="D10" i="10"/>
  <c r="D9" i="10" s="1"/>
  <c r="C10" i="10"/>
  <c r="C9" i="10"/>
  <c r="L237" i="13"/>
  <c r="K237" i="13"/>
  <c r="J237" i="13"/>
  <c r="I237" i="13"/>
  <c r="P237" i="13" s="1"/>
  <c r="L235" i="13"/>
  <c r="K235" i="13"/>
  <c r="J235" i="13"/>
  <c r="I235" i="13"/>
  <c r="P235" i="13" s="1"/>
  <c r="L233" i="13"/>
  <c r="K233" i="13"/>
  <c r="J233" i="13"/>
  <c r="I233" i="13"/>
  <c r="P233" i="13" s="1"/>
  <c r="L231" i="13"/>
  <c r="K231" i="13"/>
  <c r="J231" i="13"/>
  <c r="I231" i="13"/>
  <c r="P231" i="13" s="1"/>
  <c r="L228" i="13"/>
  <c r="K228" i="13"/>
  <c r="J228" i="13"/>
  <c r="I228" i="13"/>
  <c r="P228" i="13" s="1"/>
  <c r="K227" i="13"/>
  <c r="K226" i="13" s="1"/>
  <c r="L226" i="13"/>
  <c r="J226" i="13"/>
  <c r="I226" i="13"/>
  <c r="P226" i="13" s="1"/>
  <c r="L224" i="13"/>
  <c r="K224" i="13"/>
  <c r="J224" i="13"/>
  <c r="I224" i="13"/>
  <c r="P224" i="13" s="1"/>
  <c r="L222" i="13"/>
  <c r="K222" i="13"/>
  <c r="J222" i="13"/>
  <c r="I222" i="13"/>
  <c r="P222" i="13" s="1"/>
  <c r="L220" i="13"/>
  <c r="K220" i="13"/>
  <c r="J220" i="13"/>
  <c r="I220" i="13"/>
  <c r="P220" i="13" s="1"/>
  <c r="L218" i="13"/>
  <c r="K218" i="13"/>
  <c r="J218" i="13"/>
  <c r="I218" i="13"/>
  <c r="P218" i="13" s="1"/>
  <c r="L216" i="13"/>
  <c r="K216" i="13"/>
  <c r="J216" i="13"/>
  <c r="I216" i="13"/>
  <c r="P216" i="13" s="1"/>
  <c r="L211" i="13"/>
  <c r="K211" i="13"/>
  <c r="J211" i="13"/>
  <c r="I211" i="13"/>
  <c r="P211" i="13" s="1"/>
  <c r="L209" i="13"/>
  <c r="K209" i="13"/>
  <c r="J209" i="13"/>
  <c r="I209" i="13"/>
  <c r="P209" i="13" s="1"/>
  <c r="L207" i="13"/>
  <c r="K207" i="13"/>
  <c r="J207" i="13"/>
  <c r="I207" i="13"/>
  <c r="P207" i="13" s="1"/>
  <c r="L205" i="13"/>
  <c r="K205" i="13"/>
  <c r="J205" i="13"/>
  <c r="I205" i="13"/>
  <c r="P205" i="13" s="1"/>
  <c r="L201" i="13"/>
  <c r="K201" i="13"/>
  <c r="J201" i="13"/>
  <c r="I201" i="13"/>
  <c r="P201" i="13" s="1"/>
  <c r="L198" i="13"/>
  <c r="K198" i="13"/>
  <c r="J198" i="13"/>
  <c r="I198" i="13"/>
  <c r="P198" i="13" s="1"/>
  <c r="L195" i="13"/>
  <c r="K195" i="13"/>
  <c r="J195" i="13"/>
  <c r="I195" i="13"/>
  <c r="P195" i="13" s="1"/>
  <c r="L193" i="13"/>
  <c r="K193" i="13"/>
  <c r="J193" i="13"/>
  <c r="I193" i="13"/>
  <c r="P193" i="13" s="1"/>
  <c r="K192" i="13"/>
  <c r="K187" i="13" s="1"/>
  <c r="L187" i="13"/>
  <c r="J187" i="13"/>
  <c r="I187" i="13"/>
  <c r="P187" i="13" s="1"/>
  <c r="L185" i="13"/>
  <c r="K185" i="13"/>
  <c r="J185" i="13"/>
  <c r="I185" i="13"/>
  <c r="P185" i="13" s="1"/>
  <c r="L182" i="13"/>
  <c r="K182" i="13"/>
  <c r="J182" i="13"/>
  <c r="I182" i="13"/>
  <c r="P182" i="13" s="1"/>
  <c r="L179" i="13"/>
  <c r="K179" i="13"/>
  <c r="J179" i="13"/>
  <c r="I179" i="13"/>
  <c r="P179" i="13" s="1"/>
  <c r="L172" i="13"/>
  <c r="K172" i="13"/>
  <c r="J172" i="13"/>
  <c r="I172" i="13"/>
  <c r="P172" i="13" s="1"/>
  <c r="B157" i="13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3" i="13" s="1"/>
  <c r="B174" i="13" s="1"/>
  <c r="B175" i="13" s="1"/>
  <c r="B176" i="13" s="1"/>
  <c r="B177" i="13" s="1"/>
  <c r="B178" i="13" s="1"/>
  <c r="B180" i="13" s="1"/>
  <c r="B181" i="13" s="1"/>
  <c r="B183" i="13" s="1"/>
  <c r="B184" i="13" s="1"/>
  <c r="B186" i="13" s="1"/>
  <c r="B188" i="13" s="1"/>
  <c r="B189" i="13" s="1"/>
  <c r="B190" i="13" s="1"/>
  <c r="B191" i="13" s="1"/>
  <c r="B192" i="13" s="1"/>
  <c r="B194" i="13" s="1"/>
  <c r="B196" i="13" s="1"/>
  <c r="B197" i="13" s="1"/>
  <c r="B199" i="13" s="1"/>
  <c r="B200" i="13" s="1"/>
  <c r="B202" i="13" s="1"/>
  <c r="B203" i="13" s="1"/>
  <c r="B204" i="13" s="1"/>
  <c r="B206" i="13" s="1"/>
  <c r="B208" i="13" s="1"/>
  <c r="B210" i="13" s="1"/>
  <c r="B212" i="13" s="1"/>
  <c r="B213" i="13" s="1"/>
  <c r="B214" i="13" s="1"/>
  <c r="B215" i="13" s="1"/>
  <c r="B217" i="13" s="1"/>
  <c r="B219" i="13" s="1"/>
  <c r="B221" i="13" s="1"/>
  <c r="B223" i="13" s="1"/>
  <c r="B225" i="13" s="1"/>
  <c r="B227" i="13" s="1"/>
  <c r="B229" i="13" s="1"/>
  <c r="B230" i="13" s="1"/>
  <c r="B232" i="13" s="1"/>
  <c r="B234" i="13" s="1"/>
  <c r="B236" i="13" s="1"/>
  <c r="B238" i="13" s="1"/>
  <c r="L156" i="13"/>
  <c r="K156" i="13"/>
  <c r="J156" i="13"/>
  <c r="I156" i="13"/>
  <c r="P156" i="13" s="1"/>
  <c r="L129" i="13"/>
  <c r="K129" i="13"/>
  <c r="J129" i="13"/>
  <c r="I129" i="13"/>
  <c r="P129" i="13" s="1"/>
  <c r="L124" i="13"/>
  <c r="K124" i="13"/>
  <c r="J124" i="13"/>
  <c r="I124" i="13"/>
  <c r="P124" i="13" s="1"/>
  <c r="L116" i="13"/>
  <c r="K116" i="13"/>
  <c r="J116" i="13"/>
  <c r="I116" i="13"/>
  <c r="P116" i="13" s="1"/>
  <c r="L99" i="13"/>
  <c r="K99" i="13"/>
  <c r="J99" i="13"/>
  <c r="I99" i="13"/>
  <c r="P99" i="13" s="1"/>
  <c r="L95" i="13"/>
  <c r="K95" i="13"/>
  <c r="J95" i="13"/>
  <c r="I95" i="13"/>
  <c r="P95" i="13" s="1"/>
  <c r="K94" i="13"/>
  <c r="K93" i="13" s="1"/>
  <c r="L93" i="13"/>
  <c r="J93" i="13"/>
  <c r="I93" i="13"/>
  <c r="P93" i="13" s="1"/>
  <c r="L86" i="13"/>
  <c r="K86" i="13"/>
  <c r="J86" i="13"/>
  <c r="I86" i="13"/>
  <c r="P86" i="13" s="1"/>
  <c r="K83" i="13"/>
  <c r="K82" i="13" s="1"/>
  <c r="B83" i="13"/>
  <c r="L82" i="13"/>
  <c r="J82" i="13"/>
  <c r="I82" i="13"/>
  <c r="P82" i="13" s="1"/>
  <c r="K81" i="13"/>
  <c r="K80" i="13" s="1"/>
  <c r="B81" i="13"/>
  <c r="L80" i="13"/>
  <c r="J80" i="13"/>
  <c r="I80" i="13"/>
  <c r="P80" i="13" s="1"/>
  <c r="K79" i="13"/>
  <c r="K78" i="13" s="1"/>
  <c r="B79" i="13"/>
  <c r="L78" i="13"/>
  <c r="J78" i="13"/>
  <c r="I78" i="13"/>
  <c r="P78" i="13" s="1"/>
  <c r="K77" i="13"/>
  <c r="K76" i="13" s="1"/>
  <c r="B77" i="13"/>
  <c r="L76" i="13"/>
  <c r="J76" i="13"/>
  <c r="I76" i="13"/>
  <c r="P76" i="13" s="1"/>
  <c r="K75" i="13"/>
  <c r="B75" i="13"/>
  <c r="K74" i="13"/>
  <c r="B74" i="13"/>
  <c r="K73" i="13"/>
  <c r="B73" i="13"/>
  <c r="L72" i="13"/>
  <c r="J72" i="13"/>
  <c r="I72" i="13"/>
  <c r="P72" i="13" s="1"/>
  <c r="B71" i="13"/>
  <c r="L70" i="13"/>
  <c r="L69" i="13" s="1"/>
  <c r="L68" i="13" s="1"/>
  <c r="K70" i="13"/>
  <c r="J70" i="13"/>
  <c r="I70" i="13"/>
  <c r="P70" i="13" s="1"/>
  <c r="K69" i="13"/>
  <c r="K68" i="13" s="1"/>
  <c r="B69" i="13"/>
  <c r="J68" i="13"/>
  <c r="I68" i="13"/>
  <c r="P68" i="13" s="1"/>
  <c r="B67" i="13"/>
  <c r="B66" i="13"/>
  <c r="K65" i="13"/>
  <c r="K64" i="13" s="1"/>
  <c r="B65" i="13"/>
  <c r="L64" i="13"/>
  <c r="J64" i="13"/>
  <c r="I64" i="13"/>
  <c r="P64" i="13" s="1"/>
  <c r="B62" i="13"/>
  <c r="L61" i="13"/>
  <c r="K61" i="13"/>
  <c r="J61" i="13"/>
  <c r="I61" i="13"/>
  <c r="P61" i="13" s="1"/>
  <c r="K58" i="13"/>
  <c r="K57" i="13" s="1"/>
  <c r="B58" i="13"/>
  <c r="L57" i="13"/>
  <c r="J57" i="13"/>
  <c r="I57" i="13"/>
  <c r="P57" i="13" s="1"/>
  <c r="B56" i="13"/>
  <c r="K55" i="13"/>
  <c r="K53" i="13" s="1"/>
  <c r="B55" i="13"/>
  <c r="B54" i="13"/>
  <c r="L53" i="13"/>
  <c r="J53" i="13"/>
  <c r="I53" i="13"/>
  <c r="P53" i="13" s="1"/>
  <c r="K52" i="13"/>
  <c r="K51" i="13" s="1"/>
  <c r="B52" i="13"/>
  <c r="L51" i="13"/>
  <c r="J51" i="13"/>
  <c r="I51" i="13"/>
  <c r="P51" i="13" s="1"/>
  <c r="K50" i="13"/>
  <c r="K49" i="13" s="1"/>
  <c r="B50" i="13"/>
  <c r="L49" i="13"/>
  <c r="J49" i="13"/>
  <c r="I49" i="13"/>
  <c r="P49" i="13" s="1"/>
  <c r="K48" i="13"/>
  <c r="K47" i="13" s="1"/>
  <c r="B48" i="13"/>
  <c r="L47" i="13"/>
  <c r="J47" i="13"/>
  <c r="I47" i="13"/>
  <c r="P47" i="13" s="1"/>
  <c r="K46" i="13"/>
  <c r="B46" i="13"/>
  <c r="K45" i="13"/>
  <c r="B45" i="13"/>
  <c r="K44" i="13"/>
  <c r="B44" i="13"/>
  <c r="L43" i="13"/>
  <c r="J43" i="13"/>
  <c r="I43" i="13"/>
  <c r="P43" i="13" s="1"/>
  <c r="K42" i="13"/>
  <c r="K41" i="13" s="1"/>
  <c r="B42" i="13"/>
  <c r="L41" i="13"/>
  <c r="J41" i="13"/>
  <c r="I41" i="13"/>
  <c r="P41" i="13" s="1"/>
  <c r="K40" i="13"/>
  <c r="K39" i="13" s="1"/>
  <c r="B40" i="13"/>
  <c r="L39" i="13"/>
  <c r="J39" i="13"/>
  <c r="I39" i="13"/>
  <c r="P39" i="13" s="1"/>
  <c r="K38" i="13"/>
  <c r="B38" i="13"/>
  <c r="K37" i="13"/>
  <c r="B37" i="13"/>
  <c r="K36" i="13"/>
  <c r="B36" i="13"/>
  <c r="L35" i="13"/>
  <c r="J35" i="13"/>
  <c r="I35" i="13"/>
  <c r="P35" i="13" s="1"/>
  <c r="B34" i="13"/>
  <c r="K33" i="13"/>
  <c r="K32" i="13" s="1"/>
  <c r="B33" i="13"/>
  <c r="L32" i="13"/>
  <c r="J32" i="13"/>
  <c r="I32" i="13"/>
  <c r="P32" i="13" s="1"/>
  <c r="K31" i="13"/>
  <c r="B31" i="13"/>
  <c r="K30" i="13"/>
  <c r="B30" i="13"/>
  <c r="L29" i="13"/>
  <c r="J29" i="13"/>
  <c r="I29" i="13"/>
  <c r="P29" i="13" s="1"/>
  <c r="K28" i="13"/>
  <c r="K27" i="13" s="1"/>
  <c r="B28" i="13"/>
  <c r="L27" i="13"/>
  <c r="J27" i="13"/>
  <c r="I27" i="13"/>
  <c r="P27" i="13" s="1"/>
  <c r="K26" i="13"/>
  <c r="K25" i="13" s="1"/>
  <c r="B26" i="13"/>
  <c r="L25" i="13"/>
  <c r="J25" i="13"/>
  <c r="I25" i="13"/>
  <c r="P25" i="13" s="1"/>
  <c r="K24" i="13"/>
  <c r="K23" i="13" s="1"/>
  <c r="B24" i="13"/>
  <c r="L23" i="13"/>
  <c r="J23" i="13"/>
  <c r="I23" i="13"/>
  <c r="P23" i="13" s="1"/>
  <c r="B22" i="13"/>
  <c r="B21" i="13"/>
  <c r="B20" i="13"/>
  <c r="K19" i="13"/>
  <c r="B19" i="13"/>
  <c r="K18" i="13"/>
  <c r="B18" i="13"/>
  <c r="K17" i="13"/>
  <c r="B17" i="13"/>
  <c r="K16" i="13"/>
  <c r="B16" i="13"/>
  <c r="K15" i="13"/>
  <c r="B15" i="13"/>
  <c r="L14" i="13"/>
  <c r="J14" i="13"/>
  <c r="I14" i="13"/>
  <c r="P14" i="13" s="1"/>
  <c r="K13" i="13"/>
  <c r="K12" i="13" s="1"/>
  <c r="B13" i="13"/>
  <c r="L12" i="13"/>
  <c r="J12" i="13"/>
  <c r="I12" i="13"/>
  <c r="P12" i="13" s="1"/>
  <c r="AE239" i="8"/>
  <c r="B239" i="8"/>
  <c r="AG238" i="8"/>
  <c r="AF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E238" i="8"/>
  <c r="AE237" i="8"/>
  <c r="B237" i="8"/>
  <c r="AG236" i="8"/>
  <c r="AF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E236" i="8"/>
  <c r="AE235" i="8"/>
  <c r="B235" i="8"/>
  <c r="AG234" i="8"/>
  <c r="AF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AE233" i="8"/>
  <c r="B233" i="8"/>
  <c r="AG232" i="8"/>
  <c r="AF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E232" i="8"/>
  <c r="AE231" i="8"/>
  <c r="B231" i="8"/>
  <c r="F230" i="8"/>
  <c r="B230" i="8"/>
  <c r="AG229" i="8"/>
  <c r="AF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E229" i="8"/>
  <c r="AE228" i="8"/>
  <c r="B228" i="8"/>
  <c r="AG227" i="8"/>
  <c r="AF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E227" i="8"/>
  <c r="AE226" i="8"/>
  <c r="B226" i="8"/>
  <c r="AG225" i="8"/>
  <c r="AF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E225" i="8"/>
  <c r="AE224" i="8"/>
  <c r="B224" i="8"/>
  <c r="AG223" i="8"/>
  <c r="AF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E223" i="8"/>
  <c r="AE222" i="8"/>
  <c r="B222" i="8"/>
  <c r="AG221" i="8"/>
  <c r="AF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E221" i="8"/>
  <c r="F220" i="8"/>
  <c r="B220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E219" i="8"/>
  <c r="F218" i="8"/>
  <c r="B218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E217" i="8"/>
  <c r="AE216" i="8"/>
  <c r="B216" i="8"/>
  <c r="AE215" i="8"/>
  <c r="B215" i="8"/>
  <c r="AE214" i="8"/>
  <c r="B214" i="8"/>
  <c r="AE213" i="8"/>
  <c r="B213" i="8"/>
  <c r="E212" i="8"/>
  <c r="AE211" i="8"/>
  <c r="B211" i="8"/>
  <c r="AE209" i="8"/>
  <c r="B209" i="8"/>
  <c r="AG208" i="8"/>
  <c r="AF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E208" i="8"/>
  <c r="AE207" i="8"/>
  <c r="B207" i="8"/>
  <c r="AG206" i="8"/>
  <c r="AF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E206" i="8"/>
  <c r="AE205" i="8"/>
  <c r="B205" i="8"/>
  <c r="AE204" i="8"/>
  <c r="B204" i="8"/>
  <c r="P203" i="8"/>
  <c r="B203" i="8"/>
  <c r="AG202" i="8"/>
  <c r="AF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O202" i="8"/>
  <c r="N202" i="8"/>
  <c r="M202" i="8"/>
  <c r="L202" i="8"/>
  <c r="K202" i="8"/>
  <c r="J202" i="8"/>
  <c r="I202" i="8"/>
  <c r="H202" i="8"/>
  <c r="G202" i="8"/>
  <c r="E202" i="8"/>
  <c r="AE201" i="8"/>
  <c r="B201" i="8"/>
  <c r="AE200" i="8"/>
  <c r="B200" i="8"/>
  <c r="AG199" i="8"/>
  <c r="AF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E199" i="8"/>
  <c r="AE198" i="8"/>
  <c r="B198" i="8"/>
  <c r="AE197" i="8"/>
  <c r="B197" i="8"/>
  <c r="AG196" i="8"/>
  <c r="AF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E196" i="8"/>
  <c r="F195" i="8"/>
  <c r="B195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E194" i="8"/>
  <c r="AE193" i="8"/>
  <c r="B193" i="8"/>
  <c r="AE192" i="8"/>
  <c r="B192" i="8"/>
  <c r="AE191" i="8"/>
  <c r="B191" i="8"/>
  <c r="AE190" i="8"/>
  <c r="B190" i="8"/>
  <c r="AE189" i="8"/>
  <c r="B189" i="8"/>
  <c r="AG188" i="8"/>
  <c r="AF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E188" i="8"/>
  <c r="AE187" i="8"/>
  <c r="B187" i="8"/>
  <c r="AG186" i="8"/>
  <c r="AF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E186" i="8"/>
  <c r="AE185" i="8"/>
  <c r="B185" i="8"/>
  <c r="F184" i="8"/>
  <c r="B184" i="8"/>
  <c r="AG183" i="8"/>
  <c r="AF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E183" i="8"/>
  <c r="F182" i="8"/>
  <c r="B182" i="8"/>
  <c r="F181" i="8"/>
  <c r="B181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E180" i="8"/>
  <c r="AE179" i="8"/>
  <c r="B179" i="8"/>
  <c r="AE178" i="8"/>
  <c r="B178" i="8"/>
  <c r="AE177" i="8"/>
  <c r="B177" i="8"/>
  <c r="AE176" i="8"/>
  <c r="B176" i="8"/>
  <c r="AE175" i="8"/>
  <c r="B175" i="8"/>
  <c r="AE174" i="8"/>
  <c r="B174" i="8"/>
  <c r="AG173" i="8"/>
  <c r="AF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E173" i="8"/>
  <c r="AE172" i="8"/>
  <c r="B172" i="8"/>
  <c r="AE171" i="8"/>
  <c r="B171" i="8"/>
  <c r="F170" i="8"/>
  <c r="B170" i="8"/>
  <c r="AE169" i="8"/>
  <c r="B169" i="8"/>
  <c r="F168" i="8"/>
  <c r="B168" i="8"/>
  <c r="F167" i="8"/>
  <c r="B167" i="8"/>
  <c r="F166" i="8"/>
  <c r="B166" i="8"/>
  <c r="F165" i="8"/>
  <c r="B165" i="8"/>
  <c r="F164" i="8"/>
  <c r="B164" i="8"/>
  <c r="F163" i="8"/>
  <c r="B163" i="8"/>
  <c r="F162" i="8"/>
  <c r="B162" i="8"/>
  <c r="F161" i="8"/>
  <c r="B161" i="8"/>
  <c r="F160" i="8"/>
  <c r="B160" i="8"/>
  <c r="F159" i="8"/>
  <c r="B159" i="8"/>
  <c r="F158" i="8"/>
  <c r="B158" i="8"/>
  <c r="AG157" i="8"/>
  <c r="AF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E157" i="8"/>
  <c r="AE156" i="8"/>
  <c r="B156" i="8"/>
  <c r="AE155" i="8"/>
  <c r="B155" i="8"/>
  <c r="AE154" i="8"/>
  <c r="B154" i="8"/>
  <c r="AE153" i="8"/>
  <c r="B153" i="8"/>
  <c r="AE152" i="8"/>
  <c r="B152" i="8"/>
  <c r="AE151" i="8"/>
  <c r="B151" i="8"/>
  <c r="AE150" i="8"/>
  <c r="B150" i="8"/>
  <c r="AE149" i="8"/>
  <c r="B149" i="8"/>
  <c r="AE148" i="8"/>
  <c r="B148" i="8"/>
  <c r="AE147" i="8"/>
  <c r="B147" i="8"/>
  <c r="F146" i="8"/>
  <c r="B146" i="8"/>
  <c r="AE145" i="8"/>
  <c r="B145" i="8"/>
  <c r="AE144" i="8"/>
  <c r="B144" i="8"/>
  <c r="AE143" i="8"/>
  <c r="B143" i="8"/>
  <c r="AE142" i="8"/>
  <c r="B142" i="8"/>
  <c r="AE141" i="8"/>
  <c r="B141" i="8"/>
  <c r="AE140" i="8"/>
  <c r="B140" i="8"/>
  <c r="F139" i="8"/>
  <c r="B139" i="8"/>
  <c r="AE138" i="8"/>
  <c r="B138" i="8"/>
  <c r="F137" i="8"/>
  <c r="B137" i="8"/>
  <c r="F136" i="8"/>
  <c r="B136" i="8"/>
  <c r="AE135" i="8"/>
  <c r="B135" i="8"/>
  <c r="AE134" i="8"/>
  <c r="B134" i="8"/>
  <c r="AE133" i="8"/>
  <c r="B133" i="8"/>
  <c r="AE132" i="8"/>
  <c r="B132" i="8"/>
  <c r="B131" i="8"/>
  <c r="AG130" i="8"/>
  <c r="AF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E130" i="8"/>
  <c r="F129" i="8"/>
  <c r="B129" i="8"/>
  <c r="AE128" i="8"/>
  <c r="B128" i="8"/>
  <c r="F127" i="8"/>
  <c r="B127" i="8"/>
  <c r="F126" i="8"/>
  <c r="B126" i="8"/>
  <c r="AG125" i="8"/>
  <c r="AF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E125" i="8"/>
  <c r="AE124" i="8"/>
  <c r="B124" i="8"/>
  <c r="AE123" i="8"/>
  <c r="B123" i="8"/>
  <c r="F122" i="8"/>
  <c r="B122" i="8"/>
  <c r="F121" i="8"/>
  <c r="B121" i="8"/>
  <c r="F120" i="8"/>
  <c r="B120" i="8"/>
  <c r="AE119" i="8"/>
  <c r="B119" i="8"/>
  <c r="F118" i="8"/>
  <c r="B118" i="8"/>
  <c r="AG117" i="8"/>
  <c r="AF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E117" i="8"/>
  <c r="AE116" i="8"/>
  <c r="B116" i="8"/>
  <c r="F115" i="8"/>
  <c r="B115" i="8"/>
  <c r="AE114" i="8"/>
  <c r="B114" i="8"/>
  <c r="AE113" i="8"/>
  <c r="B113" i="8"/>
  <c r="F112" i="8"/>
  <c r="B112" i="8"/>
  <c r="F111" i="8"/>
  <c r="B111" i="8"/>
  <c r="F110" i="8"/>
  <c r="B110" i="8"/>
  <c r="F109" i="8"/>
  <c r="B109" i="8"/>
  <c r="F108" i="8"/>
  <c r="B108" i="8"/>
  <c r="AE107" i="8"/>
  <c r="B107" i="8"/>
  <c r="AE106" i="8"/>
  <c r="B106" i="8"/>
  <c r="F105" i="8"/>
  <c r="B105" i="8"/>
  <c r="F104" i="8"/>
  <c r="B104" i="8"/>
  <c r="F103" i="8"/>
  <c r="B103" i="8"/>
  <c r="F102" i="8"/>
  <c r="B102" i="8"/>
  <c r="F101" i="8"/>
  <c r="B101" i="8"/>
  <c r="AG100" i="8"/>
  <c r="AF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E100" i="8"/>
  <c r="AE99" i="8"/>
  <c r="B99" i="8"/>
  <c r="F98" i="8"/>
  <c r="B98" i="8"/>
  <c r="AE97" i="8"/>
  <c r="B97" i="8"/>
  <c r="AG96" i="8"/>
  <c r="AF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E96" i="8"/>
  <c r="AE95" i="8"/>
  <c r="B95" i="8"/>
  <c r="AG94" i="8"/>
  <c r="AF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E94" i="8"/>
  <c r="F93" i="8"/>
  <c r="B93" i="8"/>
  <c r="AE92" i="8"/>
  <c r="B92" i="8"/>
  <c r="AE91" i="8"/>
  <c r="B91" i="8"/>
  <c r="B90" i="8"/>
  <c r="F89" i="8"/>
  <c r="B89" i="8"/>
  <c r="F88" i="8"/>
  <c r="B88" i="8"/>
  <c r="AG87" i="8"/>
  <c r="AF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E87" i="8"/>
  <c r="AE84" i="8"/>
  <c r="B84" i="8"/>
  <c r="AG83" i="8"/>
  <c r="AF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E83" i="8"/>
  <c r="AE82" i="8"/>
  <c r="B82" i="8"/>
  <c r="AG81" i="8"/>
  <c r="AF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E81" i="8"/>
  <c r="AE80" i="8"/>
  <c r="B80" i="8"/>
  <c r="AG79" i="8"/>
  <c r="AF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E79" i="8"/>
  <c r="AE78" i="8"/>
  <c r="B78" i="8"/>
  <c r="AG77" i="8"/>
  <c r="AF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E77" i="8"/>
  <c r="AE76" i="8"/>
  <c r="B76" i="8"/>
  <c r="AE75" i="8"/>
  <c r="B75" i="8"/>
  <c r="AE74" i="8"/>
  <c r="B74" i="8"/>
  <c r="AG73" i="8"/>
  <c r="AF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E73" i="8"/>
  <c r="AE72" i="8"/>
  <c r="B72" i="8"/>
  <c r="AG71" i="8"/>
  <c r="AF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E71" i="8"/>
  <c r="AE70" i="8"/>
  <c r="B70" i="8"/>
  <c r="AG69" i="8"/>
  <c r="AF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AE68" i="8"/>
  <c r="B68" i="8"/>
  <c r="AE67" i="8"/>
  <c r="B67" i="8"/>
  <c r="AE66" i="8"/>
  <c r="B66" i="8"/>
  <c r="AG65" i="8"/>
  <c r="AF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E65" i="8"/>
  <c r="F63" i="8"/>
  <c r="B63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F59" i="8"/>
  <c r="B59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E58" i="8"/>
  <c r="F57" i="8"/>
  <c r="B57" i="8"/>
  <c r="P56" i="8"/>
  <c r="B56" i="8"/>
  <c r="F55" i="8"/>
  <c r="B55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O54" i="8"/>
  <c r="N54" i="8"/>
  <c r="M54" i="8"/>
  <c r="L54" i="8"/>
  <c r="K54" i="8"/>
  <c r="J54" i="8"/>
  <c r="I54" i="8"/>
  <c r="H54" i="8"/>
  <c r="G54" i="8"/>
  <c r="E54" i="8"/>
  <c r="F53" i="8"/>
  <c r="B53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E52" i="8"/>
  <c r="AE51" i="8"/>
  <c r="B51" i="8"/>
  <c r="AG50" i="8"/>
  <c r="AF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F49" i="8"/>
  <c r="B49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E48" i="8"/>
  <c r="AE47" i="8"/>
  <c r="B47" i="8"/>
  <c r="F46" i="8"/>
  <c r="B46" i="8"/>
  <c r="F45" i="8"/>
  <c r="B45" i="8"/>
  <c r="AG44" i="8"/>
  <c r="AF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E44" i="8"/>
  <c r="AE43" i="8"/>
  <c r="B43" i="8"/>
  <c r="AG42" i="8"/>
  <c r="AF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E42" i="8"/>
  <c r="AE41" i="8"/>
  <c r="B41" i="8"/>
  <c r="AG40" i="8"/>
  <c r="AF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E40" i="8"/>
  <c r="E36" i="8" s="1"/>
  <c r="AE39" i="8"/>
  <c r="B39" i="8"/>
  <c r="AE38" i="8"/>
  <c r="B38" i="8"/>
  <c r="AE37" i="8"/>
  <c r="B37" i="8"/>
  <c r="AG36" i="8"/>
  <c r="AF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5" i="8"/>
  <c r="B35" i="8"/>
  <c r="AE34" i="8"/>
  <c r="B34" i="8"/>
  <c r="AG33" i="8"/>
  <c r="AF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E33" i="8"/>
  <c r="AE32" i="8"/>
  <c r="B32" i="8"/>
  <c r="AE31" i="8"/>
  <c r="B31" i="8"/>
  <c r="AG30" i="8"/>
  <c r="AF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E30" i="8"/>
  <c r="AE29" i="8"/>
  <c r="B29" i="8"/>
  <c r="AG28" i="8"/>
  <c r="AF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E28" i="8"/>
  <c r="F27" i="8"/>
  <c r="B27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AE25" i="8"/>
  <c r="B25" i="8"/>
  <c r="AG24" i="8"/>
  <c r="AF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E24" i="8"/>
  <c r="AE23" i="8"/>
  <c r="B23" i="8"/>
  <c r="AE22" i="8"/>
  <c r="B22" i="8"/>
  <c r="AE21" i="8"/>
  <c r="B21" i="8"/>
  <c r="F20" i="8"/>
  <c r="B20" i="8"/>
  <c r="F19" i="8"/>
  <c r="B19" i="8"/>
  <c r="AE18" i="8"/>
  <c r="B18" i="8"/>
  <c r="AE17" i="8"/>
  <c r="B17" i="8"/>
  <c r="F16" i="8"/>
  <c r="B16" i="8"/>
  <c r="AG15" i="8"/>
  <c r="AF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E15" i="8"/>
  <c r="AE14" i="8"/>
  <c r="B14" i="8"/>
  <c r="AG13" i="8"/>
  <c r="AF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O13" i="8"/>
  <c r="N13" i="8"/>
  <c r="M13" i="8"/>
  <c r="L13" i="8"/>
  <c r="K13" i="8"/>
  <c r="J13" i="8"/>
  <c r="I13" i="8"/>
  <c r="H13" i="8"/>
  <c r="G13" i="8"/>
  <c r="E13" i="8"/>
  <c r="E16" i="11"/>
  <c r="AB15" i="11"/>
  <c r="AA15" i="11"/>
  <c r="Z15" i="11"/>
  <c r="Q15" i="11"/>
  <c r="P15" i="11"/>
  <c r="O15" i="11"/>
  <c r="N15" i="11"/>
  <c r="M15" i="11"/>
  <c r="L15" i="11"/>
  <c r="K15" i="11"/>
  <c r="J15" i="11"/>
  <c r="I15" i="11"/>
  <c r="H15" i="11"/>
  <c r="G15" i="11"/>
  <c r="E15" i="11" s="1"/>
  <c r="F15" i="11"/>
  <c r="E14" i="11"/>
  <c r="AB13" i="11"/>
  <c r="AA13" i="11"/>
  <c r="Z13" i="11"/>
  <c r="Q13" i="11"/>
  <c r="P13" i="11"/>
  <c r="O13" i="11"/>
  <c r="N13" i="11"/>
  <c r="M13" i="11"/>
  <c r="L13" i="11"/>
  <c r="K13" i="11"/>
  <c r="J13" i="11"/>
  <c r="I13" i="11"/>
  <c r="H13" i="11"/>
  <c r="E13" i="11" s="1"/>
  <c r="E12" i="11" s="1"/>
  <c r="E11" i="11" s="1"/>
  <c r="G13" i="11"/>
  <c r="F13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F10" i="11"/>
  <c r="E10" i="11"/>
  <c r="E6" i="12"/>
  <c r="D6" i="12"/>
  <c r="F228" i="5"/>
  <c r="F216" i="5"/>
  <c r="E216" i="5"/>
  <c r="D216" i="5"/>
  <c r="C216" i="5"/>
  <c r="F208" i="5"/>
  <c r="F207" i="5" s="1"/>
  <c r="E208" i="5"/>
  <c r="E207" i="5" s="1"/>
  <c r="D208" i="5"/>
  <c r="D207" i="5" s="1"/>
  <c r="E147" i="5"/>
  <c r="D147" i="5"/>
  <c r="C147" i="5"/>
  <c r="E79" i="5"/>
  <c r="D79" i="5"/>
  <c r="C79" i="5"/>
  <c r="E11" i="5"/>
  <c r="D11" i="5"/>
  <c r="C11" i="5"/>
  <c r="C46" i="4"/>
  <c r="C45" i="4"/>
  <c r="C19" i="4"/>
  <c r="C12" i="4"/>
  <c r="C5" i="4"/>
  <c r="D1342" i="7"/>
  <c r="AE1341" i="7"/>
  <c r="AD1341" i="7"/>
  <c r="AB1341" i="7"/>
  <c r="AA1341" i="7"/>
  <c r="Z1341" i="7"/>
  <c r="Y1341" i="7"/>
  <c r="X1341" i="7"/>
  <c r="W1341" i="7"/>
  <c r="V1341" i="7"/>
  <c r="U1341" i="7"/>
  <c r="T1341" i="7"/>
  <c r="S1341" i="7"/>
  <c r="R1341" i="7"/>
  <c r="Q1341" i="7"/>
  <c r="P1341" i="7"/>
  <c r="O1341" i="7"/>
  <c r="N1341" i="7"/>
  <c r="M1341" i="7"/>
  <c r="L1341" i="7"/>
  <c r="K1341" i="7"/>
  <c r="J1341" i="7"/>
  <c r="I1341" i="7"/>
  <c r="H1341" i="7"/>
  <c r="G1341" i="7"/>
  <c r="F1341" i="7"/>
  <c r="E1341" i="7"/>
  <c r="D1340" i="7"/>
  <c r="AE1339" i="7"/>
  <c r="AD1339" i="7"/>
  <c r="AB1339" i="7"/>
  <c r="AA1339" i="7"/>
  <c r="Z1339" i="7"/>
  <c r="Y1339" i="7"/>
  <c r="X1339" i="7"/>
  <c r="W1339" i="7"/>
  <c r="V1339" i="7"/>
  <c r="U1339" i="7"/>
  <c r="T1339" i="7"/>
  <c r="S1339" i="7"/>
  <c r="R1339" i="7"/>
  <c r="Q1339" i="7"/>
  <c r="P1339" i="7"/>
  <c r="O1339" i="7"/>
  <c r="N1339" i="7"/>
  <c r="M1339" i="7"/>
  <c r="L1339" i="7"/>
  <c r="K1339" i="7"/>
  <c r="J1339" i="7"/>
  <c r="I1339" i="7"/>
  <c r="H1339" i="7"/>
  <c r="G1339" i="7"/>
  <c r="F1339" i="7"/>
  <c r="E1339" i="7"/>
  <c r="AC1335" i="7"/>
  <c r="D1337" i="7"/>
  <c r="D1336" i="7"/>
  <c r="AE1335" i="7"/>
  <c r="AD1335" i="7"/>
  <c r="AB1335" i="7"/>
  <c r="AA1335" i="7"/>
  <c r="Z1335" i="7"/>
  <c r="Y1335" i="7"/>
  <c r="X1335" i="7"/>
  <c r="W1335" i="7"/>
  <c r="V1335" i="7"/>
  <c r="U1335" i="7"/>
  <c r="T1335" i="7"/>
  <c r="S1335" i="7"/>
  <c r="R1335" i="7"/>
  <c r="Q1335" i="7"/>
  <c r="P1335" i="7"/>
  <c r="O1335" i="7"/>
  <c r="N1335" i="7"/>
  <c r="M1335" i="7"/>
  <c r="L1335" i="7"/>
  <c r="K1335" i="7"/>
  <c r="J1335" i="7"/>
  <c r="I1335" i="7"/>
  <c r="H1335" i="7"/>
  <c r="G1335" i="7"/>
  <c r="F1335" i="7"/>
  <c r="E1335" i="7"/>
  <c r="D1327" i="7"/>
  <c r="AE1326" i="7"/>
  <c r="AD1326" i="7"/>
  <c r="AC1326" i="7"/>
  <c r="AB1326" i="7"/>
  <c r="AA1326" i="7"/>
  <c r="Z1326" i="7"/>
  <c r="Y1326" i="7"/>
  <c r="X1326" i="7"/>
  <c r="W1326" i="7"/>
  <c r="V1326" i="7"/>
  <c r="U1326" i="7"/>
  <c r="T1326" i="7"/>
  <c r="S1326" i="7"/>
  <c r="R1326" i="7"/>
  <c r="Q1326" i="7"/>
  <c r="P1326" i="7"/>
  <c r="O1326" i="7"/>
  <c r="N1326" i="7"/>
  <c r="M1326" i="7"/>
  <c r="L1326" i="7"/>
  <c r="K1326" i="7"/>
  <c r="J1326" i="7"/>
  <c r="I1326" i="7"/>
  <c r="H1326" i="7"/>
  <c r="G1326" i="7"/>
  <c r="F1326" i="7"/>
  <c r="E1326" i="7"/>
  <c r="D1325" i="7"/>
  <c r="AE1324" i="7"/>
  <c r="AD1324" i="7"/>
  <c r="AC1324" i="7"/>
  <c r="AB1324" i="7"/>
  <c r="AA1324" i="7"/>
  <c r="Z1324" i="7"/>
  <c r="Y1324" i="7"/>
  <c r="X1324" i="7"/>
  <c r="W1324" i="7"/>
  <c r="V1324" i="7"/>
  <c r="U1324" i="7"/>
  <c r="T1324" i="7"/>
  <c r="S1324" i="7"/>
  <c r="R1324" i="7"/>
  <c r="Q1324" i="7"/>
  <c r="P1324" i="7"/>
  <c r="O1324" i="7"/>
  <c r="N1324" i="7"/>
  <c r="M1324" i="7"/>
  <c r="L1324" i="7"/>
  <c r="K1324" i="7"/>
  <c r="J1324" i="7"/>
  <c r="I1324" i="7"/>
  <c r="H1324" i="7"/>
  <c r="G1324" i="7"/>
  <c r="F1324" i="7"/>
  <c r="E1324" i="7"/>
  <c r="D1323" i="7"/>
  <c r="AE1322" i="7"/>
  <c r="AD1322" i="7"/>
  <c r="AC1322" i="7"/>
  <c r="AB1322" i="7"/>
  <c r="AA1322" i="7"/>
  <c r="Z1322" i="7"/>
  <c r="Y1322" i="7"/>
  <c r="X1322" i="7"/>
  <c r="W1322" i="7"/>
  <c r="V1322" i="7"/>
  <c r="U1322" i="7"/>
  <c r="T1322" i="7"/>
  <c r="S1322" i="7"/>
  <c r="R1322" i="7"/>
  <c r="Q1322" i="7"/>
  <c r="P1322" i="7"/>
  <c r="O1322" i="7"/>
  <c r="N1322" i="7"/>
  <c r="M1322" i="7"/>
  <c r="L1322" i="7"/>
  <c r="K1322" i="7"/>
  <c r="J1322" i="7"/>
  <c r="I1322" i="7"/>
  <c r="H1322" i="7"/>
  <c r="G1322" i="7"/>
  <c r="F1322" i="7"/>
  <c r="E1322" i="7"/>
  <c r="EU1318" i="7"/>
  <c r="CK1318" i="7"/>
  <c r="CH1318" i="7"/>
  <c r="AT1317" i="7"/>
  <c r="B1317" i="7"/>
  <c r="B1315" i="7"/>
  <c r="B1314" i="7"/>
  <c r="B1313" i="7"/>
  <c r="B1311" i="7"/>
  <c r="B1309" i="7"/>
  <c r="B1307" i="7"/>
  <c r="B1305" i="7"/>
  <c r="B1304" i="7"/>
  <c r="B1303" i="7"/>
  <c r="B1301" i="7"/>
  <c r="B1300" i="7"/>
  <c r="B1298" i="7"/>
  <c r="B1296" i="7"/>
  <c r="B1294" i="7"/>
  <c r="B1293" i="7"/>
  <c r="AT1291" i="7"/>
  <c r="B1291" i="7"/>
  <c r="B1290" i="7"/>
  <c r="B1289" i="7"/>
  <c r="B1287" i="7"/>
  <c r="B1286" i="7"/>
  <c r="B1285" i="7"/>
  <c r="B1283" i="7"/>
  <c r="B1282" i="7"/>
  <c r="B1281" i="7"/>
  <c r="B1279" i="7"/>
  <c r="B1278" i="7"/>
  <c r="B1276" i="7"/>
  <c r="B1274" i="7"/>
  <c r="B1272" i="7"/>
  <c r="B1270" i="7"/>
  <c r="B1269" i="7"/>
  <c r="B1268" i="7"/>
  <c r="B1266" i="7"/>
  <c r="B1264" i="7"/>
  <c r="B1262" i="7"/>
  <c r="B1260" i="7"/>
  <c r="B1259" i="7"/>
  <c r="B1258" i="7"/>
  <c r="B1256" i="7"/>
  <c r="B1254" i="7"/>
  <c r="B1252" i="7"/>
  <c r="B1250" i="7"/>
  <c r="B1248" i="7"/>
  <c r="B1246" i="7"/>
  <c r="B1244" i="7"/>
  <c r="B1243" i="7"/>
  <c r="B1242" i="7"/>
  <c r="B1240" i="7"/>
  <c r="B1238" i="7"/>
  <c r="B1237" i="7"/>
  <c r="B1235" i="7"/>
  <c r="B1234" i="7"/>
  <c r="B1233" i="7"/>
  <c r="B1231" i="7"/>
  <c r="B1230" i="7"/>
  <c r="B1228" i="7"/>
  <c r="B1227" i="7"/>
  <c r="B1226" i="7"/>
  <c r="B1225" i="7"/>
  <c r="B1224" i="7"/>
  <c r="B1223" i="7"/>
  <c r="B1221" i="7"/>
  <c r="B1219" i="7"/>
  <c r="B1217" i="7"/>
  <c r="B1215" i="7"/>
  <c r="B1214" i="7"/>
  <c r="B1212" i="7"/>
  <c r="B1211" i="7"/>
  <c r="B1209" i="7"/>
  <c r="B1207" i="7"/>
  <c r="B1205" i="7"/>
  <c r="B1203" i="7"/>
  <c r="B1202" i="7"/>
  <c r="B1201" i="7"/>
  <c r="AT1197" i="7"/>
  <c r="B1197" i="7"/>
  <c r="B1196" i="7"/>
  <c r="B1195" i="7"/>
  <c r="B1194" i="7"/>
  <c r="B1192" i="7"/>
  <c r="B1190" i="7"/>
  <c r="B1188" i="7"/>
  <c r="B1187" i="7"/>
  <c r="B1185" i="7"/>
  <c r="B1183" i="7"/>
  <c r="B1181" i="7"/>
  <c r="B1180" i="7"/>
  <c r="B1178" i="7"/>
  <c r="B1176" i="7"/>
  <c r="B1174" i="7"/>
  <c r="B1173" i="7"/>
  <c r="B1171" i="7"/>
  <c r="B1170" i="7"/>
  <c r="B1169" i="7"/>
  <c r="B1168" i="7"/>
  <c r="B1167" i="7"/>
  <c r="B1166" i="7"/>
  <c r="B1165" i="7"/>
  <c r="B1164" i="7"/>
  <c r="B1162" i="7"/>
  <c r="B1161" i="7"/>
  <c r="B1154" i="7"/>
  <c r="B1153" i="7"/>
  <c r="B1152" i="7"/>
  <c r="B1151" i="7"/>
  <c r="AT1150" i="7"/>
  <c r="B1150" i="7"/>
  <c r="B1149" i="7"/>
  <c r="B1148" i="7"/>
  <c r="B1147" i="7"/>
  <c r="B1145" i="7"/>
  <c r="B1144" i="7"/>
  <c r="B1143" i="7"/>
  <c r="B1142" i="7"/>
  <c r="B1141" i="7"/>
  <c r="B1140" i="7"/>
  <c r="B1139" i="7"/>
  <c r="B1138" i="7"/>
  <c r="B1137" i="7"/>
  <c r="B1136" i="7"/>
  <c r="B1135" i="7"/>
  <c r="B1134" i="7"/>
  <c r="AT1133" i="7"/>
  <c r="B1133" i="7"/>
  <c r="B1132" i="7"/>
  <c r="B1131" i="7"/>
  <c r="B1130" i="7"/>
  <c r="B1129" i="7"/>
  <c r="B1128" i="7"/>
  <c r="B1127" i="7"/>
  <c r="B1126" i="7"/>
  <c r="B1125" i="7"/>
  <c r="B1124" i="7"/>
  <c r="B1123" i="7"/>
  <c r="B1122" i="7"/>
  <c r="B1121" i="7"/>
  <c r="B1120" i="7"/>
  <c r="B1118" i="7"/>
  <c r="B1117" i="7"/>
  <c r="B1116" i="7"/>
  <c r="B1115" i="7"/>
  <c r="B1114" i="7"/>
  <c r="B1113" i="7"/>
  <c r="B1112" i="7"/>
  <c r="B1111" i="7"/>
  <c r="B1110" i="7"/>
  <c r="B1109" i="7"/>
  <c r="B1108" i="7"/>
  <c r="B1107" i="7"/>
  <c r="B1106" i="7"/>
  <c r="B1105" i="7"/>
  <c r="B1103" i="7"/>
  <c r="B1102" i="7"/>
  <c r="B1101" i="7"/>
  <c r="B1100" i="7"/>
  <c r="B1099" i="7"/>
  <c r="B1098" i="7"/>
  <c r="B1097" i="7"/>
  <c r="B1096" i="7"/>
  <c r="B1095" i="7"/>
  <c r="B1094" i="7"/>
  <c r="B1093" i="7"/>
  <c r="B1092" i="7"/>
  <c r="B1091" i="7"/>
  <c r="B1090" i="7"/>
  <c r="B1089" i="7"/>
  <c r="B1088" i="7"/>
  <c r="B1087" i="7"/>
  <c r="B1086" i="7"/>
  <c r="B1085" i="7"/>
  <c r="B1084" i="7"/>
  <c r="B1083" i="7"/>
  <c r="B1082" i="7"/>
  <c r="B1081" i="7"/>
  <c r="B1080" i="7"/>
  <c r="B1079" i="7"/>
  <c r="B1078" i="7"/>
  <c r="B1077" i="7"/>
  <c r="B1076" i="7"/>
  <c r="B1075" i="7"/>
  <c r="B1074" i="7"/>
  <c r="B1073" i="7"/>
  <c r="B1072" i="7"/>
  <c r="B1071" i="7"/>
  <c r="B1070" i="7"/>
  <c r="B1069" i="7"/>
  <c r="B1068" i="7"/>
  <c r="B1067" i="7"/>
  <c r="B1066" i="7"/>
  <c r="B1065" i="7"/>
  <c r="B1064" i="7"/>
  <c r="B1063" i="7"/>
  <c r="B1062" i="7"/>
  <c r="B1061" i="7"/>
  <c r="B1060" i="7"/>
  <c r="B1059" i="7"/>
  <c r="B1058" i="7"/>
  <c r="B1057" i="7"/>
  <c r="B1056" i="7"/>
  <c r="B1055" i="7"/>
  <c r="B1054" i="7"/>
  <c r="B1053" i="7"/>
  <c r="B1052" i="7"/>
  <c r="B1051" i="7"/>
  <c r="B1050" i="7"/>
  <c r="B1049" i="7"/>
  <c r="B1048" i="7"/>
  <c r="B1047" i="7"/>
  <c r="B1046" i="7"/>
  <c r="B1045" i="7"/>
  <c r="B1044" i="7"/>
  <c r="B1043" i="7"/>
  <c r="B1042" i="7"/>
  <c r="B1041" i="7"/>
  <c r="B1040" i="7"/>
  <c r="B1039" i="7"/>
  <c r="B1038" i="7"/>
  <c r="B1037" i="7"/>
  <c r="B1036" i="7"/>
  <c r="B1033" i="7"/>
  <c r="B1031" i="7"/>
  <c r="B1029" i="7"/>
  <c r="B1028" i="7"/>
  <c r="B1027" i="7"/>
  <c r="B1025" i="7"/>
  <c r="B1021" i="7"/>
  <c r="B1020" i="7"/>
  <c r="B1019" i="7"/>
  <c r="B1018" i="7"/>
  <c r="B1017" i="7"/>
  <c r="B1015" i="7"/>
  <c r="B1013" i="7"/>
  <c r="B1009" i="7"/>
  <c r="B1008" i="7"/>
  <c r="B1007" i="7"/>
  <c r="B1006" i="7"/>
  <c r="B1005" i="7"/>
  <c r="B1003" i="7"/>
  <c r="B1001" i="7"/>
  <c r="B999" i="7"/>
  <c r="B997" i="7"/>
  <c r="B995" i="7"/>
  <c r="B994" i="7"/>
  <c r="B993" i="7"/>
  <c r="CD989" i="7"/>
  <c r="B989" i="7"/>
  <c r="B988" i="7"/>
  <c r="AT987" i="7"/>
  <c r="B987" i="7"/>
  <c r="B986" i="7"/>
  <c r="B984" i="7"/>
  <c r="CD983" i="7"/>
  <c r="B983" i="7"/>
  <c r="CD982" i="7"/>
  <c r="B982" i="7"/>
  <c r="B981" i="7"/>
  <c r="B980" i="7"/>
  <c r="B978" i="7"/>
  <c r="B977" i="7"/>
  <c r="B976" i="7"/>
  <c r="B974" i="7"/>
  <c r="B972" i="7"/>
  <c r="B970" i="7"/>
  <c r="B968" i="7"/>
  <c r="B967" i="7"/>
  <c r="B965" i="7"/>
  <c r="B963" i="7"/>
  <c r="B962" i="7"/>
  <c r="B961" i="7"/>
  <c r="B959" i="7"/>
  <c r="B957" i="7"/>
  <c r="B956" i="7"/>
  <c r="B955" i="7"/>
  <c r="B954" i="7"/>
  <c r="B953" i="7"/>
  <c r="B952" i="7"/>
  <c r="B950" i="7"/>
  <c r="B948" i="7"/>
  <c r="B947" i="7"/>
  <c r="B946" i="7"/>
  <c r="B944" i="7"/>
  <c r="B943" i="7"/>
  <c r="B942" i="7"/>
  <c r="B941" i="7"/>
  <c r="B940" i="7"/>
  <c r="CD938" i="7"/>
  <c r="B938" i="7"/>
  <c r="B937" i="7"/>
  <c r="B935" i="7"/>
  <c r="B934" i="7"/>
  <c r="B933" i="7"/>
  <c r="B932" i="7"/>
  <c r="B930" i="7"/>
  <c r="B928" i="7"/>
  <c r="B926" i="7"/>
  <c r="CD920" i="7"/>
  <c r="B920" i="7"/>
  <c r="B919" i="7"/>
  <c r="B917" i="7"/>
  <c r="B915" i="7"/>
  <c r="B914" i="7"/>
  <c r="B913" i="7"/>
  <c r="B911" i="7"/>
  <c r="CD910" i="7"/>
  <c r="B910" i="7"/>
  <c r="B909" i="7"/>
  <c r="B908" i="7"/>
  <c r="B907" i="7"/>
  <c r="B906" i="7"/>
  <c r="B905" i="7"/>
  <c r="B904" i="7"/>
  <c r="CD902" i="7"/>
  <c r="B902" i="7"/>
  <c r="B901" i="7"/>
  <c r="B899" i="7"/>
  <c r="B898" i="7"/>
  <c r="B896" i="7"/>
  <c r="B895" i="7"/>
  <c r="B893" i="7"/>
  <c r="B892" i="7"/>
  <c r="B891" i="7"/>
  <c r="B889" i="7"/>
  <c r="B888" i="7"/>
  <c r="B884" i="7"/>
  <c r="B883" i="7"/>
  <c r="B882" i="7"/>
  <c r="B881" i="7"/>
  <c r="B880" i="7"/>
  <c r="B879" i="7"/>
  <c r="AT878" i="7"/>
  <c r="B878" i="7"/>
  <c r="B877" i="7"/>
  <c r="B876" i="7"/>
  <c r="B875" i="7"/>
  <c r="B873" i="7"/>
  <c r="B871" i="7"/>
  <c r="B870" i="7"/>
  <c r="CD869" i="7"/>
  <c r="B869" i="7"/>
  <c r="B868" i="7"/>
  <c r="B866" i="7"/>
  <c r="B864" i="7"/>
  <c r="B862" i="7"/>
  <c r="B860" i="7"/>
  <c r="B858" i="7"/>
  <c r="B856" i="7"/>
  <c r="B854" i="7"/>
  <c r="B853" i="7"/>
  <c r="B851" i="7"/>
  <c r="B850" i="7"/>
  <c r="B848" i="7"/>
  <c r="B847" i="7"/>
  <c r="B846" i="7"/>
  <c r="B845" i="7"/>
  <c r="B844" i="7"/>
  <c r="B843" i="7"/>
  <c r="B842" i="7"/>
  <c r="B841" i="7"/>
  <c r="B840" i="7"/>
  <c r="AT839" i="7"/>
  <c r="B839" i="7"/>
  <c r="B834" i="7"/>
  <c r="B833" i="7"/>
  <c r="CD832" i="7"/>
  <c r="B832" i="7"/>
  <c r="B831" i="7"/>
  <c r="B830" i="7"/>
  <c r="B829" i="7"/>
  <c r="CD828" i="7"/>
  <c r="B828" i="7"/>
  <c r="B827" i="7"/>
  <c r="B826" i="7"/>
  <c r="B825" i="7"/>
  <c r="B824" i="7"/>
  <c r="B823" i="7"/>
  <c r="AT822" i="7"/>
  <c r="B822" i="7"/>
  <c r="B820" i="7"/>
  <c r="B818" i="7"/>
  <c r="B816" i="7"/>
  <c r="B815" i="7"/>
  <c r="B813" i="7"/>
  <c r="B811" i="7"/>
  <c r="B810" i="7"/>
  <c r="B809" i="7"/>
  <c r="B808" i="7"/>
  <c r="B803" i="7"/>
  <c r="B802" i="7"/>
  <c r="B801" i="7"/>
  <c r="B799" i="7"/>
  <c r="CD798" i="7"/>
  <c r="B798" i="7"/>
  <c r="B797" i="7"/>
  <c r="B796" i="7"/>
  <c r="B795" i="7"/>
  <c r="B794" i="7"/>
  <c r="B793" i="7"/>
  <c r="B789" i="7"/>
  <c r="B788" i="7"/>
  <c r="B787" i="7"/>
  <c r="B786" i="7"/>
  <c r="B785" i="7"/>
  <c r="B784" i="7"/>
  <c r="B783" i="7"/>
  <c r="B782" i="7"/>
  <c r="B781" i="7"/>
  <c r="B780" i="7"/>
  <c r="B779" i="7"/>
  <c r="B778" i="7"/>
  <c r="B777" i="7"/>
  <c r="B776" i="7"/>
  <c r="B775" i="7"/>
  <c r="B774" i="7"/>
  <c r="B773" i="7"/>
  <c r="B772" i="7"/>
  <c r="AT771" i="7"/>
  <c r="B771" i="7"/>
  <c r="B770" i="7"/>
  <c r="AT769" i="7"/>
  <c r="B769" i="7"/>
  <c r="B768" i="7"/>
  <c r="B767" i="7"/>
  <c r="B766" i="7"/>
  <c r="B758" i="7"/>
  <c r="B757" i="7"/>
  <c r="B756" i="7"/>
  <c r="B755" i="7"/>
  <c r="B754" i="7"/>
  <c r="B753" i="7"/>
  <c r="B751" i="7"/>
  <c r="B743" i="7"/>
  <c r="CD740" i="7"/>
  <c r="B740" i="7"/>
  <c r="B739" i="7"/>
  <c r="B738" i="7"/>
  <c r="B737" i="7"/>
  <c r="B736" i="7"/>
  <c r="B735" i="7"/>
  <c r="B734" i="7"/>
  <c r="B733" i="7"/>
  <c r="B732" i="7"/>
  <c r="CD731" i="7"/>
  <c r="B731" i="7"/>
  <c r="B730" i="7"/>
  <c r="B729" i="7"/>
  <c r="B724" i="7"/>
  <c r="B717" i="7"/>
  <c r="B716" i="7"/>
  <c r="B715" i="7"/>
  <c r="B714" i="7"/>
  <c r="B713" i="7"/>
  <c r="B712" i="7"/>
  <c r="B711" i="7"/>
  <c r="B710" i="7"/>
  <c r="B709" i="7"/>
  <c r="B708" i="7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CD646" i="7"/>
  <c r="B646" i="7"/>
  <c r="B645" i="7"/>
  <c r="B644" i="7"/>
  <c r="B643" i="7"/>
  <c r="B642" i="7"/>
  <c r="B641" i="7"/>
  <c r="B640" i="7"/>
  <c r="B639" i="7"/>
  <c r="B638" i="7"/>
  <c r="B637" i="7"/>
  <c r="B636" i="7"/>
  <c r="B635" i="7"/>
  <c r="B634" i="7"/>
  <c r="B633" i="7"/>
  <c r="B632" i="7"/>
  <c r="B631" i="7"/>
  <c r="B630" i="7"/>
  <c r="B629" i="7"/>
  <c r="B628" i="7"/>
  <c r="B627" i="7"/>
  <c r="B626" i="7"/>
  <c r="B625" i="7"/>
  <c r="CD624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CD603" i="7"/>
  <c r="B603" i="7"/>
  <c r="CD602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5" i="7"/>
  <c r="CD554" i="7"/>
  <c r="B554" i="7"/>
  <c r="B552" i="7"/>
  <c r="B551" i="7"/>
  <c r="B549" i="7"/>
  <c r="B548" i="7"/>
  <c r="B547" i="7"/>
  <c r="CD546" i="7"/>
  <c r="B546" i="7"/>
  <c r="B544" i="7"/>
  <c r="B543" i="7"/>
  <c r="B542" i="7"/>
  <c r="B541" i="7"/>
  <c r="B540" i="7"/>
  <c r="B539" i="7"/>
  <c r="B538" i="7"/>
  <c r="B537" i="7"/>
  <c r="CD536" i="7"/>
  <c r="B536" i="7"/>
  <c r="CD534" i="7"/>
  <c r="B534" i="7"/>
  <c r="B532" i="7"/>
  <c r="B531" i="7"/>
  <c r="CD529" i="7"/>
  <c r="B529" i="7"/>
  <c r="B527" i="7"/>
  <c r="CD526" i="7"/>
  <c r="B526" i="7"/>
  <c r="CD525" i="7"/>
  <c r="B525" i="7"/>
  <c r="B524" i="7"/>
  <c r="CD523" i="7"/>
  <c r="B523" i="7"/>
  <c r="B521" i="7"/>
  <c r="B520" i="7"/>
  <c r="B518" i="7"/>
  <c r="B516" i="7"/>
  <c r="B515" i="7"/>
  <c r="B513" i="7"/>
  <c r="B512" i="7"/>
  <c r="CD510" i="7"/>
  <c r="B510" i="7"/>
  <c r="CD508" i="7"/>
  <c r="B508" i="7"/>
  <c r="B507" i="7"/>
  <c r="B506" i="7"/>
  <c r="B505" i="7"/>
  <c r="B504" i="7"/>
  <c r="B502" i="7"/>
  <c r="B501" i="7"/>
  <c r="B500" i="7"/>
  <c r="B499" i="7"/>
  <c r="B497" i="7"/>
  <c r="CD495" i="7"/>
  <c r="B495" i="7"/>
  <c r="B493" i="7"/>
  <c r="B492" i="7"/>
  <c r="CD491" i="7"/>
  <c r="B491" i="7"/>
  <c r="CD490" i="7"/>
  <c r="B490" i="7"/>
  <c r="CD489" i="7"/>
  <c r="B489" i="7"/>
  <c r="AT488" i="7"/>
  <c r="B488" i="7"/>
  <c r="B487" i="7"/>
  <c r="CD486" i="7"/>
  <c r="B486" i="7"/>
  <c r="CD484" i="7"/>
  <c r="B484" i="7"/>
  <c r="B483" i="7"/>
  <c r="B482" i="7"/>
  <c r="CD481" i="7"/>
  <c r="B481" i="7"/>
  <c r="CD480" i="7"/>
  <c r="B480" i="7"/>
  <c r="B479" i="7"/>
  <c r="B478" i="7"/>
  <c r="B477" i="7"/>
  <c r="CD476" i="7"/>
  <c r="B476" i="7"/>
  <c r="B475" i="7"/>
  <c r="CD474" i="7"/>
  <c r="B474" i="7"/>
  <c r="B472" i="7"/>
  <c r="CD471" i="7"/>
  <c r="B471" i="7"/>
  <c r="B470" i="7"/>
  <c r="CD469" i="7"/>
  <c r="B469" i="7"/>
  <c r="B468" i="7"/>
  <c r="B466" i="7"/>
  <c r="B464" i="7"/>
  <c r="B462" i="7"/>
  <c r="CD460" i="7"/>
  <c r="B460" i="7"/>
  <c r="CD458" i="7"/>
  <c r="B458" i="7"/>
  <c r="CD456" i="7"/>
  <c r="B456" i="7"/>
  <c r="B454" i="7"/>
  <c r="B453" i="7"/>
  <c r="CD452" i="7"/>
  <c r="B452" i="7"/>
  <c r="CD451" i="7"/>
  <c r="B451" i="7"/>
  <c r="CD450" i="7"/>
  <c r="B450" i="7"/>
  <c r="CD449" i="7"/>
  <c r="B449" i="7"/>
  <c r="B448" i="7"/>
  <c r="B447" i="7"/>
  <c r="B446" i="7"/>
  <c r="B445" i="7"/>
  <c r="B443" i="7"/>
  <c r="CD442" i="7"/>
  <c r="B442" i="7"/>
  <c r="CD440" i="7"/>
  <c r="B440" i="7"/>
  <c r="B439" i="7"/>
  <c r="CD438" i="7"/>
  <c r="B438" i="7"/>
  <c r="CD437" i="7"/>
  <c r="B437" i="7"/>
  <c r="B436" i="7"/>
  <c r="B434" i="7"/>
  <c r="B433" i="7"/>
  <c r="B432" i="7"/>
  <c r="B431" i="7"/>
  <c r="B430" i="7"/>
  <c r="B429" i="7"/>
  <c r="B427" i="7"/>
  <c r="B426" i="7"/>
  <c r="B425" i="7"/>
  <c r="B423" i="7"/>
  <c r="CD421" i="7"/>
  <c r="B421" i="7"/>
  <c r="CD420" i="7"/>
  <c r="B420" i="7"/>
  <c r="CD419" i="7"/>
  <c r="B419" i="7"/>
  <c r="B417" i="7"/>
  <c r="B416" i="7"/>
  <c r="B415" i="7"/>
  <c r="B413" i="7"/>
  <c r="B411" i="7"/>
  <c r="B410" i="7"/>
  <c r="B409" i="7"/>
  <c r="CD408" i="7"/>
  <c r="B408" i="7"/>
  <c r="B407" i="7"/>
  <c r="B406" i="7"/>
  <c r="B405" i="7"/>
  <c r="B403" i="7"/>
  <c r="B401" i="7"/>
  <c r="B400" i="7"/>
  <c r="B399" i="7"/>
  <c r="B398" i="7"/>
  <c r="CD396" i="7"/>
  <c r="B396" i="7"/>
  <c r="B394" i="7"/>
  <c r="B393" i="7"/>
  <c r="B391" i="7"/>
  <c r="B390" i="7"/>
  <c r="B389" i="7"/>
  <c r="CD388" i="7"/>
  <c r="B388" i="7"/>
  <c r="B386" i="7"/>
  <c r="CD384" i="7"/>
  <c r="B384" i="7"/>
  <c r="B382" i="7"/>
  <c r="CD381" i="7"/>
  <c r="B381" i="7"/>
  <c r="CD375" i="7"/>
  <c r="B375" i="7"/>
  <c r="CD374" i="7"/>
  <c r="B374" i="7"/>
  <c r="B373" i="7"/>
  <c r="CD372" i="7"/>
  <c r="B372" i="7"/>
  <c r="CD371" i="7"/>
  <c r="B371" i="7"/>
  <c r="CD370" i="7"/>
  <c r="B370" i="7"/>
  <c r="B369" i="7"/>
  <c r="B368" i="7"/>
  <c r="B367" i="7"/>
  <c r="CD366" i="7"/>
  <c r="B366" i="7"/>
  <c r="B365" i="7"/>
  <c r="B364" i="7"/>
  <c r="B363" i="7"/>
  <c r="B361" i="7"/>
  <c r="B359" i="7"/>
  <c r="B358" i="7"/>
  <c r="B356" i="7"/>
  <c r="B355" i="7"/>
  <c r="B354" i="7"/>
  <c r="B352" i="7"/>
  <c r="CD351" i="7"/>
  <c r="B351" i="7"/>
  <c r="B349" i="7"/>
  <c r="B348" i="7"/>
  <c r="CD346" i="7"/>
  <c r="B346" i="7"/>
  <c r="CD345" i="7"/>
  <c r="B345" i="7"/>
  <c r="B344" i="7"/>
  <c r="B343" i="7"/>
  <c r="CD339" i="7"/>
  <c r="B339" i="7"/>
  <c r="CD338" i="7"/>
  <c r="B338" i="7"/>
  <c r="CD337" i="7"/>
  <c r="B337" i="7"/>
  <c r="CD336" i="7"/>
  <c r="B336" i="7"/>
  <c r="CD335" i="7"/>
  <c r="B335" i="7"/>
  <c r="B334" i="7"/>
  <c r="B333" i="7"/>
  <c r="B332" i="7"/>
  <c r="B331" i="7"/>
  <c r="B330" i="7"/>
  <c r="B329" i="7"/>
  <c r="B328" i="7"/>
  <c r="B327" i="7"/>
  <c r="B326" i="7"/>
  <c r="CD324" i="7"/>
  <c r="B324" i="7"/>
  <c r="CD323" i="7"/>
  <c r="B323" i="7"/>
  <c r="CD322" i="7"/>
  <c r="B322" i="7"/>
  <c r="B321" i="7"/>
  <c r="B320" i="7"/>
  <c r="B319" i="7"/>
  <c r="CD318" i="7"/>
  <c r="B318" i="7"/>
  <c r="B317" i="7"/>
  <c r="B316" i="7"/>
  <c r="B315" i="7"/>
  <c r="CD314" i="7"/>
  <c r="B314" i="7"/>
  <c r="CD313" i="7"/>
  <c r="B313" i="7"/>
  <c r="B312" i="7"/>
  <c r="B311" i="7"/>
  <c r="B310" i="7"/>
  <c r="B308" i="7"/>
  <c r="B306" i="7"/>
  <c r="B305" i="7"/>
  <c r="B304" i="7"/>
  <c r="B303" i="7"/>
  <c r="B302" i="7"/>
  <c r="B300" i="7"/>
  <c r="B299" i="7"/>
  <c r="B298" i="7"/>
  <c r="B297" i="7"/>
  <c r="B296" i="7"/>
  <c r="B294" i="7"/>
  <c r="CD293" i="7"/>
  <c r="B293" i="7"/>
  <c r="B291" i="7"/>
  <c r="CD289" i="7"/>
  <c r="B289" i="7"/>
  <c r="CD288" i="7"/>
  <c r="B288" i="7"/>
  <c r="B287" i="7"/>
  <c r="B286" i="7"/>
  <c r="B284" i="7"/>
  <c r="CD283" i="7"/>
  <c r="B283" i="7"/>
  <c r="B282" i="7"/>
  <c r="B281" i="7"/>
  <c r="B280" i="7"/>
  <c r="B279" i="7"/>
  <c r="CD277" i="7"/>
  <c r="B277" i="7"/>
  <c r="CD276" i="7"/>
  <c r="B276" i="7"/>
  <c r="CD275" i="7"/>
  <c r="B275" i="7"/>
  <c r="B274" i="7"/>
  <c r="B273" i="7"/>
  <c r="B271" i="7"/>
  <c r="B270" i="7"/>
  <c r="B269" i="7"/>
  <c r="B268" i="7"/>
  <c r="CD267" i="7"/>
  <c r="B267" i="7"/>
  <c r="CD266" i="7"/>
  <c r="B266" i="7"/>
  <c r="B265" i="7"/>
  <c r="CD264" i="7"/>
  <c r="B264" i="7"/>
  <c r="CD263" i="7"/>
  <c r="B263" i="7"/>
  <c r="B262" i="7"/>
  <c r="B261" i="7"/>
  <c r="B260" i="7"/>
  <c r="CD259" i="7"/>
  <c r="B259" i="7"/>
  <c r="CD258" i="7"/>
  <c r="B258" i="7"/>
  <c r="CD257" i="7"/>
  <c r="B257" i="7"/>
  <c r="B256" i="7"/>
  <c r="B255" i="7"/>
  <c r="B254" i="7"/>
  <c r="B253" i="7"/>
  <c r="CD252" i="7"/>
  <c r="B252" i="7"/>
  <c r="CD251" i="7"/>
  <c r="B251" i="7"/>
  <c r="CD250" i="7"/>
  <c r="B250" i="7"/>
  <c r="AT249" i="7"/>
  <c r="B249" i="7"/>
  <c r="B248" i="7"/>
  <c r="B247" i="7"/>
  <c r="B246" i="7"/>
  <c r="B244" i="7"/>
  <c r="B243" i="7"/>
  <c r="B242" i="7"/>
  <c r="B241" i="7"/>
  <c r="CD240" i="7"/>
  <c r="B240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CD216" i="7"/>
  <c r="B216" i="7"/>
  <c r="CD215" i="7"/>
  <c r="B215" i="7"/>
  <c r="B214" i="7"/>
  <c r="B213" i="7"/>
  <c r="B212" i="7"/>
  <c r="CD211" i="7"/>
  <c r="B211" i="7"/>
  <c r="B210" i="7"/>
  <c r="B209" i="7"/>
  <c r="B208" i="7"/>
  <c r="B207" i="7"/>
  <c r="B206" i="7"/>
  <c r="B205" i="7"/>
  <c r="B204" i="7"/>
  <c r="B203" i="7"/>
  <c r="B201" i="7"/>
  <c r="B200" i="7"/>
  <c r="B199" i="7"/>
  <c r="B198" i="7"/>
  <c r="B197" i="7"/>
  <c r="B196" i="7"/>
  <c r="B195" i="7"/>
  <c r="AT194" i="7"/>
  <c r="B194" i="7"/>
  <c r="B193" i="7"/>
  <c r="B192" i="7"/>
  <c r="B191" i="7"/>
  <c r="CD190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CD174" i="7"/>
  <c r="B174" i="7"/>
  <c r="B173" i="7"/>
  <c r="B172" i="7"/>
  <c r="CD171" i="7"/>
  <c r="B171" i="7"/>
  <c r="B170" i="7"/>
  <c r="B169" i="7"/>
  <c r="CD168" i="7"/>
  <c r="B168" i="7"/>
  <c r="CD167" i="7"/>
  <c r="B167" i="7"/>
  <c r="B166" i="7"/>
  <c r="B165" i="7"/>
  <c r="B164" i="7"/>
  <c r="CD163" i="7"/>
  <c r="B163" i="7"/>
  <c r="AT162" i="7"/>
  <c r="B162" i="7"/>
  <c r="B161" i="7"/>
  <c r="B160" i="7"/>
  <c r="CD159" i="7"/>
  <c r="B159" i="7"/>
  <c r="B158" i="7"/>
  <c r="CD157" i="7"/>
  <c r="B157" i="7"/>
  <c r="B155" i="7"/>
  <c r="B154" i="7"/>
  <c r="CD153" i="7"/>
  <c r="B153" i="7"/>
  <c r="CD152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CD138" i="7"/>
  <c r="B138" i="7"/>
  <c r="B137" i="7"/>
  <c r="CD136" i="7"/>
  <c r="B136" i="7"/>
  <c r="CD135" i="7"/>
  <c r="B135" i="7"/>
  <c r="CD134" i="7"/>
  <c r="B134" i="7"/>
  <c r="CD133" i="7"/>
  <c r="B133" i="7"/>
  <c r="CD132" i="7"/>
  <c r="B132" i="7"/>
  <c r="CD131" i="7"/>
  <c r="B131" i="7"/>
  <c r="B130" i="7"/>
  <c r="B129" i="7"/>
  <c r="B128" i="7"/>
  <c r="CD127" i="7"/>
  <c r="B127" i="7"/>
  <c r="CD125" i="7"/>
  <c r="B125" i="7"/>
  <c r="B124" i="7"/>
  <c r="B123" i="7"/>
  <c r="B122" i="7"/>
  <c r="B121" i="7"/>
  <c r="B120" i="7"/>
  <c r="B119" i="7"/>
  <c r="B118" i="7"/>
  <c r="B117" i="7"/>
  <c r="CD116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CD102" i="7"/>
  <c r="B102" i="7"/>
  <c r="B101" i="7"/>
  <c r="CD100" i="7"/>
  <c r="B100" i="7"/>
  <c r="CD99" i="7"/>
  <c r="B99" i="7"/>
  <c r="CD98" i="7"/>
  <c r="B98" i="7"/>
  <c r="CD97" i="7"/>
  <c r="B97" i="7"/>
  <c r="CD96" i="7"/>
  <c r="B96" i="7"/>
  <c r="CD95" i="7"/>
  <c r="B95" i="7"/>
  <c r="B94" i="7"/>
  <c r="B93" i="7"/>
  <c r="B92" i="7"/>
  <c r="B91" i="7"/>
  <c r="CD90" i="7"/>
  <c r="B90" i="7"/>
  <c r="B89" i="7"/>
  <c r="B88" i="7"/>
  <c r="B87" i="7"/>
  <c r="B86" i="7"/>
  <c r="CD85" i="7"/>
  <c r="B85" i="7"/>
  <c r="B84" i="7"/>
  <c r="B83" i="7"/>
  <c r="B82" i="7"/>
  <c r="CD81" i="7"/>
  <c r="B81" i="7"/>
  <c r="CD80" i="7"/>
  <c r="B80" i="7"/>
  <c r="CD79" i="7"/>
  <c r="B79" i="7"/>
  <c r="CD78" i="7"/>
  <c r="B78" i="7"/>
  <c r="B77" i="7"/>
  <c r="CD76" i="7"/>
  <c r="B76" i="7"/>
  <c r="B75" i="7"/>
  <c r="CD74" i="7"/>
  <c r="B74" i="7"/>
  <c r="CD73" i="7"/>
  <c r="B73" i="7"/>
  <c r="B72" i="7"/>
  <c r="B71" i="7"/>
  <c r="CD70" i="7"/>
  <c r="B70" i="7"/>
  <c r="CD69" i="7"/>
  <c r="B69" i="7"/>
  <c r="B68" i="7"/>
  <c r="B67" i="7"/>
  <c r="B66" i="7"/>
  <c r="CD65" i="7"/>
  <c r="B65" i="7"/>
  <c r="CD64" i="7"/>
  <c r="B64" i="7"/>
  <c r="B63" i="7"/>
  <c r="CD62" i="7"/>
  <c r="B62" i="7"/>
  <c r="B61" i="7"/>
  <c r="CD60" i="7"/>
  <c r="B60" i="7"/>
  <c r="B59" i="7"/>
  <c r="CD58" i="7"/>
  <c r="B58" i="7"/>
  <c r="CD57" i="7"/>
  <c r="B57" i="7"/>
  <c r="B56" i="7"/>
  <c r="CD55" i="7"/>
  <c r="B55" i="7"/>
  <c r="B54" i="7"/>
  <c r="B53" i="7"/>
  <c r="B52" i="7"/>
  <c r="CD51" i="7"/>
  <c r="B51" i="7"/>
  <c r="B50" i="7"/>
  <c r="B49" i="7"/>
  <c r="B48" i="7"/>
  <c r="CD47" i="7"/>
  <c r="B47" i="7"/>
  <c r="B46" i="7"/>
  <c r="B45" i="7"/>
  <c r="B44" i="7"/>
  <c r="B43" i="7"/>
  <c r="B42" i="7"/>
  <c r="B41" i="7"/>
  <c r="CB40" i="7"/>
  <c r="AR40" i="7"/>
  <c r="B40" i="7"/>
  <c r="B39" i="7"/>
  <c r="B38" i="7"/>
  <c r="B37" i="7"/>
  <c r="B36" i="7"/>
  <c r="AT35" i="7"/>
  <c r="B35" i="7"/>
  <c r="CD34" i="7"/>
  <c r="B34" i="7"/>
  <c r="CD33" i="7"/>
  <c r="B33" i="7"/>
  <c r="B32" i="7"/>
  <c r="CD31" i="7"/>
  <c r="B31" i="7"/>
  <c r="B30" i="7"/>
  <c r="B29" i="7"/>
  <c r="B28" i="7"/>
  <c r="CD27" i="7"/>
  <c r="B27" i="7"/>
  <c r="B26" i="7"/>
  <c r="B25" i="7"/>
  <c r="B24" i="7"/>
  <c r="B23" i="7"/>
  <c r="B22" i="7"/>
  <c r="P1321" i="7" l="1"/>
  <c r="P1320" i="7" s="1"/>
  <c r="C208" i="5"/>
  <c r="C207" i="5" s="1"/>
  <c r="D10" i="5"/>
  <c r="C10" i="5"/>
  <c r="X1321" i="7"/>
  <c r="X1320" i="7" s="1"/>
  <c r="K29" i="13"/>
  <c r="K14" i="13"/>
  <c r="I11" i="13"/>
  <c r="P11" i="13" s="1"/>
  <c r="I63" i="13"/>
  <c r="P63" i="13" s="1"/>
  <c r="J11" i="13"/>
  <c r="L11" i="13"/>
  <c r="K35" i="13"/>
  <c r="F18" i="8"/>
  <c r="F22" i="8"/>
  <c r="F37" i="8"/>
  <c r="F39" i="8"/>
  <c r="F52" i="8"/>
  <c r="F67" i="8"/>
  <c r="F72" i="8"/>
  <c r="F91" i="8"/>
  <c r="F119" i="8"/>
  <c r="F123" i="8"/>
  <c r="F132" i="8"/>
  <c r="F134" i="8"/>
  <c r="F138" i="8"/>
  <c r="F140" i="8"/>
  <c r="F142" i="8"/>
  <c r="F144" i="8"/>
  <c r="F148" i="8"/>
  <c r="F150" i="8"/>
  <c r="F152" i="8"/>
  <c r="F154" i="8"/>
  <c r="F156" i="8"/>
  <c r="F175" i="8"/>
  <c r="F177" i="8"/>
  <c r="F179" i="8"/>
  <c r="F197" i="8"/>
  <c r="F215" i="8"/>
  <c r="F217" i="8"/>
  <c r="F224" i="8"/>
  <c r="F239" i="8"/>
  <c r="F26" i="8"/>
  <c r="F32" i="8"/>
  <c r="F48" i="8"/>
  <c r="F62" i="8"/>
  <c r="F74" i="8"/>
  <c r="F76" i="8"/>
  <c r="F95" i="8"/>
  <c r="F106" i="8"/>
  <c r="F114" i="8"/>
  <c r="F116" i="8"/>
  <c r="F172" i="8"/>
  <c r="F191" i="8"/>
  <c r="F193" i="8"/>
  <c r="F201" i="8"/>
  <c r="AE203" i="8"/>
  <c r="F203" i="8" s="1"/>
  <c r="F205" i="8"/>
  <c r="F211" i="8"/>
  <c r="F226" i="8"/>
  <c r="F17" i="8"/>
  <c r="F21" i="8"/>
  <c r="F23" i="8"/>
  <c r="F29" i="8"/>
  <c r="F38" i="8"/>
  <c r="F51" i="8"/>
  <c r="F66" i="8"/>
  <c r="F68" i="8"/>
  <c r="F65" i="8" s="1"/>
  <c r="F90" i="8"/>
  <c r="F92" i="8"/>
  <c r="F97" i="8"/>
  <c r="F99" i="8"/>
  <c r="F124" i="8"/>
  <c r="F131" i="8"/>
  <c r="F133" i="8"/>
  <c r="F135" i="8"/>
  <c r="F141" i="8"/>
  <c r="F143" i="8"/>
  <c r="F145" i="8"/>
  <c r="F147" i="8"/>
  <c r="F149" i="8"/>
  <c r="F151" i="8"/>
  <c r="F153" i="8"/>
  <c r="F155" i="8"/>
  <c r="F174" i="8"/>
  <c r="F178" i="8"/>
  <c r="F198" i="8"/>
  <c r="F214" i="8"/>
  <c r="F216" i="8"/>
  <c r="F219" i="8"/>
  <c r="F228" i="8"/>
  <c r="F235" i="8"/>
  <c r="F25" i="8"/>
  <c r="F31" i="8"/>
  <c r="F56" i="8"/>
  <c r="F58" i="8"/>
  <c r="F70" i="8"/>
  <c r="F75" i="8"/>
  <c r="F107" i="8"/>
  <c r="F113" i="8"/>
  <c r="F128" i="8"/>
  <c r="F125" i="8" s="1"/>
  <c r="F169" i="8"/>
  <c r="F171" i="8"/>
  <c r="F190" i="8"/>
  <c r="F192" i="8"/>
  <c r="F194" i="8"/>
  <c r="F200" i="8"/>
  <c r="F204" i="8"/>
  <c r="F222" i="8"/>
  <c r="F237" i="8"/>
  <c r="F213" i="8"/>
  <c r="AE212" i="8"/>
  <c r="P202" i="8"/>
  <c r="N12" i="8"/>
  <c r="W12" i="8"/>
  <c r="AF12" i="8"/>
  <c r="J12" i="8"/>
  <c r="S12" i="8"/>
  <c r="AA12" i="8"/>
  <c r="K12" i="8"/>
  <c r="X12" i="8"/>
  <c r="AE223" i="8"/>
  <c r="AE227" i="8"/>
  <c r="G12" i="8"/>
  <c r="T12" i="8"/>
  <c r="AB12" i="8"/>
  <c r="H12" i="8"/>
  <c r="L12" i="8"/>
  <c r="Q12" i="8"/>
  <c r="U12" i="8"/>
  <c r="Y12" i="8"/>
  <c r="AC12" i="8"/>
  <c r="S86" i="8"/>
  <c r="AE24" i="8"/>
  <c r="O12" i="8"/>
  <c r="AG12" i="8"/>
  <c r="I12" i="8"/>
  <c r="M12" i="8"/>
  <c r="R12" i="8"/>
  <c r="V12" i="8"/>
  <c r="Z12" i="8"/>
  <c r="AD12" i="8"/>
  <c r="C15" i="4"/>
  <c r="J63" i="13"/>
  <c r="I85" i="13"/>
  <c r="P85" i="13" s="1"/>
  <c r="L85" i="13"/>
  <c r="J85" i="13"/>
  <c r="K43" i="13"/>
  <c r="K72" i="13"/>
  <c r="K63" i="13" s="1"/>
  <c r="K85" i="13"/>
  <c r="AE71" i="8"/>
  <c r="F180" i="8"/>
  <c r="Q64" i="8"/>
  <c r="AE94" i="8"/>
  <c r="C14" i="4"/>
  <c r="E10" i="5"/>
  <c r="T1321" i="7"/>
  <c r="T1320" i="7" s="1"/>
  <c r="L63" i="13"/>
  <c r="G64" i="8"/>
  <c r="K64" i="8"/>
  <c r="O64" i="8"/>
  <c r="S64" i="8"/>
  <c r="W64" i="8"/>
  <c r="AA64" i="8"/>
  <c r="Y64" i="8"/>
  <c r="AE225" i="8"/>
  <c r="AG64" i="8"/>
  <c r="AE73" i="8"/>
  <c r="E12" i="8"/>
  <c r="AE69" i="8"/>
  <c r="I64" i="8"/>
  <c r="J86" i="8"/>
  <c r="AE96" i="8"/>
  <c r="AF86" i="8"/>
  <c r="AE157" i="8"/>
  <c r="AE221" i="8"/>
  <c r="H64" i="8"/>
  <c r="P64" i="8"/>
  <c r="X64" i="8"/>
  <c r="AA86" i="8"/>
  <c r="E11" i="8"/>
  <c r="P54" i="8"/>
  <c r="P12" i="8" s="1"/>
  <c r="E64" i="8"/>
  <c r="M64" i="8"/>
  <c r="U64" i="8"/>
  <c r="AC64" i="8"/>
  <c r="N86" i="8"/>
  <c r="L64" i="8"/>
  <c r="T64" i="8"/>
  <c r="AB64" i="8"/>
  <c r="AF64" i="8"/>
  <c r="AE50" i="8"/>
  <c r="F54" i="8"/>
  <c r="J64" i="8"/>
  <c r="N64" i="8"/>
  <c r="R64" i="8"/>
  <c r="V64" i="8"/>
  <c r="Z64" i="8"/>
  <c r="AD64" i="8"/>
  <c r="I86" i="8"/>
  <c r="M86" i="8"/>
  <c r="Q86" i="8"/>
  <c r="U86" i="8"/>
  <c r="Y86" i="8"/>
  <c r="AC86" i="8"/>
  <c r="R86" i="8"/>
  <c r="V86" i="8"/>
  <c r="Z86" i="8"/>
  <c r="AD86" i="8"/>
  <c r="W86" i="8"/>
  <c r="AE130" i="8"/>
  <c r="AE199" i="8"/>
  <c r="F209" i="8"/>
  <c r="AE208" i="8"/>
  <c r="F43" i="8"/>
  <c r="AE42" i="8"/>
  <c r="F84" i="8"/>
  <c r="AE83" i="8"/>
  <c r="G86" i="8"/>
  <c r="K86" i="8"/>
  <c r="O86" i="8"/>
  <c r="AE87" i="8"/>
  <c r="F176" i="8"/>
  <c r="AE173" i="8"/>
  <c r="F185" i="8"/>
  <c r="AE183" i="8"/>
  <c r="F233" i="8"/>
  <c r="AE232" i="8"/>
  <c r="F14" i="8"/>
  <c r="AE13" i="8"/>
  <c r="AE30" i="8"/>
  <c r="AE65" i="8"/>
  <c r="F78" i="8"/>
  <c r="AE77" i="8"/>
  <c r="H86" i="8"/>
  <c r="L86" i="8"/>
  <c r="AG86" i="8"/>
  <c r="F187" i="8"/>
  <c r="AE186" i="8"/>
  <c r="F82" i="8"/>
  <c r="AE81" i="8"/>
  <c r="F231" i="8"/>
  <c r="AE229" i="8"/>
  <c r="AE15" i="8"/>
  <c r="AE28" i="8"/>
  <c r="F34" i="8"/>
  <c r="AE33" i="8"/>
  <c r="AE36" i="8"/>
  <c r="F41" i="8"/>
  <c r="AE40" i="8"/>
  <c r="F47" i="8"/>
  <c r="AE44" i="8"/>
  <c r="F80" i="8"/>
  <c r="AE79" i="8"/>
  <c r="T86" i="8"/>
  <c r="X86" i="8"/>
  <c r="AB86" i="8"/>
  <c r="AE117" i="8"/>
  <c r="F189" i="8"/>
  <c r="AE188" i="8"/>
  <c r="F207" i="8"/>
  <c r="AE206" i="8"/>
  <c r="P86" i="8"/>
  <c r="AE125" i="8"/>
  <c r="AE196" i="8"/>
  <c r="AE234" i="8"/>
  <c r="AE236" i="8"/>
  <c r="AE238" i="8"/>
  <c r="H1321" i="7"/>
  <c r="H1320" i="7" s="1"/>
  <c r="AE100" i="8"/>
  <c r="C28" i="4"/>
  <c r="C27" i="4"/>
  <c r="C7" i="4"/>
  <c r="C8" i="4"/>
  <c r="N1334" i="7"/>
  <c r="AC1341" i="7"/>
  <c r="J1334" i="7"/>
  <c r="AD1334" i="7"/>
  <c r="D1338" i="7"/>
  <c r="C21" i="4"/>
  <c r="C22" i="4"/>
  <c r="Z1334" i="7"/>
  <c r="F1334" i="7"/>
  <c r="V1334" i="7"/>
  <c r="CB528" i="7"/>
  <c r="R1334" i="7"/>
  <c r="CB347" i="7"/>
  <c r="AC1339" i="7"/>
  <c r="T1334" i="7"/>
  <c r="O1321" i="7"/>
  <c r="O1320" i="7" s="1"/>
  <c r="H1334" i="7"/>
  <c r="P1334" i="7"/>
  <c r="X1334" i="7"/>
  <c r="F1321" i="7"/>
  <c r="F1320" i="7" s="1"/>
  <c r="J1321" i="7"/>
  <c r="J1320" i="7" s="1"/>
  <c r="N1321" i="7"/>
  <c r="N1320" i="7" s="1"/>
  <c r="R1321" i="7"/>
  <c r="R1320" i="7" s="1"/>
  <c r="V1321" i="7"/>
  <c r="V1320" i="7" s="1"/>
  <c r="Z1321" i="7"/>
  <c r="Z1320" i="7" s="1"/>
  <c r="AD1321" i="7"/>
  <c r="AD1320" i="7" s="1"/>
  <c r="D1341" i="7"/>
  <c r="L1321" i="7"/>
  <c r="L1320" i="7" s="1"/>
  <c r="AB1321" i="7"/>
  <c r="AB1320" i="7" s="1"/>
  <c r="Y1334" i="7"/>
  <c r="D1339" i="7"/>
  <c r="D1324" i="7"/>
  <c r="E1334" i="7"/>
  <c r="I1334" i="7"/>
  <c r="M1334" i="7"/>
  <c r="Q1334" i="7"/>
  <c r="U1334" i="7"/>
  <c r="L1334" i="7"/>
  <c r="AB1334" i="7"/>
  <c r="CB863" i="7"/>
  <c r="AE1321" i="7"/>
  <c r="AE1320" i="7" s="1"/>
  <c r="G1321" i="7"/>
  <c r="G1320" i="7" s="1"/>
  <c r="K1321" i="7"/>
  <c r="K1320" i="7" s="1"/>
  <c r="S1321" i="7"/>
  <c r="S1320" i="7" s="1"/>
  <c r="W1321" i="7"/>
  <c r="W1320" i="7" s="1"/>
  <c r="AA1321" i="7"/>
  <c r="AA1320" i="7" s="1"/>
  <c r="D1326" i="7"/>
  <c r="G1334" i="7"/>
  <c r="K1334" i="7"/>
  <c r="O1334" i="7"/>
  <c r="S1334" i="7"/>
  <c r="W1334" i="7"/>
  <c r="AA1334" i="7"/>
  <c r="AE1334" i="7"/>
  <c r="D1322" i="7"/>
  <c r="E1321" i="7"/>
  <c r="E1320" i="7" s="1"/>
  <c r="I1321" i="7"/>
  <c r="I1320" i="7" s="1"/>
  <c r="M1321" i="7"/>
  <c r="M1320" i="7" s="1"/>
  <c r="Q1321" i="7"/>
  <c r="Q1320" i="7" s="1"/>
  <c r="U1321" i="7"/>
  <c r="U1320" i="7" s="1"/>
  <c r="Y1321" i="7"/>
  <c r="Y1320" i="7" s="1"/>
  <c r="AC1321" i="7"/>
  <c r="AC1320" i="7" s="1"/>
  <c r="F212" i="8" l="1"/>
  <c r="F199" i="8"/>
  <c r="F36" i="8"/>
  <c r="S11" i="8"/>
  <c r="F157" i="8"/>
  <c r="F73" i="8"/>
  <c r="F30" i="8"/>
  <c r="F202" i="8"/>
  <c r="F100" i="8"/>
  <c r="F196" i="8"/>
  <c r="F117" i="8"/>
  <c r="F15" i="8"/>
  <c r="F87" i="8"/>
  <c r="F130" i="8"/>
  <c r="AE202" i="8"/>
  <c r="AE86" i="8" s="1"/>
  <c r="F96" i="8"/>
  <c r="K11" i="13"/>
  <c r="K10" i="13" s="1"/>
  <c r="J10" i="13"/>
  <c r="F206" i="8"/>
  <c r="F33" i="8"/>
  <c r="F229" i="8"/>
  <c r="F186" i="8"/>
  <c r="F13" i="8"/>
  <c r="F183" i="8"/>
  <c r="F221" i="8"/>
  <c r="F69" i="8"/>
  <c r="F50" i="8"/>
  <c r="F79" i="8"/>
  <c r="F40" i="8"/>
  <c r="F83" i="8"/>
  <c r="F24" i="8"/>
  <c r="F227" i="8"/>
  <c r="F28" i="8"/>
  <c r="F238" i="8"/>
  <c r="F223" i="8"/>
  <c r="F188" i="8"/>
  <c r="F81" i="8"/>
  <c r="F77" i="8"/>
  <c r="F232" i="8"/>
  <c r="F173" i="8"/>
  <c r="F208" i="8"/>
  <c r="F225" i="8"/>
  <c r="F71" i="8"/>
  <c r="F44" i="8"/>
  <c r="F42" i="8"/>
  <c r="F236" i="8"/>
  <c r="F234" i="8"/>
  <c r="F94" i="8"/>
  <c r="AC11" i="8"/>
  <c r="K11" i="8"/>
  <c r="AA11" i="8"/>
  <c r="R11" i="8"/>
  <c r="O11" i="8"/>
  <c r="W11" i="8"/>
  <c r="I11" i="8"/>
  <c r="T11" i="8"/>
  <c r="Z11" i="8"/>
  <c r="Y11" i="8"/>
  <c r="Q11" i="8"/>
  <c r="AE12" i="8"/>
  <c r="G11" i="8"/>
  <c r="V11" i="8"/>
  <c r="H11" i="8"/>
  <c r="AB11" i="8"/>
  <c r="AG11" i="8"/>
  <c r="P11" i="8"/>
  <c r="I10" i="13"/>
  <c r="P10" i="13" s="1"/>
  <c r="L10" i="13"/>
  <c r="J11" i="8"/>
  <c r="U11" i="8"/>
  <c r="AF11" i="8"/>
  <c r="L11" i="8"/>
  <c r="M11" i="8"/>
  <c r="X11" i="8"/>
  <c r="N11" i="8"/>
  <c r="AD11" i="8"/>
  <c r="AE64" i="8"/>
  <c r="D1335" i="7"/>
  <c r="CB245" i="7"/>
  <c r="AC1334" i="7"/>
  <c r="CB353" i="7"/>
  <c r="C9" i="4"/>
  <c r="C16" i="4"/>
  <c r="C23" i="4"/>
  <c r="CB519" i="7"/>
  <c r="CB514" i="7"/>
  <c r="CB522" i="7"/>
  <c r="CB533" i="7"/>
  <c r="CB550" i="7"/>
  <c r="CB517" i="7"/>
  <c r="CB357" i="7"/>
  <c r="CB530" i="7"/>
  <c r="CB509" i="7"/>
  <c r="CB979" i="7"/>
  <c r="CB435" i="7"/>
  <c r="CB325" i="7"/>
  <c r="CB202" i="7"/>
  <c r="D1321" i="7"/>
  <c r="D1320" i="7" s="1"/>
  <c r="CB342" i="7"/>
  <c r="CE503" i="7"/>
  <c r="CB503" i="7"/>
  <c r="CB350" i="7"/>
  <c r="CB239" i="7"/>
  <c r="CB865" i="7"/>
  <c r="CD1199" i="7" l="1"/>
  <c r="CD1198" i="7"/>
  <c r="CD340" i="7"/>
  <c r="F86" i="8"/>
  <c r="F12" i="8"/>
  <c r="F64" i="8"/>
  <c r="CD1159" i="7"/>
  <c r="CD1158" i="7"/>
  <c r="CD720" i="7"/>
  <c r="CD1157" i="7"/>
  <c r="CD760" i="7"/>
  <c r="CD722" i="7"/>
  <c r="CD721" i="7"/>
  <c r="CD764" i="7"/>
  <c r="CD761" i="7"/>
  <c r="CD763" i="7"/>
  <c r="CD762" i="7"/>
  <c r="CD747" i="7"/>
  <c r="CD746" i="7"/>
  <c r="CD745" i="7"/>
  <c r="CD749" i="7"/>
  <c r="CD748" i="7"/>
  <c r="CD750" i="7"/>
  <c r="CD744" i="7"/>
  <c r="CD836" i="7"/>
  <c r="CD1026" i="7"/>
  <c r="CD924" i="7"/>
  <c r="CD923" i="7"/>
  <c r="CD837" i="7"/>
  <c r="CD886" i="7"/>
  <c r="CD885" i="7"/>
  <c r="CD790" i="7"/>
  <c r="CD922" i="7"/>
  <c r="CD990" i="7"/>
  <c r="CD791" i="7"/>
  <c r="CD1022" i="7"/>
  <c r="CD991" i="7"/>
  <c r="CD677" i="7"/>
  <c r="CD1023" i="7"/>
  <c r="CD759" i="7"/>
  <c r="CD678" i="7"/>
  <c r="CD379" i="7"/>
  <c r="CD377" i="7"/>
  <c r="CD378" i="7"/>
  <c r="CD718" i="7"/>
  <c r="CD367" i="7"/>
  <c r="AE11" i="8"/>
  <c r="CD719" i="7"/>
  <c r="CD806" i="7"/>
  <c r="CD1177" i="7"/>
  <c r="CD742" i="7"/>
  <c r="CD741" i="7"/>
  <c r="D1334" i="7"/>
  <c r="CB126" i="7"/>
  <c r="CB647" i="7"/>
  <c r="CB861" i="7"/>
  <c r="CD1011" i="7"/>
  <c r="CD1010" i="7"/>
  <c r="CB553" i="7"/>
  <c r="CB765" i="7"/>
  <c r="CB872" i="7"/>
  <c r="CB380" i="7"/>
  <c r="CB362" i="7"/>
  <c r="AW362" i="7"/>
  <c r="CB467" i="7"/>
  <c r="CB1104" i="7"/>
  <c r="CB1222" i="7"/>
  <c r="CB511" i="7"/>
  <c r="CB292" i="7"/>
  <c r="CB535" i="7"/>
  <c r="CD1124" i="7"/>
  <c r="CD1178" i="7"/>
  <c r="CD1103" i="7"/>
  <c r="CD1099" i="7"/>
  <c r="CD1098" i="7"/>
  <c r="CD1097" i="7"/>
  <c r="CD1096" i="7"/>
  <c r="CD1090" i="7"/>
  <c r="CD1082" i="7"/>
  <c r="CD1033" i="7"/>
  <c r="CD1290" i="7"/>
  <c r="CD1102" i="7"/>
  <c r="CD1092" i="7"/>
  <c r="CD1024" i="7"/>
  <c r="CD1021" i="7"/>
  <c r="CD1017" i="7"/>
  <c r="CD1014" i="7"/>
  <c r="CD1004" i="7"/>
  <c r="CD997" i="7"/>
  <c r="CD993" i="7"/>
  <c r="CD980" i="7"/>
  <c r="CD970" i="7"/>
  <c r="CD965" i="7"/>
  <c r="CD952" i="7"/>
  <c r="CD949" i="7"/>
  <c r="CD944" i="7"/>
  <c r="CD942" i="7"/>
  <c r="CD933" i="7"/>
  <c r="CD931" i="7"/>
  <c r="CD928" i="7"/>
  <c r="CD918" i="7"/>
  <c r="CD915" i="7"/>
  <c r="CD912" i="7"/>
  <c r="CD906" i="7"/>
  <c r="CD903" i="7"/>
  <c r="CD900" i="7"/>
  <c r="CD895" i="7"/>
  <c r="CD891" i="7"/>
  <c r="CD883" i="7"/>
  <c r="CD881" i="7"/>
  <c r="CD879" i="7"/>
  <c r="CD872" i="7"/>
  <c r="CD871" i="7"/>
  <c r="CD1202" i="7"/>
  <c r="CD1032" i="7"/>
  <c r="CD1030" i="7"/>
  <c r="CD1025" i="7"/>
  <c r="CD1020" i="7"/>
  <c r="CD1018" i="7"/>
  <c r="CD1009" i="7"/>
  <c r="CD1007" i="7"/>
  <c r="CD1001" i="7"/>
  <c r="CD998" i="7"/>
  <c r="CD994" i="7"/>
  <c r="CD986" i="7"/>
  <c r="CD976" i="7"/>
  <c r="CD971" i="7"/>
  <c r="CD966" i="7"/>
  <c r="CD963" i="7"/>
  <c r="CD961" i="7"/>
  <c r="CD955" i="7"/>
  <c r="CD953" i="7"/>
  <c r="CD947" i="7"/>
  <c r="CD945" i="7"/>
  <c r="CD940" i="7"/>
  <c r="CD937" i="7"/>
  <c r="CD934" i="7"/>
  <c r="CD932" i="7"/>
  <c r="CD929" i="7"/>
  <c r="CD926" i="7"/>
  <c r="CD919" i="7"/>
  <c r="CD916" i="7"/>
  <c r="CD913" i="7"/>
  <c r="CD908" i="7"/>
  <c r="CD904" i="7"/>
  <c r="CD898" i="7"/>
  <c r="CD893" i="7"/>
  <c r="CD1100" i="7"/>
  <c r="CD1095" i="7"/>
  <c r="CD1094" i="7"/>
  <c r="CD1085" i="7"/>
  <c r="CD1083" i="7"/>
  <c r="CD1031" i="7"/>
  <c r="CD1016" i="7"/>
  <c r="CD1015" i="7"/>
  <c r="CD1012" i="7"/>
  <c r="CD1005" i="7"/>
  <c r="CD987" i="7"/>
  <c r="CD978" i="7"/>
  <c r="CD973" i="7"/>
  <c r="CD972" i="7"/>
  <c r="CD969" i="7"/>
  <c r="CD962" i="7"/>
  <c r="CD960" i="7"/>
  <c r="CD925" i="7"/>
  <c r="CD905" i="7"/>
  <c r="CD901" i="7"/>
  <c r="CD888" i="7"/>
  <c r="CD884" i="7"/>
  <c r="CD877" i="7"/>
  <c r="CD873" i="7"/>
  <c r="CD868" i="7"/>
  <c r="CD867" i="7"/>
  <c r="CD866" i="7"/>
  <c r="CD863" i="7"/>
  <c r="CD862" i="7"/>
  <c r="CD859" i="7"/>
  <c r="CD856" i="7"/>
  <c r="CD850" i="7"/>
  <c r="CD848" i="7"/>
  <c r="CD838" i="7"/>
  <c r="CD823" i="7"/>
  <c r="CD821" i="7"/>
  <c r="CD815" i="7"/>
  <c r="CD810" i="7"/>
  <c r="CD805" i="7"/>
  <c r="CD800" i="7"/>
  <c r="CD788" i="7"/>
  <c r="CD784" i="7"/>
  <c r="CD779" i="7"/>
  <c r="CD774" i="7"/>
  <c r="CD772" i="7"/>
  <c r="CD770" i="7"/>
  <c r="CD768" i="7"/>
  <c r="CD766" i="7"/>
  <c r="CD758" i="7"/>
  <c r="CD737" i="7"/>
  <c r="CD733" i="7"/>
  <c r="CD728" i="7"/>
  <c r="CD714" i="7"/>
  <c r="CD707" i="7"/>
  <c r="CD673" i="7"/>
  <c r="CD672" i="7"/>
  <c r="CD670" i="7"/>
  <c r="CD665" i="7"/>
  <c r="CD663" i="7"/>
  <c r="CD660" i="7"/>
  <c r="CD654" i="7"/>
  <c r="CD652" i="7"/>
  <c r="CD650" i="7"/>
  <c r="CD648" i="7"/>
  <c r="CD644" i="7"/>
  <c r="CD638" i="7"/>
  <c r="CD637" i="7"/>
  <c r="CD636" i="7"/>
  <c r="CD629" i="7"/>
  <c r="CD628" i="7"/>
  <c r="CD612" i="7"/>
  <c r="CD608" i="7"/>
  <c r="CD607" i="7"/>
  <c r="CD606" i="7"/>
  <c r="CD605" i="7"/>
  <c r="CD604" i="7"/>
  <c r="CD601" i="7"/>
  <c r="CD600" i="7"/>
  <c r="CD599" i="7"/>
  <c r="CD598" i="7"/>
  <c r="CD597" i="7"/>
  <c r="CD596" i="7"/>
  <c r="CD595" i="7"/>
  <c r="CD1091" i="7"/>
  <c r="CD1089" i="7"/>
  <c r="CD1088" i="7"/>
  <c r="CD1087" i="7"/>
  <c r="CD1086" i="7"/>
  <c r="CD1019" i="7"/>
  <c r="CD1008" i="7"/>
  <c r="CD1003" i="7"/>
  <c r="CD985" i="7"/>
  <c r="CD984" i="7"/>
  <c r="CD975" i="7"/>
  <c r="CD943" i="7"/>
  <c r="CD939" i="7"/>
  <c r="CD936" i="7"/>
  <c r="CD935" i="7"/>
  <c r="CD930" i="7"/>
  <c r="CD917" i="7"/>
  <c r="CD899" i="7"/>
  <c r="CD897" i="7"/>
  <c r="CD896" i="7"/>
  <c r="CD890" i="7"/>
  <c r="CD887" i="7"/>
  <c r="CD882" i="7"/>
  <c r="CD878" i="7"/>
  <c r="CD876" i="7"/>
  <c r="CD870" i="7"/>
  <c r="CD857" i="7"/>
  <c r="CD854" i="7"/>
  <c r="CD853" i="7"/>
  <c r="CD849" i="7"/>
  <c r="CD847" i="7"/>
  <c r="CD844" i="7"/>
  <c r="CD842" i="7"/>
  <c r="CD839" i="7"/>
  <c r="CD830" i="7"/>
  <c r="CD826" i="7"/>
  <c r="CD818" i="7"/>
  <c r="CD813" i="7"/>
  <c r="CD808" i="7"/>
  <c r="CD803" i="7"/>
  <c r="CD793" i="7"/>
  <c r="CD789" i="7"/>
  <c r="CD785" i="7"/>
  <c r="CD783" i="7"/>
  <c r="CD782" i="7"/>
  <c r="CD778" i="7"/>
  <c r="CD776" i="7"/>
  <c r="CD757" i="7"/>
  <c r="CD755" i="7"/>
  <c r="CD753" i="7"/>
  <c r="CD739" i="7"/>
  <c r="CD736" i="7"/>
  <c r="CD730" i="7"/>
  <c r="CD725" i="7"/>
  <c r="CD723" i="7"/>
  <c r="CD717" i="7"/>
  <c r="CD713" i="7"/>
  <c r="CD710" i="7"/>
  <c r="CD706" i="7"/>
  <c r="CD704" i="7"/>
  <c r="CD702" i="7"/>
  <c r="CD700" i="7"/>
  <c r="CD698" i="7"/>
  <c r="CD696" i="7"/>
  <c r="CD694" i="7"/>
  <c r="CD692" i="7"/>
  <c r="CD690" i="7"/>
  <c r="CD688" i="7"/>
  <c r="CD686" i="7"/>
  <c r="CD684" i="7"/>
  <c r="CD682" i="7"/>
  <c r="CD680" i="7"/>
  <c r="CD675" i="7"/>
  <c r="CD667" i="7"/>
  <c r="CD659" i="7"/>
  <c r="CD657" i="7"/>
  <c r="CD655" i="7"/>
  <c r="CD635" i="7"/>
  <c r="CD634" i="7"/>
  <c r="CD633" i="7"/>
  <c r="CD632" i="7"/>
  <c r="CD627" i="7"/>
  <c r="CD625" i="7"/>
  <c r="CD623" i="7"/>
  <c r="CD611" i="7"/>
  <c r="CD589" i="7"/>
  <c r="CD585" i="7"/>
  <c r="CD584" i="7"/>
  <c r="CD579" i="7"/>
  <c r="CD575" i="7"/>
  <c r="CD570" i="7"/>
  <c r="CD1101" i="7"/>
  <c r="CD1093" i="7"/>
  <c r="CD1013" i="7"/>
  <c r="CD981" i="7"/>
  <c r="CD964" i="7"/>
  <c r="CD954" i="7"/>
  <c r="CD951" i="7"/>
  <c r="CD950" i="7"/>
  <c r="CD911" i="7"/>
  <c r="CD909" i="7"/>
  <c r="CD880" i="7"/>
  <c r="CD875" i="7"/>
  <c r="CD874" i="7"/>
  <c r="CD864" i="7"/>
  <c r="CD852" i="7"/>
  <c r="CD846" i="7"/>
  <c r="CD819" i="7"/>
  <c r="CD802" i="7"/>
  <c r="CD794" i="7"/>
  <c r="CD792" i="7"/>
  <c r="CD754" i="7"/>
  <c r="CD752" i="7"/>
  <c r="CD743" i="7"/>
  <c r="CD724" i="7"/>
  <c r="CD716" i="7"/>
  <c r="CD661" i="7"/>
  <c r="CD658" i="7"/>
  <c r="CD656" i="7"/>
  <c r="CD647" i="7"/>
  <c r="CD622" i="7"/>
  <c r="CD609" i="7"/>
  <c r="CD594" i="7"/>
  <c r="CD593" i="7"/>
  <c r="CD592" i="7"/>
  <c r="CD591" i="7"/>
  <c r="CD590" i="7"/>
  <c r="CD588" i="7"/>
  <c r="CD587" i="7"/>
  <c r="CD583" i="7"/>
  <c r="CD582" i="7"/>
  <c r="CD567" i="7"/>
  <c r="CD566" i="7"/>
  <c r="CD562" i="7"/>
  <c r="CD557" i="7"/>
  <c r="CD535" i="7"/>
  <c r="CD528" i="7"/>
  <c r="CD527" i="7"/>
  <c r="CD524" i="7"/>
  <c r="CD522" i="7"/>
  <c r="CD521" i="7"/>
  <c r="CD515" i="7"/>
  <c r="CD511" i="7"/>
  <c r="CD499" i="7"/>
  <c r="CD497" i="7"/>
  <c r="CD473" i="7"/>
  <c r="CD472" i="7"/>
  <c r="CD464" i="7"/>
  <c r="CD454" i="7"/>
  <c r="CD448" i="7"/>
  <c r="CD444" i="7"/>
  <c r="CD436" i="7"/>
  <c r="CD431" i="7"/>
  <c r="CD427" i="7"/>
  <c r="CD423" i="7"/>
  <c r="CD413" i="7"/>
  <c r="CD405" i="7"/>
  <c r="CD403" i="7"/>
  <c r="CD402" i="7"/>
  <c r="CD389" i="7"/>
  <c r="CD380" i="7"/>
  <c r="CD368" i="7"/>
  <c r="CD364" i="7"/>
  <c r="CD361" i="7"/>
  <c r="CD347" i="7"/>
  <c r="CD343" i="7"/>
  <c r="CD331" i="7"/>
  <c r="CD321" i="7"/>
  <c r="CD320" i="7"/>
  <c r="CD319" i="7"/>
  <c r="CD317" i="7"/>
  <c r="CD315" i="7"/>
  <c r="CD312" i="7"/>
  <c r="CD309" i="7"/>
  <c r="CD308" i="7"/>
  <c r="CD306" i="7"/>
  <c r="CD302" i="7"/>
  <c r="CD300" i="7"/>
  <c r="CD295" i="7"/>
  <c r="CD279" i="7"/>
  <c r="CD274" i="7"/>
  <c r="CD256" i="7"/>
  <c r="CD255" i="7"/>
  <c r="CD241" i="7"/>
  <c r="CD236" i="7"/>
  <c r="CD208" i="7"/>
  <c r="CD203" i="7"/>
  <c r="CD193" i="7"/>
  <c r="CD192" i="7"/>
  <c r="CD191" i="7"/>
  <c r="CD189" i="7"/>
  <c r="CD149" i="7"/>
  <c r="CD141" i="7"/>
  <c r="CD130" i="7"/>
  <c r="CD113" i="7"/>
  <c r="CD109" i="7"/>
  <c r="CD93" i="7"/>
  <c r="CD92" i="7"/>
  <c r="CD67" i="7"/>
  <c r="CD66" i="7"/>
  <c r="CD63" i="7"/>
  <c r="CD56" i="7"/>
  <c r="CD49" i="7"/>
  <c r="CD43" i="7"/>
  <c r="CD36" i="7"/>
  <c r="CD35" i="7"/>
  <c r="CD32" i="7"/>
  <c r="CD25" i="7"/>
  <c r="CD1084" i="7"/>
  <c r="CD996" i="7"/>
  <c r="CD995" i="7"/>
  <c r="CD992" i="7"/>
  <c r="CD956" i="7"/>
  <c r="CD914" i="7"/>
  <c r="CD894" i="7"/>
  <c r="CD892" i="7"/>
  <c r="CD889" i="7"/>
  <c r="CD861" i="7"/>
  <c r="CD855" i="7"/>
  <c r="CD834" i="7"/>
  <c r="CD831" i="7"/>
  <c r="CD829" i="7"/>
  <c r="CD827" i="7"/>
  <c r="CD825" i="7"/>
  <c r="CD817" i="7"/>
  <c r="CD816" i="7"/>
  <c r="CD814" i="7"/>
  <c r="CD801" i="7"/>
  <c r="CD795" i="7"/>
  <c r="CD773" i="7"/>
  <c r="CD751" i="7"/>
  <c r="CD738" i="7"/>
  <c r="CD735" i="7"/>
  <c r="CD662" i="7"/>
  <c r="CD653" i="7"/>
  <c r="CD631" i="7"/>
  <c r="CD621" i="7"/>
  <c r="CD620" i="7"/>
  <c r="CD619" i="7"/>
  <c r="CD618" i="7"/>
  <c r="CD617" i="7"/>
  <c r="CD616" i="7"/>
  <c r="CD615" i="7"/>
  <c r="CD614" i="7"/>
  <c r="CD613" i="7"/>
  <c r="CD586" i="7"/>
  <c r="CD581" i="7"/>
  <c r="CD580" i="7"/>
  <c r="CD578" i="7"/>
  <c r="CD577" i="7"/>
  <c r="CD565" i="7"/>
  <c r="CD561" i="7"/>
  <c r="CD544" i="7"/>
  <c r="CD542" i="7"/>
  <c r="CD539" i="7"/>
  <c r="CD538" i="7"/>
  <c r="CD537" i="7"/>
  <c r="CD533" i="7"/>
  <c r="CD532" i="7"/>
  <c r="CD514" i="7"/>
  <c r="CD513" i="7"/>
  <c r="CD509" i="7"/>
  <c r="CD507" i="7"/>
  <c r="CD503" i="7"/>
  <c r="CD502" i="7"/>
  <c r="CD498" i="7"/>
  <c r="CD496" i="7"/>
  <c r="CD493" i="7"/>
  <c r="CD492" i="7"/>
  <c r="CD485" i="7"/>
  <c r="CD483" i="7"/>
  <c r="CD479" i="7"/>
  <c r="CD475" i="7"/>
  <c r="CD468" i="7"/>
  <c r="CD465" i="7"/>
  <c r="CD462" i="7"/>
  <c r="CD459" i="7"/>
  <c r="CD457" i="7"/>
  <c r="CD455" i="7"/>
  <c r="CD447" i="7"/>
  <c r="CD441" i="7"/>
  <c r="CD439" i="7"/>
  <c r="CD435" i="7"/>
  <c r="CD434" i="7"/>
  <c r="CD430" i="7"/>
  <c r="CD428" i="7"/>
  <c r="CD424" i="7"/>
  <c r="CD422" i="7"/>
  <c r="CD417" i="7"/>
  <c r="CD415" i="7"/>
  <c r="CD412" i="7"/>
  <c r="CD407" i="7"/>
  <c r="CD404" i="7"/>
  <c r="CD397" i="7"/>
  <c r="CD394" i="7"/>
  <c r="CD393" i="7"/>
  <c r="CD391" i="7"/>
  <c r="CD386" i="7"/>
  <c r="CD382" i="7"/>
  <c r="CD373" i="7"/>
  <c r="CD363" i="7"/>
  <c r="CD359" i="7"/>
  <c r="CD353" i="7"/>
  <c r="CD352" i="7"/>
  <c r="CD328" i="7"/>
  <c r="CD326" i="7"/>
  <c r="CD311" i="7"/>
  <c r="CD307" i="7"/>
  <c r="CD305" i="7"/>
  <c r="CD301" i="7"/>
  <c r="CD299" i="7"/>
  <c r="CD287" i="7"/>
  <c r="CD278" i="7"/>
  <c r="CD273" i="7"/>
  <c r="CD271" i="7"/>
  <c r="CD254" i="7"/>
  <c r="CD247" i="7"/>
  <c r="CD245" i="7"/>
  <c r="CD244" i="7"/>
  <c r="CD233" i="7"/>
  <c r="CD231" i="7"/>
  <c r="CD230" i="7"/>
  <c r="CD229" i="7"/>
  <c r="CD228" i="7"/>
  <c r="CD227" i="7"/>
  <c r="CD226" i="7"/>
  <c r="CD225" i="7"/>
  <c r="CD224" i="7"/>
  <c r="CD223" i="7"/>
  <c r="CD222" i="7"/>
  <c r="CD205" i="7"/>
  <c r="CD188" i="7"/>
  <c r="CD187" i="7"/>
  <c r="CD170" i="7"/>
  <c r="CD166" i="7"/>
  <c r="CD162" i="7"/>
  <c r="CD158" i="7"/>
  <c r="CD948" i="7"/>
  <c r="CD946" i="7"/>
  <c r="CD941" i="7"/>
  <c r="CD860" i="7"/>
  <c r="CD858" i="7"/>
  <c r="CD841" i="7"/>
  <c r="CD812" i="7"/>
  <c r="CD811" i="7"/>
  <c r="CD809" i="7"/>
  <c r="CD807" i="7"/>
  <c r="CD787" i="7"/>
  <c r="CD780" i="7"/>
  <c r="CD777" i="7"/>
  <c r="CD775" i="7"/>
  <c r="CD767" i="7"/>
  <c r="CD732" i="7"/>
  <c r="CD715" i="7"/>
  <c r="CD712" i="7"/>
  <c r="CD709" i="7"/>
  <c r="CD695" i="7"/>
  <c r="CD687" i="7"/>
  <c r="CD679" i="7"/>
  <c r="CD674" i="7"/>
  <c r="CD671" i="7"/>
  <c r="CD669" i="7"/>
  <c r="CD666" i="7"/>
  <c r="CD651" i="7"/>
  <c r="CD645" i="7"/>
  <c r="CD907" i="7"/>
  <c r="CD865" i="7"/>
  <c r="CD851" i="7"/>
  <c r="CD843" i="7"/>
  <c r="CD824" i="7"/>
  <c r="CD781" i="7"/>
  <c r="CD769" i="7"/>
  <c r="CD697" i="7"/>
  <c r="CD689" i="7"/>
  <c r="CD681" i="7"/>
  <c r="CD649" i="7"/>
  <c r="CD610" i="7"/>
  <c r="CD576" i="7"/>
  <c r="CD563" i="7"/>
  <c r="CD543" i="7"/>
  <c r="CD541" i="7"/>
  <c r="CD519" i="7"/>
  <c r="CD518" i="7"/>
  <c r="CD512" i="7"/>
  <c r="CD500" i="7"/>
  <c r="CD494" i="7"/>
  <c r="CD463" i="7"/>
  <c r="CD453" i="7"/>
  <c r="CD1002" i="7"/>
  <c r="CD979" i="7"/>
  <c r="CD967" i="7"/>
  <c r="CD957" i="7"/>
  <c r="CD927" i="7"/>
  <c r="CD845" i="7"/>
  <c r="CD822" i="7"/>
  <c r="CD820" i="7"/>
  <c r="CD804" i="7"/>
  <c r="CD771" i="7"/>
  <c r="CD756" i="7"/>
  <c r="CD699" i="7"/>
  <c r="CD691" i="7"/>
  <c r="CD683" i="7"/>
  <c r="CD630" i="7"/>
  <c r="CD559" i="7"/>
  <c r="CD553" i="7"/>
  <c r="CD552" i="7"/>
  <c r="CD551" i="7"/>
  <c r="CD550" i="7"/>
  <c r="CD548" i="7"/>
  <c r="CD531" i="7"/>
  <c r="CD520" i="7"/>
  <c r="CD517" i="7"/>
  <c r="CD505" i="7"/>
  <c r="CD488" i="7"/>
  <c r="CD477" i="7"/>
  <c r="CD461" i="7"/>
  <c r="CD446" i="7"/>
  <c r="CD1000" i="7"/>
  <c r="CD999" i="7"/>
  <c r="CD833" i="7"/>
  <c r="CD701" i="7"/>
  <c r="CD572" i="7"/>
  <c r="CD571" i="7"/>
  <c r="CD569" i="7"/>
  <c r="CD530" i="7"/>
  <c r="CD506" i="7"/>
  <c r="CD478" i="7"/>
  <c r="CD432" i="7"/>
  <c r="CD429" i="7"/>
  <c r="CD425" i="7"/>
  <c r="CD416" i="7"/>
  <c r="CD414" i="7"/>
  <c r="CD401" i="7"/>
  <c r="CD385" i="7"/>
  <c r="CD362" i="7"/>
  <c r="CD356" i="7"/>
  <c r="CD355" i="7"/>
  <c r="CD354" i="7"/>
  <c r="CD349" i="7"/>
  <c r="CD348" i="7"/>
  <c r="CD342" i="7"/>
  <c r="CD341" i="7"/>
  <c r="CD332" i="7"/>
  <c r="CD330" i="7"/>
  <c r="CD285" i="7"/>
  <c r="CD284" i="7"/>
  <c r="CD249" i="7"/>
  <c r="CD238" i="7"/>
  <c r="CD234" i="7"/>
  <c r="CD220" i="7"/>
  <c r="CD206" i="7"/>
  <c r="CD204" i="7"/>
  <c r="CD185" i="7"/>
  <c r="CD140" i="7"/>
  <c r="CD139" i="7"/>
  <c r="CD122" i="7"/>
  <c r="CD118" i="7"/>
  <c r="CD110" i="7"/>
  <c r="CD108" i="7"/>
  <c r="CD104" i="7"/>
  <c r="CD68" i="7"/>
  <c r="CD53" i="7"/>
  <c r="CD45" i="7"/>
  <c r="CD44" i="7"/>
  <c r="CD39" i="7"/>
  <c r="CD38" i="7"/>
  <c r="CD37" i="7"/>
  <c r="CD30" i="7"/>
  <c r="CD23" i="7"/>
  <c r="CD50" i="7"/>
  <c r="CD28" i="7"/>
  <c r="CD418" i="7"/>
  <c r="CD400" i="7"/>
  <c r="CD398" i="7"/>
  <c r="CD387" i="7"/>
  <c r="CD357" i="7"/>
  <c r="CD350" i="7"/>
  <c r="CD298" i="7"/>
  <c r="CD291" i="7"/>
  <c r="CD243" i="7"/>
  <c r="CD235" i="7"/>
  <c r="CD210" i="7"/>
  <c r="CD202" i="7"/>
  <c r="CD184" i="7"/>
  <c r="CD182" i="7"/>
  <c r="CD180" i="7"/>
  <c r="CD178" i="7"/>
  <c r="CD175" i="7"/>
  <c r="CD173" i="7"/>
  <c r="CD160" i="7"/>
  <c r="CD126" i="7"/>
  <c r="CD117" i="7"/>
  <c r="CD111" i="7"/>
  <c r="CD107" i="7"/>
  <c r="CD88" i="7"/>
  <c r="CD86" i="7"/>
  <c r="CD83" i="7"/>
  <c r="CD46" i="7"/>
  <c r="CD41" i="7"/>
  <c r="CD26" i="7"/>
  <c r="CD1006" i="7"/>
  <c r="CD786" i="7"/>
  <c r="CD734" i="7"/>
  <c r="CD705" i="7"/>
  <c r="CD693" i="7"/>
  <c r="CD556" i="7"/>
  <c r="CD516" i="7"/>
  <c r="CD482" i="7"/>
  <c r="CD466" i="7"/>
  <c r="CD433" i="7"/>
  <c r="CD426" i="7"/>
  <c r="CD395" i="7"/>
  <c r="CD392" i="7"/>
  <c r="CD369" i="7"/>
  <c r="CD360" i="7"/>
  <c r="CD333" i="7"/>
  <c r="CD329" i="7"/>
  <c r="CD327" i="7"/>
  <c r="CD325" i="7"/>
  <c r="CD304" i="7"/>
  <c r="CD296" i="7"/>
  <c r="CD281" i="7"/>
  <c r="CD272" i="7"/>
  <c r="CD269" i="7"/>
  <c r="CD268" i="7"/>
  <c r="CD265" i="7"/>
  <c r="CD262" i="7"/>
  <c r="CD261" i="7"/>
  <c r="CD260" i="7"/>
  <c r="CD248" i="7"/>
  <c r="CD246" i="7"/>
  <c r="CD221" i="7"/>
  <c r="CD217" i="7"/>
  <c r="CD194" i="7"/>
  <c r="CD186" i="7"/>
  <c r="CD129" i="7"/>
  <c r="CD123" i="7"/>
  <c r="CD119" i="7"/>
  <c r="CD115" i="7"/>
  <c r="CD105" i="7"/>
  <c r="CD75" i="7"/>
  <c r="CD71" i="7"/>
  <c r="CD52" i="7"/>
  <c r="CD29" i="7"/>
  <c r="CD22" i="7"/>
  <c r="CD270" i="7"/>
  <c r="CD232" i="7"/>
  <c r="CD214" i="7"/>
  <c r="CD212" i="7"/>
  <c r="CD195" i="7"/>
  <c r="CD165" i="7"/>
  <c r="CD155" i="7"/>
  <c r="CD151" i="7"/>
  <c r="CD150" i="7"/>
  <c r="CD137" i="7"/>
  <c r="CD128" i="7"/>
  <c r="CD124" i="7"/>
  <c r="CD120" i="7"/>
  <c r="CD106" i="7"/>
  <c r="CD72" i="7"/>
  <c r="CD59" i="7"/>
  <c r="CD48" i="7"/>
  <c r="CD42" i="7"/>
  <c r="CD765" i="7"/>
  <c r="CD729" i="7"/>
  <c r="CD727" i="7"/>
  <c r="CD711" i="7"/>
  <c r="CD668" i="7"/>
  <c r="CD574" i="7"/>
  <c r="CD573" i="7"/>
  <c r="CD568" i="7"/>
  <c r="CD564" i="7"/>
  <c r="CD560" i="7"/>
  <c r="CD547" i="7"/>
  <c r="CD545" i="7"/>
  <c r="CD504" i="7"/>
  <c r="CD501" i="7"/>
  <c r="CD487" i="7"/>
  <c r="CD399" i="7"/>
  <c r="CD344" i="7"/>
  <c r="CD292" i="7"/>
  <c r="CD290" i="7"/>
  <c r="CD286" i="7"/>
  <c r="CD253" i="7"/>
  <c r="CD239" i="7"/>
  <c r="CD237" i="7"/>
  <c r="CD219" i="7"/>
  <c r="CD207" i="7"/>
  <c r="CD183" i="7"/>
  <c r="CD181" i="7"/>
  <c r="CD179" i="7"/>
  <c r="CD177" i="7"/>
  <c r="CD176" i="7"/>
  <c r="CD172" i="7"/>
  <c r="CD164" i="7"/>
  <c r="CD156" i="7"/>
  <c r="CD148" i="7"/>
  <c r="CD147" i="7"/>
  <c r="CD146" i="7"/>
  <c r="CD145" i="7"/>
  <c r="CD144" i="7"/>
  <c r="CD143" i="7"/>
  <c r="CD142" i="7"/>
  <c r="CD121" i="7"/>
  <c r="CD112" i="7"/>
  <c r="CD103" i="7"/>
  <c r="CD101" i="7"/>
  <c r="CD94" i="7"/>
  <c r="CD91" i="7"/>
  <c r="CD89" i="7"/>
  <c r="CD87" i="7"/>
  <c r="CD84" i="7"/>
  <c r="CD82" i="7"/>
  <c r="CD77" i="7"/>
  <c r="CD61" i="7"/>
  <c r="CD54" i="7"/>
  <c r="CD24" i="7"/>
  <c r="CD840" i="7"/>
  <c r="CD708" i="7"/>
  <c r="CD685" i="7"/>
  <c r="CD558" i="7"/>
  <c r="CD540" i="7"/>
  <c r="CD470" i="7"/>
  <c r="CD467" i="7"/>
  <c r="CD443" i="7"/>
  <c r="CD406" i="7"/>
  <c r="CD390" i="7"/>
  <c r="CD383" i="7"/>
  <c r="CD365" i="7"/>
  <c r="CD358" i="7"/>
  <c r="CD334" i="7"/>
  <c r="CD316" i="7"/>
  <c r="CD310" i="7"/>
  <c r="CD303" i="7"/>
  <c r="CD297" i="7"/>
  <c r="CD294" i="7"/>
  <c r="CD282" i="7"/>
  <c r="CD280" i="7"/>
  <c r="CD242" i="7"/>
  <c r="CD218" i="7"/>
  <c r="CD213" i="7"/>
  <c r="CD209" i="7"/>
  <c r="CD169" i="7"/>
  <c r="CD161" i="7"/>
  <c r="CD154" i="7"/>
  <c r="CD114" i="7"/>
  <c r="CB838" i="7"/>
  <c r="CB867" i="7"/>
  <c r="CB679" i="7"/>
  <c r="CB752" i="7"/>
  <c r="CB473" i="7"/>
  <c r="CB309" i="7"/>
  <c r="CB156" i="7"/>
  <c r="AT1199" i="7" l="1"/>
  <c r="AT1198" i="7"/>
  <c r="AT760" i="7"/>
  <c r="F11" i="8"/>
  <c r="AT836" i="7"/>
  <c r="AT1026" i="7"/>
  <c r="AT924" i="7"/>
  <c r="AT923" i="7"/>
  <c r="AT835" i="7"/>
  <c r="AT885" i="7"/>
  <c r="AT837" i="7"/>
  <c r="AT922" i="7"/>
  <c r="AT886" i="7"/>
  <c r="AT990" i="7"/>
  <c r="AT791" i="7"/>
  <c r="AT1023" i="7"/>
  <c r="AT991" i="7"/>
  <c r="AT759" i="7"/>
  <c r="AT678" i="7"/>
  <c r="AT377" i="7"/>
  <c r="AT378" i="7"/>
  <c r="AT726" i="7"/>
  <c r="AT676" i="7"/>
  <c r="C43" i="4"/>
  <c r="C47" i="4" s="1"/>
  <c r="AT806" i="7"/>
  <c r="AT1177" i="7"/>
  <c r="AT1011" i="7"/>
  <c r="AT1010" i="7"/>
  <c r="AT1312" i="7"/>
  <c r="AT1310" i="7"/>
  <c r="AT1302" i="7"/>
  <c r="AT1299" i="7"/>
  <c r="AT1294" i="7"/>
  <c r="AT1284" i="7"/>
  <c r="AT1281" i="7"/>
  <c r="AT1278" i="7"/>
  <c r="AT1275" i="7"/>
  <c r="AT1269" i="7"/>
  <c r="AT1266" i="7"/>
  <c r="AT1263" i="7"/>
  <c r="AT1257" i="7"/>
  <c r="AT1250" i="7"/>
  <c r="AT1247" i="7"/>
  <c r="AT1315" i="7"/>
  <c r="AT1314" i="7"/>
  <c r="AT1313" i="7"/>
  <c r="AT1307" i="7"/>
  <c r="AT1298" i="7"/>
  <c r="AT1297" i="7"/>
  <c r="AT1283" i="7"/>
  <c r="AT1282" i="7"/>
  <c r="AT1276" i="7"/>
  <c r="AT1268" i="7"/>
  <c r="AT1267" i="7"/>
  <c r="AT1262" i="7"/>
  <c r="AT1261" i="7"/>
  <c r="AT1253" i="7"/>
  <c r="AT1248" i="7"/>
  <c r="AT1238" i="7"/>
  <c r="AT1235" i="7"/>
  <c r="AT1226" i="7"/>
  <c r="AT1224" i="7"/>
  <c r="AT1222" i="7"/>
  <c r="AT1215" i="7"/>
  <c r="AT1212" i="7"/>
  <c r="AT1207" i="7"/>
  <c r="AT1204" i="7"/>
  <c r="AT1201" i="7"/>
  <c r="AT1194" i="7"/>
  <c r="AT1191" i="7"/>
  <c r="AT1183" i="7"/>
  <c r="AT1180" i="7"/>
  <c r="AT1178" i="7"/>
  <c r="AT1175" i="7"/>
  <c r="AT1172" i="7"/>
  <c r="AT1169" i="7"/>
  <c r="AT1166" i="7"/>
  <c r="AT1163" i="7"/>
  <c r="AT1160" i="7"/>
  <c r="AT1151" i="7"/>
  <c r="AT1149" i="7"/>
  <c r="AT1141" i="7"/>
  <c r="AT1137" i="7"/>
  <c r="AT1132" i="7"/>
  <c r="AT1128" i="7"/>
  <c r="AT1121" i="7"/>
  <c r="AT1115" i="7"/>
  <c r="AT1311" i="7"/>
  <c r="AT1303" i="7"/>
  <c r="AT1296" i="7"/>
  <c r="AT1295" i="7"/>
  <c r="AT1293" i="7"/>
  <c r="AT1292" i="7"/>
  <c r="AT1289" i="7"/>
  <c r="AT1288" i="7"/>
  <c r="AT1271" i="7"/>
  <c r="AT1265" i="7"/>
  <c r="AT1260" i="7"/>
  <c r="AT1259" i="7"/>
  <c r="AT1258" i="7"/>
  <c r="AT1252" i="7"/>
  <c r="AT1251" i="7"/>
  <c r="AT1249" i="7"/>
  <c r="AT1246" i="7"/>
  <c r="AT1245" i="7"/>
  <c r="AT1244" i="7"/>
  <c r="AT1231" i="7"/>
  <c r="AT1230" i="7"/>
  <c r="AT1229" i="7"/>
  <c r="AT1219" i="7"/>
  <c r="AT1214" i="7"/>
  <c r="AT1213" i="7"/>
  <c r="AT1200" i="7"/>
  <c r="AT1192" i="7"/>
  <c r="AT1171" i="7"/>
  <c r="AT1170" i="7"/>
  <c r="AT1136" i="7"/>
  <c r="AT1135" i="7"/>
  <c r="AT1134" i="7"/>
  <c r="AT1120" i="7"/>
  <c r="AT1119" i="7"/>
  <c r="AT1113" i="7"/>
  <c r="AT1109" i="7"/>
  <c r="AT1105" i="7"/>
  <c r="AT1100" i="7"/>
  <c r="AT1092" i="7"/>
  <c r="AT1091" i="7"/>
  <c r="AT1083" i="7"/>
  <c r="AT1056" i="7"/>
  <c r="AT1055" i="7"/>
  <c r="AT1054" i="7"/>
  <c r="AT1053" i="7"/>
  <c r="AT1052" i="7"/>
  <c r="AT1051" i="7"/>
  <c r="AT1050" i="7"/>
  <c r="AT1032" i="7"/>
  <c r="AT1309" i="7"/>
  <c r="AT1308" i="7"/>
  <c r="AT1304" i="7"/>
  <c r="AT1301" i="7"/>
  <c r="AT1300" i="7"/>
  <c r="AT1287" i="7"/>
  <c r="AT1286" i="7"/>
  <c r="AT1285" i="7"/>
  <c r="AT1280" i="7"/>
  <c r="AT1279" i="7"/>
  <c r="AT1277" i="7"/>
  <c r="AT1274" i="7"/>
  <c r="AT1273" i="7"/>
  <c r="AT1270" i="7"/>
  <c r="AT1264" i="7"/>
  <c r="AT1237" i="7"/>
  <c r="AT1236" i="7"/>
  <c r="AT1227" i="7"/>
  <c r="AT1223" i="7"/>
  <c r="AT1218" i="7"/>
  <c r="AT1206" i="7"/>
  <c r="AT1190" i="7"/>
  <c r="AT1189" i="7"/>
  <c r="AT1182" i="7"/>
  <c r="AT1168" i="7"/>
  <c r="AT1167" i="7"/>
  <c r="AT1153" i="7"/>
  <c r="AT1148" i="7"/>
  <c r="AT1147" i="7"/>
  <c r="AT1146" i="7"/>
  <c r="AT1131" i="7"/>
  <c r="AT1130" i="7"/>
  <c r="AT1129" i="7"/>
  <c r="AT1117" i="7"/>
  <c r="AT1116" i="7"/>
  <c r="AT1112" i="7"/>
  <c r="AT1108" i="7"/>
  <c r="AT1103" i="7"/>
  <c r="AT1096" i="7"/>
  <c r="AT1290" i="7"/>
  <c r="AT1255" i="7"/>
  <c r="AT1242" i="7"/>
  <c r="AT1234" i="7"/>
  <c r="AT1233" i="7"/>
  <c r="AT1232" i="7"/>
  <c r="AT1225" i="7"/>
  <c r="AT1216" i="7"/>
  <c r="AT1205" i="7"/>
  <c r="AT1193" i="7"/>
  <c r="AT1187" i="7"/>
  <c r="AT1142" i="7"/>
  <c r="AT1125" i="7"/>
  <c r="AT1114" i="7"/>
  <c r="AT1111" i="7"/>
  <c r="AT1094" i="7"/>
  <c r="AT1093" i="7"/>
  <c r="AT1086" i="7"/>
  <c r="AT1069" i="7"/>
  <c r="AT1065" i="7"/>
  <c r="AT1061" i="7"/>
  <c r="AT1033" i="7"/>
  <c r="AT1016" i="7"/>
  <c r="AT1013" i="7"/>
  <c r="AT1006" i="7"/>
  <c r="AT1003" i="7"/>
  <c r="AT1000" i="7"/>
  <c r="AT996" i="7"/>
  <c r="AT985" i="7"/>
  <c r="AT979" i="7"/>
  <c r="AT975" i="7"/>
  <c r="AT973" i="7"/>
  <c r="AT969" i="7"/>
  <c r="AT962" i="7"/>
  <c r="AT960" i="7"/>
  <c r="AT956" i="7"/>
  <c r="AT954" i="7"/>
  <c r="AT951" i="7"/>
  <c r="AT946" i="7"/>
  <c r="AT939" i="7"/>
  <c r="AT936" i="7"/>
  <c r="AT930" i="7"/>
  <c r="AT925" i="7"/>
  <c r="AT917" i="7"/>
  <c r="AT911" i="7"/>
  <c r="AT909" i="7"/>
  <c r="AT902" i="7"/>
  <c r="AT899" i="7"/>
  <c r="AT897" i="7"/>
  <c r="AT888" i="7"/>
  <c r="AT876" i="7"/>
  <c r="AT874" i="7"/>
  <c r="AT1316" i="7"/>
  <c r="AT1256" i="7"/>
  <c r="AT1254" i="7"/>
  <c r="AT1243" i="7"/>
  <c r="AT1221" i="7"/>
  <c r="AT1220" i="7"/>
  <c r="AT1217" i="7"/>
  <c r="AT1210" i="7"/>
  <c r="AT1209" i="7"/>
  <c r="AT1208" i="7"/>
  <c r="AT1203" i="7"/>
  <c r="AT1195" i="7"/>
  <c r="AT1188" i="7"/>
  <c r="AT1179" i="7"/>
  <c r="AT1176" i="7"/>
  <c r="AT1174" i="7"/>
  <c r="AT1173" i="7"/>
  <c r="AT1164" i="7"/>
  <c r="AT1162" i="7"/>
  <c r="AT1161" i="7"/>
  <c r="AT1155" i="7"/>
  <c r="AT1154" i="7"/>
  <c r="AT1143" i="7"/>
  <c r="AT1126" i="7"/>
  <c r="AT1124" i="7"/>
  <c r="AT1123" i="7"/>
  <c r="AT1122" i="7"/>
  <c r="AT1070" i="7"/>
  <c r="AT1066" i="7"/>
  <c r="AT1062" i="7"/>
  <c r="AT1042" i="7"/>
  <c r="AT1024" i="7"/>
  <c r="AT1017" i="7"/>
  <c r="AT1014" i="7"/>
  <c r="AT1004" i="7"/>
  <c r="AT997" i="7"/>
  <c r="AT993" i="7"/>
  <c r="AT988" i="7"/>
  <c r="AT980" i="7"/>
  <c r="AT970" i="7"/>
  <c r="AT952" i="7"/>
  <c r="AT949" i="7"/>
  <c r="AT931" i="7"/>
  <c r="AT928" i="7"/>
  <c r="AT918" i="7"/>
  <c r="AT915" i="7"/>
  <c r="AT912" i="7"/>
  <c r="AT906" i="7"/>
  <c r="AT903" i="7"/>
  <c r="AT900" i="7"/>
  <c r="AT895" i="7"/>
  <c r="AT1305" i="7"/>
  <c r="AT1181" i="7"/>
  <c r="AT1165" i="7"/>
  <c r="AT1144" i="7"/>
  <c r="AT1110" i="7"/>
  <c r="AT1107" i="7"/>
  <c r="AT1104" i="7"/>
  <c r="AT1102" i="7"/>
  <c r="AT1101" i="7"/>
  <c r="AT1084" i="7"/>
  <c r="AT1082" i="7"/>
  <c r="AT1081" i="7"/>
  <c r="AT1080" i="7"/>
  <c r="AT1079" i="7"/>
  <c r="AT1078" i="7"/>
  <c r="AT1077" i="7"/>
  <c r="AT1076" i="7"/>
  <c r="AT1067" i="7"/>
  <c r="AT1059" i="7"/>
  <c r="AT1018" i="7"/>
  <c r="AT1007" i="7"/>
  <c r="AT999" i="7"/>
  <c r="AT967" i="7"/>
  <c r="AT964" i="7"/>
  <c r="AT950" i="7"/>
  <c r="AT947" i="7"/>
  <c r="AT945" i="7"/>
  <c r="AT941" i="7"/>
  <c r="AT934" i="7"/>
  <c r="AT927" i="7"/>
  <c r="AT914" i="7"/>
  <c r="AT907" i="7"/>
  <c r="AT892" i="7"/>
  <c r="AT880" i="7"/>
  <c r="AT865" i="7"/>
  <c r="AT861" i="7"/>
  <c r="AT858" i="7"/>
  <c r="AT845" i="7"/>
  <c r="AT843" i="7"/>
  <c r="AT840" i="7"/>
  <c r="AT834" i="7"/>
  <c r="AT831" i="7"/>
  <c r="AT829" i="7"/>
  <c r="AT827" i="7"/>
  <c r="AT825" i="7"/>
  <c r="AT820" i="7"/>
  <c r="AT817" i="7"/>
  <c r="AT812" i="7"/>
  <c r="AT809" i="7"/>
  <c r="AT807" i="7"/>
  <c r="AT802" i="7"/>
  <c r="AT796" i="7"/>
  <c r="AT794" i="7"/>
  <c r="AT792" i="7"/>
  <c r="AT777" i="7"/>
  <c r="AT775" i="7"/>
  <c r="AT765" i="7"/>
  <c r="AT754" i="7"/>
  <c r="AT752" i="7"/>
  <c r="AT735" i="7"/>
  <c r="AT731" i="7"/>
  <c r="AT727" i="7"/>
  <c r="AT724" i="7"/>
  <c r="AT705" i="7"/>
  <c r="AT701" i="7"/>
  <c r="AT699" i="7"/>
  <c r="AT697" i="7"/>
  <c r="AT695" i="7"/>
  <c r="AT693" i="7"/>
  <c r="AT691" i="7"/>
  <c r="AT689" i="7"/>
  <c r="AT687" i="7"/>
  <c r="AT685" i="7"/>
  <c r="AT683" i="7"/>
  <c r="AT681" i="7"/>
  <c r="AT658" i="7"/>
  <c r="AT656" i="7"/>
  <c r="AT647" i="7"/>
  <c r="AT645" i="7"/>
  <c r="AT643" i="7"/>
  <c r="AT642" i="7"/>
  <c r="AT641" i="7"/>
  <c r="AT640" i="7"/>
  <c r="AT639" i="7"/>
  <c r="AT630" i="7"/>
  <c r="AT613" i="7"/>
  <c r="AT609" i="7"/>
  <c r="AT1306" i="7"/>
  <c r="AT1186" i="7"/>
  <c r="AT1185" i="7"/>
  <c r="AT1184" i="7"/>
  <c r="AT1145" i="7"/>
  <c r="AT1090" i="7"/>
  <c r="AT1068" i="7"/>
  <c r="AT1060" i="7"/>
  <c r="AT1031" i="7"/>
  <c r="AT1025" i="7"/>
  <c r="AT1015" i="7"/>
  <c r="AT1012" i="7"/>
  <c r="AT1005" i="7"/>
  <c r="AT972" i="7"/>
  <c r="AT963" i="7"/>
  <c r="AT961" i="7"/>
  <c r="AT932" i="7"/>
  <c r="AT926" i="7"/>
  <c r="AT919" i="7"/>
  <c r="AT905" i="7"/>
  <c r="AT901" i="7"/>
  <c r="AT891" i="7"/>
  <c r="AT883" i="7"/>
  <c r="AT879" i="7"/>
  <c r="AT877" i="7"/>
  <c r="AT873" i="7"/>
  <c r="AT868" i="7"/>
  <c r="AT866" i="7"/>
  <c r="AT862" i="7"/>
  <c r="AT859" i="7"/>
  <c r="AT856" i="7"/>
  <c r="AT823" i="7"/>
  <c r="AT821" i="7"/>
  <c r="AT815" i="7"/>
  <c r="AT810" i="7"/>
  <c r="AT805" i="7"/>
  <c r="AT800" i="7"/>
  <c r="AT774" i="7"/>
  <c r="AT772" i="7"/>
  <c r="AT770" i="7"/>
  <c r="AT768" i="7"/>
  <c r="AT766" i="7"/>
  <c r="AT733" i="7"/>
  <c r="AT728" i="7"/>
  <c r="AT679" i="7"/>
  <c r="AT670" i="7"/>
  <c r="AT654" i="7"/>
  <c r="AT652" i="7"/>
  <c r="AT650" i="7"/>
  <c r="AT648" i="7"/>
  <c r="AT636" i="7"/>
  <c r="AT628" i="7"/>
  <c r="AT626" i="7"/>
  <c r="AT612" i="7"/>
  <c r="AT590" i="7"/>
  <c r="AT586" i="7"/>
  <c r="AT580" i="7"/>
  <c r="AT576" i="7"/>
  <c r="AT571" i="7"/>
  <c r="AT567" i="7"/>
  <c r="AT1152" i="7"/>
  <c r="AT1127" i="7"/>
  <c r="AT1072" i="7"/>
  <c r="AT998" i="7"/>
  <c r="AT966" i="7"/>
  <c r="AT953" i="7"/>
  <c r="AT940" i="7"/>
  <c r="AT937" i="7"/>
  <c r="AT857" i="7"/>
  <c r="AT849" i="7"/>
  <c r="AT844" i="7"/>
  <c r="AT838" i="7"/>
  <c r="AT785" i="7"/>
  <c r="AT757" i="7"/>
  <c r="AT740" i="7"/>
  <c r="AT702" i="7"/>
  <c r="AT700" i="7"/>
  <c r="AT698" i="7"/>
  <c r="AT696" i="7"/>
  <c r="AT694" i="7"/>
  <c r="AT692" i="7"/>
  <c r="AT690" i="7"/>
  <c r="AT688" i="7"/>
  <c r="AT686" i="7"/>
  <c r="AT684" i="7"/>
  <c r="AT682" i="7"/>
  <c r="AT680" i="7"/>
  <c r="AT664" i="7"/>
  <c r="AT649" i="7"/>
  <c r="AT611" i="7"/>
  <c r="AT610" i="7"/>
  <c r="AT589" i="7"/>
  <c r="AT584" i="7"/>
  <c r="AT569" i="7"/>
  <c r="AT568" i="7"/>
  <c r="AT563" i="7"/>
  <c r="AT558" i="7"/>
  <c r="AT556" i="7"/>
  <c r="AT547" i="7"/>
  <c r="AT543" i="7"/>
  <c r="AT540" i="7"/>
  <c r="AT529" i="7"/>
  <c r="AT512" i="7"/>
  <c r="AT504" i="7"/>
  <c r="AT500" i="7"/>
  <c r="AT487" i="7"/>
  <c r="AT474" i="7"/>
  <c r="AT466" i="7"/>
  <c r="AT446" i="7"/>
  <c r="AT437" i="7"/>
  <c r="AT429" i="7"/>
  <c r="AT425" i="7"/>
  <c r="AT416" i="7"/>
  <c r="AT406" i="7"/>
  <c r="AT398" i="7"/>
  <c r="AT381" i="7"/>
  <c r="AT365" i="7"/>
  <c r="AT354" i="7"/>
  <c r="AT348" i="7"/>
  <c r="AT342" i="7"/>
  <c r="AT329" i="7"/>
  <c r="AT327" i="7"/>
  <c r="AT325" i="7"/>
  <c r="AT313" i="7"/>
  <c r="AT304" i="7"/>
  <c r="AT294" i="7"/>
  <c r="AT285" i="7"/>
  <c r="AT280" i="7"/>
  <c r="AT252" i="7"/>
  <c r="AT248" i="7"/>
  <c r="AT246" i="7"/>
  <c r="AT239" i="7"/>
  <c r="AT234" i="7"/>
  <c r="AT232" i="7"/>
  <c r="AT212" i="7"/>
  <c r="AT210" i="7"/>
  <c r="AT206" i="7"/>
  <c r="AT204" i="7"/>
  <c r="AT202" i="7"/>
  <c r="AT172" i="7"/>
  <c r="AT168" i="7"/>
  <c r="AT164" i="7"/>
  <c r="AT160" i="7"/>
  <c r="AT138" i="7"/>
  <c r="AT135" i="7"/>
  <c r="AT131" i="7"/>
  <c r="AT128" i="7"/>
  <c r="AT110" i="7"/>
  <c r="AT57" i="7"/>
  <c r="AT53" i="7"/>
  <c r="AT50" i="7"/>
  <c r="AT46" i="7"/>
  <c r="AT41" i="7"/>
  <c r="AT37" i="7"/>
  <c r="AT33" i="7"/>
  <c r="AT29" i="7"/>
  <c r="AT26" i="7"/>
  <c r="AT1196" i="7"/>
  <c r="AT1063" i="7"/>
  <c r="AT955" i="7"/>
  <c r="AT935" i="7"/>
  <c r="AT916" i="7"/>
  <c r="AT898" i="7"/>
  <c r="AT890" i="7"/>
  <c r="AT882" i="7"/>
  <c r="AT881" i="7"/>
  <c r="AT875" i="7"/>
  <c r="AT872" i="7"/>
  <c r="AT864" i="7"/>
  <c r="AT863" i="7"/>
  <c r="AT852" i="7"/>
  <c r="AT819" i="7"/>
  <c r="AT803" i="7"/>
  <c r="AT793" i="7"/>
  <c r="AT783" i="7"/>
  <c r="AT755" i="7"/>
  <c r="AT753" i="7"/>
  <c r="AT723" i="7"/>
  <c r="AT659" i="7"/>
  <c r="AT657" i="7"/>
  <c r="AT655" i="7"/>
  <c r="AT623" i="7"/>
  <c r="AT622" i="7"/>
  <c r="AT588" i="7"/>
  <c r="AT587" i="7"/>
  <c r="AT583" i="7"/>
  <c r="AT582" i="7"/>
  <c r="AT579" i="7"/>
  <c r="AT566" i="7"/>
  <c r="AT562" i="7"/>
  <c r="AT557" i="7"/>
  <c r="AT553" i="7"/>
  <c r="AT550" i="7"/>
  <c r="AT534" i="7"/>
  <c r="AT530" i="7"/>
  <c r="AT524" i="7"/>
  <c r="AT521" i="7"/>
  <c r="AT517" i="7"/>
  <c r="AT515" i="7"/>
  <c r="AT510" i="7"/>
  <c r="AT499" i="7"/>
  <c r="AT486" i="7"/>
  <c r="AT484" i="7"/>
  <c r="AT476" i="7"/>
  <c r="AT469" i="7"/>
  <c r="AT467" i="7"/>
  <c r="AT464" i="7"/>
  <c r="AT460" i="7"/>
  <c r="AT458" i="7"/>
  <c r="AT454" i="7"/>
  <c r="AT448" i="7"/>
  <c r="AT444" i="7"/>
  <c r="AT442" i="7"/>
  <c r="AT436" i="7"/>
  <c r="AT427" i="7"/>
  <c r="AT423" i="7"/>
  <c r="AT420" i="7"/>
  <c r="AT413" i="7"/>
  <c r="AT405" i="7"/>
  <c r="AT396" i="7"/>
  <c r="AT389" i="7"/>
  <c r="AT368" i="7"/>
  <c r="AT364" i="7"/>
  <c r="AT361" i="7"/>
  <c r="AT357" i="7"/>
  <c r="AT350" i="7"/>
  <c r="AT343" i="7"/>
  <c r="AT331" i="7"/>
  <c r="AT317" i="7"/>
  <c r="AT315" i="7"/>
  <c r="AT312" i="7"/>
  <c r="AT308" i="7"/>
  <c r="AT302" i="7"/>
  <c r="AT295" i="7"/>
  <c r="AT292" i="7"/>
  <c r="AT279" i="7"/>
  <c r="AT274" i="7"/>
  <c r="AT255" i="7"/>
  <c r="AT251" i="7"/>
  <c r="AT241" i="7"/>
  <c r="AT236" i="7"/>
  <c r="AT208" i="7"/>
  <c r="AT203" i="7"/>
  <c r="AT171" i="7"/>
  <c r="AT167" i="7"/>
  <c r="AT163" i="7"/>
  <c r="AT159" i="7"/>
  <c r="AT156" i="7"/>
  <c r="AT1211" i="7"/>
  <c r="AT1064" i="7"/>
  <c r="AT1048" i="7"/>
  <c r="AT1047" i="7"/>
  <c r="AT1046" i="7"/>
  <c r="AT1045" i="7"/>
  <c r="AT1044" i="7"/>
  <c r="AT992" i="7"/>
  <c r="AT887" i="7"/>
  <c r="AT855" i="7"/>
  <c r="AT854" i="7"/>
  <c r="AT833" i="7"/>
  <c r="AT736" i="7"/>
  <c r="AT734" i="7"/>
  <c r="AT725" i="7"/>
  <c r="AT706" i="7"/>
  <c r="AT704" i="7"/>
  <c r="AT646" i="7"/>
  <c r="AT575" i="7"/>
  <c r="AT1241" i="7"/>
  <c r="AT1240" i="7"/>
  <c r="AT1239" i="7"/>
  <c r="AT1106" i="7"/>
  <c r="AT1071" i="7"/>
  <c r="AT1019" i="7"/>
  <c r="AT971" i="7"/>
  <c r="AT904" i="7"/>
  <c r="AT860" i="7"/>
  <c r="AT830" i="7"/>
  <c r="AT814" i="7"/>
  <c r="AT813" i="7"/>
  <c r="AT811" i="7"/>
  <c r="AT808" i="7"/>
  <c r="AT776" i="7"/>
  <c r="AT767" i="7"/>
  <c r="AT653" i="7"/>
  <c r="AT651" i="7"/>
  <c r="AT577" i="7"/>
  <c r="AT565" i="7"/>
  <c r="AT564" i="7"/>
  <c r="AT546" i="7"/>
  <c r="AT545" i="7"/>
  <c r="AT523" i="7"/>
  <c r="AT514" i="7"/>
  <c r="AT511" i="7"/>
  <c r="AT502" i="7"/>
  <c r="AT501" i="7"/>
  <c r="AT492" i="7"/>
  <c r="AT457" i="7"/>
  <c r="AT1140" i="7"/>
  <c r="AT1139" i="7"/>
  <c r="AT1138" i="7"/>
  <c r="AT1030" i="7"/>
  <c r="AT994" i="7"/>
  <c r="AT986" i="7"/>
  <c r="AT976" i="7"/>
  <c r="AT913" i="7"/>
  <c r="AT894" i="7"/>
  <c r="AT867" i="7"/>
  <c r="AT826" i="7"/>
  <c r="AT824" i="7"/>
  <c r="AT818" i="7"/>
  <c r="AT631" i="7"/>
  <c r="AT578" i="7"/>
  <c r="AT554" i="7"/>
  <c r="AT544" i="7"/>
  <c r="AT533" i="7"/>
  <c r="AT522" i="7"/>
  <c r="AT518" i="7"/>
  <c r="AT513" i="7"/>
  <c r="AT473" i="7"/>
  <c r="AT463" i="7"/>
  <c r="AT453" i="7"/>
  <c r="AT441" i="7"/>
  <c r="AT1040" i="7"/>
  <c r="AT1039" i="7"/>
  <c r="AT1038" i="7"/>
  <c r="AT1037" i="7"/>
  <c r="AT1036" i="7"/>
  <c r="AT1035" i="7"/>
  <c r="AT1034" i="7"/>
  <c r="AT1002" i="7"/>
  <c r="AT929" i="7"/>
  <c r="AT703" i="7"/>
  <c r="AT574" i="7"/>
  <c r="AT573" i="7"/>
  <c r="AT570" i="7"/>
  <c r="AT561" i="7"/>
  <c r="AT535" i="7"/>
  <c r="AT531" i="7"/>
  <c r="AT503" i="7"/>
  <c r="AT498" i="7"/>
  <c r="AT459" i="7"/>
  <c r="AT419" i="7"/>
  <c r="AT418" i="7"/>
  <c r="AT412" i="7"/>
  <c r="AT397" i="7"/>
  <c r="AT388" i="7"/>
  <c r="AT387" i="7"/>
  <c r="AT347" i="7"/>
  <c r="AT344" i="7"/>
  <c r="AT314" i="7"/>
  <c r="AT309" i="7"/>
  <c r="AT307" i="7"/>
  <c r="AT293" i="7"/>
  <c r="AT287" i="7"/>
  <c r="AT286" i="7"/>
  <c r="AT254" i="7"/>
  <c r="AT253" i="7"/>
  <c r="AT244" i="7"/>
  <c r="AT240" i="7"/>
  <c r="AT235" i="7"/>
  <c r="AT211" i="7"/>
  <c r="AT207" i="7"/>
  <c r="AT134" i="7"/>
  <c r="AT111" i="7"/>
  <c r="AT62" i="7"/>
  <c r="AT61" i="7"/>
  <c r="AT55" i="7"/>
  <c r="AT54" i="7"/>
  <c r="AT34" i="7"/>
  <c r="AT32" i="7"/>
  <c r="AT24" i="7"/>
  <c r="AT60" i="7"/>
  <c r="AT52" i="7"/>
  <c r="AT51" i="7"/>
  <c r="AT383" i="7"/>
  <c r="AT380" i="7"/>
  <c r="AT351" i="7"/>
  <c r="AT311" i="7"/>
  <c r="AT303" i="7"/>
  <c r="AT271" i="7"/>
  <c r="AT170" i="7"/>
  <c r="AT161" i="7"/>
  <c r="AT125" i="7"/>
  <c r="AT59" i="7"/>
  <c r="AT58" i="7"/>
  <c r="AT56" i="7"/>
  <c r="AT47" i="7"/>
  <c r="AT28" i="7"/>
  <c r="AT1008" i="7"/>
  <c r="AT984" i="7"/>
  <c r="AT943" i="7"/>
  <c r="AT632" i="7"/>
  <c r="AT528" i="7"/>
  <c r="AT447" i="7"/>
  <c r="AT438" i="7"/>
  <c r="AT435" i="7"/>
  <c r="AT430" i="7"/>
  <c r="AT428" i="7"/>
  <c r="AT424" i="7"/>
  <c r="AT422" i="7"/>
  <c r="AT417" i="7"/>
  <c r="AT404" i="7"/>
  <c r="AT386" i="7"/>
  <c r="AT385" i="7"/>
  <c r="AT363" i="7"/>
  <c r="AT362" i="7"/>
  <c r="AT330" i="7"/>
  <c r="AT278" i="7"/>
  <c r="AT250" i="7"/>
  <c r="AT233" i="7"/>
  <c r="AT205" i="7"/>
  <c r="AT139" i="7"/>
  <c r="AT133" i="7"/>
  <c r="AT132" i="7"/>
  <c r="AT130" i="7"/>
  <c r="AT126" i="7"/>
  <c r="AT45" i="7"/>
  <c r="AT44" i="7"/>
  <c r="AT39" i="7"/>
  <c r="AT31" i="7"/>
  <c r="AT30" i="7"/>
  <c r="AT23" i="7"/>
  <c r="AT281" i="7"/>
  <c r="AT273" i="7"/>
  <c r="AT129" i="7"/>
  <c r="AT115" i="7"/>
  <c r="AT49" i="7"/>
  <c r="AT43" i="7"/>
  <c r="AT22" i="7"/>
  <c r="AT804" i="7"/>
  <c r="AT801" i="7"/>
  <c r="AT773" i="7"/>
  <c r="AT548" i="7"/>
  <c r="AT536" i="7"/>
  <c r="AT505" i="7"/>
  <c r="AT468" i="7"/>
  <c r="AT455" i="7"/>
  <c r="AT407" i="7"/>
  <c r="AT390" i="7"/>
  <c r="AT384" i="7"/>
  <c r="AT358" i="7"/>
  <c r="AT352" i="7"/>
  <c r="AT316" i="7"/>
  <c r="AT310" i="7"/>
  <c r="AT301" i="7"/>
  <c r="AT245" i="7"/>
  <c r="AT242" i="7"/>
  <c r="AT209" i="7"/>
  <c r="AT169" i="7"/>
  <c r="AT166" i="7"/>
  <c r="AT165" i="7"/>
  <c r="AT158" i="7"/>
  <c r="AT157" i="7"/>
  <c r="AT137" i="7"/>
  <c r="AT136" i="7"/>
  <c r="AT127" i="7"/>
  <c r="AT113" i="7"/>
  <c r="AT63" i="7"/>
  <c r="AT42" i="7"/>
  <c r="AT27" i="7"/>
  <c r="AT25" i="7"/>
  <c r="AT896" i="7"/>
  <c r="AT816" i="7"/>
  <c r="AT559" i="7"/>
  <c r="AT509" i="7"/>
  <c r="AT485" i="7"/>
  <c r="AT483" i="7"/>
  <c r="AT475" i="7"/>
  <c r="AT465" i="7"/>
  <c r="AT395" i="7"/>
  <c r="AT393" i="7"/>
  <c r="AT392" i="7"/>
  <c r="AT367" i="7"/>
  <c r="AT366" i="7"/>
  <c r="AT360" i="7"/>
  <c r="AT353" i="7"/>
  <c r="AT328" i="7"/>
  <c r="AT326" i="7"/>
  <c r="AT296" i="7"/>
  <c r="AT272" i="7"/>
  <c r="AT247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/>
    <author>RePack by Diakov</author>
  </authors>
  <commentList>
    <comment ref="L43" authorId="0" shapeId="0" xr:uid="{CB5758D8-3845-4B35-BF9F-3ED37625BDB1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 shapeId="0" xr:uid="{D13DED94-57FC-44AF-B20F-26367D38C2BE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 shapeId="0" xr:uid="{2E59F02A-3D24-413E-9ED5-178E0A2617D2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 shapeId="0" xr:uid="{A5966A21-4466-4A49-8F82-C2B7CE70140B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 shapeId="0" xr:uid="{2EDCEB3F-5741-4CEF-A750-9C95EF59AA4C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 shapeId="0" xr:uid="{D97CACF7-CA91-4FC4-B73B-CCA660D4BCF8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 shapeId="0" xr:uid="{E8D1FFBC-E92B-4021-9D64-0BBC76CD8C6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 shapeId="0" xr:uid="{00000000-0006-0000-0000-000004000000}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 shapeId="0" xr:uid="{00000000-0006-0000-0000-000005000000}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 shapeId="0" xr:uid="{00000000-0006-0000-0000-000006000000}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 shapeId="0" xr:uid="{CCB0F606-0021-490A-9C1D-2D507F2A5C52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 shapeId="0" xr:uid="{E401DB6F-7A9C-41B9-8D1B-02E4C2E690B8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 shapeId="0" xr:uid="{FDC06340-B34C-401C-9A80-5532F7E88EB3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G870" authorId="0" shapeId="0" xr:uid="{A4AA0200-904B-46F3-AF51-8F923B3FD88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871" authorId="0" shapeId="0" xr:uid="{60657A04-947B-436C-BCC2-401F49A0008C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>Екатерина Александровна Бутылина</author>
  </authors>
  <commentList>
    <comment ref="AE47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 xml:space="preserve">Оплачено только 6284,85
</t>
        </r>
      </text>
    </comment>
    <comment ref="C235" authorId="1" shapeId="0" xr:uid="{00000000-0006-0000-0600-000002000000}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sharedStrings.xml><?xml version="1.0" encoding="utf-8"?>
<sst xmlns="http://schemas.openxmlformats.org/spreadsheetml/2006/main" count="15020" uniqueCount="2451">
  <si>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</si>
  <si>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</si>
  <si>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</si>
  <si>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</si>
  <si>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</si>
  <si>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</si>
  <si>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</si>
  <si>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</si>
  <si>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</si>
  <si>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</si>
  <si>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</si>
  <si>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</si>
  <si>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</si>
  <si>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</si>
  <si>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</si>
  <si>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</si>
  <si>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</si>
  <si>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</si>
  <si>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</si>
  <si>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</si>
  <si>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</si>
  <si>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</si>
  <si>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</si>
  <si>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</si>
  <si>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</si>
  <si>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</si>
  <si>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</si>
  <si>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</si>
  <si>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</si>
  <si>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</si>
  <si>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</si>
  <si>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</si>
  <si>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</si>
  <si>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</si>
  <si>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</si>
  <si>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</si>
  <si>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</si>
  <si>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</si>
  <si>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</si>
  <si>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</si>
  <si>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</si>
  <si>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</si>
  <si>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</si>
  <si>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</si>
  <si>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</si>
  <si>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</si>
  <si>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</si>
  <si>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</si>
  <si>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</si>
  <si>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</si>
  <si>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</si>
  <si>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</si>
  <si>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</si>
  <si>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</si>
  <si>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</si>
  <si>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</si>
  <si>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</si>
  <si>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</si>
  <si>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</si>
  <si>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</si>
  <si>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</si>
  <si>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</si>
  <si>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</si>
  <si>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</si>
  <si>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</si>
  <si>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</si>
  <si>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</si>
  <si>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49</t>
  </si>
  <si>
    <t>Петушинский р-н, Покров г, 3 Интернационала ул, 55</t>
  </si>
  <si>
    <t>Петушинский р-н, Покров г, Пролетарская ул, 5</t>
  </si>
  <si>
    <t>Петушинский р-н, Труд п, Советская ул, 3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</si>
  <si>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</si>
  <si>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</si>
  <si>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</si>
  <si>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</si>
  <si>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</si>
  <si>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</si>
  <si>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</si>
  <si>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</si>
  <si>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</si>
  <si>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</si>
  <si>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</si>
  <si>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</si>
  <si>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</si>
  <si>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</si>
  <si>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</si>
  <si>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</si>
  <si>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</si>
  <si>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</si>
  <si>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</si>
  <si>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</si>
  <si>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</si>
  <si>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</si>
  <si>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</si>
  <si>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</si>
  <si>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</si>
  <si>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</si>
  <si>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</si>
  <si>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</si>
  <si>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</si>
  <si>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</si>
  <si>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</si>
  <si>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</si>
  <si>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</si>
  <si>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</si>
  <si>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</si>
  <si>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</si>
  <si>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</si>
  <si>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</si>
  <si>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</si>
  <si>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</si>
  <si>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</si>
  <si>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</si>
  <si>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</si>
  <si>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</si>
  <si>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</si>
  <si>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</si>
  <si>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</si>
  <si>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</si>
  <si>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 г, Томаровича ул, 5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</si>
  <si>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</si>
  <si>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</si>
  <si>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</si>
  <si>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</si>
  <si>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</si>
  <si>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</si>
  <si>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</si>
  <si>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</si>
  <si>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</si>
  <si>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</si>
  <si>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</si>
  <si>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Большая Московская ул, 1а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</si>
  <si>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</si>
  <si>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</si>
  <si>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</si>
  <si>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</si>
  <si>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</si>
  <si>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</si>
  <si>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</si>
  <si>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</si>
  <si>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</si>
  <si>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</si>
  <si>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</si>
  <si>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</si>
  <si>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</si>
  <si>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</si>
  <si>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</si>
  <si>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</si>
  <si>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</si>
  <si>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</si>
  <si>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</si>
  <si>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</si>
  <si>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</si>
  <si>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</si>
  <si>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</si>
  <si>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</si>
  <si>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Гоголя ул, 1Б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</si>
  <si>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</si>
  <si>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</si>
  <si>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</si>
  <si>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</si>
  <si>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</si>
  <si>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Лакинск г, Мира ул, 101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</si>
  <si>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</si>
  <si>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</si>
  <si>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</si>
  <si>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</si>
  <si>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</si>
  <si>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</si>
  <si>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</si>
  <si>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</si>
  <si>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</si>
  <si>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</si>
  <si>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</si>
  <si>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</si>
  <si>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</si>
  <si>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</si>
  <si>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</si>
  <si>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</si>
  <si>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</si>
  <si>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Строительная ул, 3</t>
  </si>
  <si>
    <t>Ковровский р-н, подстанция Заря р-н, 1</t>
  </si>
  <si>
    <t>Ковровский р-н, Мелехово пгт, Школьный пер, 27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</si>
  <si>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</si>
  <si>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</si>
  <si>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</si>
  <si>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</si>
  <si>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</si>
  <si>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</si>
  <si>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</si>
  <si>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</si>
  <si>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Боголюбово п, Западная ул, 5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</si>
  <si>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</si>
  <si>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</si>
  <si>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</si>
  <si>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</si>
  <si>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</si>
  <si>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</si>
  <si>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</si>
  <si>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60</t>
  </si>
  <si>
    <t>Муромский р-н, Механизаторов п, 64</t>
  </si>
  <si>
    <t>Муромский р-н, Муромский п, Садовая ул, 26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</si>
  <si>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</si>
  <si>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</si>
  <si>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</si>
  <si>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</si>
  <si>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</si>
  <si>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</si>
  <si>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</si>
  <si>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Муромский п, Северная ул, 19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</si>
  <si>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</si>
  <si>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</si>
  <si>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</si>
  <si>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</si>
  <si>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</si>
  <si>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</si>
  <si>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</si>
  <si>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</si>
  <si>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</si>
  <si>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</si>
  <si>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</si>
  <si>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</si>
  <si>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</si>
  <si>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</si>
  <si>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</si>
  <si>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</si>
  <si>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</si>
  <si>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</si>
  <si>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</si>
  <si>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</si>
  <si>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</si>
  <si>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</si>
  <si>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</si>
  <si>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</si>
  <si>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</si>
  <si>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</si>
  <si>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</si>
  <si>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</si>
  <si>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</si>
  <si>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</si>
  <si>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</si>
  <si>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</si>
  <si>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</si>
  <si>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</si>
  <si>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</si>
  <si>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</si>
  <si>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</si>
  <si>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</si>
  <si>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</si>
  <si>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</si>
  <si>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</si>
  <si>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</si>
  <si>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</si>
  <si>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</si>
  <si>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</si>
  <si>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</si>
  <si>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</si>
  <si>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</si>
  <si>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</si>
  <si>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</si>
  <si>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</si>
  <si>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</si>
  <si>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</si>
  <si>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</si>
  <si>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</si>
  <si>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</si>
  <si>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</si>
  <si>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</si>
  <si>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</si>
  <si>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</si>
  <si>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</si>
  <si>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</si>
  <si>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</si>
  <si>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</si>
  <si>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ООО УК "Наш дом"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</si>
  <si>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</si>
  <si>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</si>
  <si>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</si>
  <si>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</si>
  <si>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</si>
  <si>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</si>
  <si>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</si>
  <si>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</si>
  <si>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</si>
  <si>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</si>
  <si>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</si>
  <si>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</si>
  <si>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</si>
  <si>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</si>
  <si>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</si>
  <si>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</si>
  <si>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</si>
  <si>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</si>
  <si>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</si>
  <si>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</si>
  <si>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</si>
  <si>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</si>
  <si>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</si>
  <si>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</si>
  <si>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Гоголя, д.1б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</si>
  <si>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</si>
  <si>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</si>
  <si>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</si>
  <si>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</si>
  <si>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</si>
  <si>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</si>
  <si>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</si>
  <si>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</si>
  <si>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</si>
  <si>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</si>
  <si>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</si>
  <si>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</si>
  <si>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</si>
  <si>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</si>
  <si>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</si>
  <si>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1970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</si>
  <si>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</si>
  <si>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</si>
  <si>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</si>
  <si>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</si>
  <si>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</si>
  <si>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</si>
  <si>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</si>
  <si>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</si>
  <si>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</si>
  <si>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</si>
  <si>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</si>
  <si>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</si>
  <si>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</si>
  <si>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</si>
  <si>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</si>
  <si>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</si>
  <si>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</si>
  <si>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</si>
  <si>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</si>
  <si>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</si>
  <si>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</si>
  <si>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</si>
  <si>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</si>
  <si>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</si>
  <si>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</si>
  <si>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</si>
  <si>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</si>
  <si>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</si>
  <si>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</si>
  <si>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</si>
  <si>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</si>
  <si>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</si>
  <si>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</si>
  <si>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</si>
  <si>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</si>
  <si>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</si>
  <si>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</si>
  <si>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</si>
  <si>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</si>
  <si>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</si>
  <si>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</si>
  <si>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</si>
  <si>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</si>
  <si>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2002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</si>
  <si>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</si>
  <si>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</si>
  <si>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</si>
  <si>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</si>
  <si>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</si>
  <si>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</si>
  <si>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</si>
  <si>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</si>
  <si>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1978</t>
  </si>
  <si>
    <t>1985</t>
  </si>
  <si>
    <t>1974</t>
  </si>
  <si>
    <t>6</t>
  </si>
  <si>
    <t>1956</t>
  </si>
  <si>
    <t>1983</t>
  </si>
  <si>
    <t>1966</t>
  </si>
  <si>
    <t>1994</t>
  </si>
  <si>
    <t>1973</t>
  </si>
  <si>
    <t>1963</t>
  </si>
  <si>
    <t>1965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</si>
  <si>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</si>
  <si>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</si>
  <si>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</si>
  <si>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</si>
  <si>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</si>
  <si>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1-й кв-л, 12А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</si>
  <si>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</si>
  <si>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</si>
  <si>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</si>
  <si>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</si>
  <si>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</si>
  <si>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</si>
  <si>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</si>
  <si>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</si>
  <si>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</si>
  <si>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</si>
  <si>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</si>
  <si>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</si>
  <si>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</si>
  <si>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</si>
  <si>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</si>
  <si>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</si>
  <si>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</si>
  <si>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</si>
  <si>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</si>
  <si>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</si>
  <si>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</si>
  <si>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</si>
  <si>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</si>
  <si>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</si>
  <si>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</si>
  <si>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</si>
  <si>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</si>
  <si>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</si>
  <si>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</si>
  <si>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</si>
  <si>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</si>
  <si>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</si>
  <si>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</si>
  <si>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</si>
  <si>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Первомайская ул, 22</t>
  </si>
  <si>
    <t>Муром г, Филатова ул, 19а</t>
  </si>
  <si>
    <t>Муром г, Цветочный б-р, 6</t>
  </si>
  <si>
    <t>Муром г, Южная ул, 7</t>
  </si>
  <si>
    <t>Муром г, 30 лет Победы ул, 1</t>
  </si>
  <si>
    <t>Муром г, Артема ул, 11</t>
  </si>
  <si>
    <t>Муром г, Заводская ул, 21</t>
  </si>
  <si>
    <t>Муром г, Кирова ул, 26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</si>
  <si>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</si>
  <si>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</si>
  <si>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</si>
  <si>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</si>
  <si>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</si>
  <si>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</si>
  <si>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Октябрьская ул, 106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</si>
  <si>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</si>
  <si>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</si>
  <si>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</si>
  <si>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</si>
  <si>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</si>
  <si>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</si>
  <si>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</si>
  <si>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</si>
  <si>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</si>
  <si>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</si>
  <si>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</si>
  <si>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</si>
  <si>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</si>
  <si>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</si>
  <si>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</si>
  <si>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</si>
  <si>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</si>
  <si>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</si>
  <si>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</si>
  <si>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</si>
  <si>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</si>
  <si>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</si>
  <si>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</si>
  <si>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</si>
  <si>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</si>
  <si>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</si>
  <si>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</si>
  <si>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</si>
  <si>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</si>
  <si>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</si>
  <si>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</si>
  <si>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</si>
  <si>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</si>
  <si>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</si>
  <si>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</si>
  <si>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</si>
  <si>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</si>
  <si>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</si>
  <si>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</si>
  <si>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</si>
  <si>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</si>
  <si>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</si>
  <si>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</si>
  <si>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</si>
  <si>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</si>
  <si>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</si>
  <si>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</si>
  <si>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</si>
  <si>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</si>
  <si>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</si>
  <si>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</si>
  <si>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</si>
  <si>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</si>
  <si>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</si>
  <si>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</si>
  <si>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</si>
  <si>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</si>
  <si>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</si>
  <si>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</si>
  <si>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</si>
  <si>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</si>
  <si>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</si>
  <si>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</si>
  <si>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</si>
  <si>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</si>
  <si>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</si>
  <si>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</si>
  <si>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</si>
  <si>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</si>
  <si>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</si>
  <si>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</si>
  <si>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</si>
  <si>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</si>
  <si>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</si>
  <si>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</si>
  <si>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</si>
  <si>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</si>
  <si>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</si>
  <si>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</si>
  <si>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</si>
  <si>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</si>
  <si>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</si>
  <si>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</si>
  <si>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</si>
  <si>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</si>
  <si>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</si>
  <si>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</si>
  <si>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</si>
  <si>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</si>
  <si>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</si>
  <si>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</si>
  <si>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</si>
  <si>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</si>
  <si>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</si>
  <si>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</si>
  <si>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</si>
  <si>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</si>
  <si>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</si>
  <si>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</si>
  <si>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</si>
  <si>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Белоконской ул, 15В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</si>
  <si>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</si>
  <si>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</si>
  <si>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</si>
  <si>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</si>
  <si>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</si>
  <si>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</si>
  <si>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</si>
  <si>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</si>
  <si>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</si>
  <si>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Добросельская ул, 211а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</si>
  <si>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</si>
  <si>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</si>
  <si>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</si>
  <si>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</si>
  <si>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</si>
  <si>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Михайловская ул, 20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</si>
  <si>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</si>
  <si>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</si>
  <si>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</si>
  <si>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</si>
  <si>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</si>
  <si>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Поселок РТС ул, 1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</si>
  <si>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</si>
  <si>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</si>
  <si>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</si>
  <si>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</si>
  <si>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</si>
  <si>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</si>
  <si>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</si>
  <si>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</si>
  <si>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</si>
  <si>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</si>
  <si>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</si>
  <si>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</si>
  <si>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</si>
  <si>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Балакирева ул, 37г</t>
  </si>
  <si>
    <t>Владимир г, Балакирева ул, 39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</si>
  <si>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</si>
  <si>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</si>
  <si>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</si>
  <si>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</si>
  <si>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</si>
  <si>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</t>
  </si>
  <si>
    <t>Владимир г, Жуковского ул, 8Б</t>
  </si>
  <si>
    <t>Владимир г, Казарменная ул, 5</t>
  </si>
  <si>
    <t>Владимир г, Каманина ул, 14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</si>
  <si>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</si>
  <si>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</si>
  <si>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</si>
  <si>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</si>
  <si>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</si>
  <si>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</si>
  <si>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</si>
  <si>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</si>
  <si>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</si>
  <si>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</si>
  <si>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12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</si>
  <si>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</si>
  <si>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</si>
  <si>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</si>
  <si>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</si>
  <si>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4А</t>
  </si>
  <si>
    <t>Владимир г, Строителей пр-кт, 16Б</t>
  </si>
  <si>
    <t>Владимир г, Строителей пр-кт, 25</t>
  </si>
  <si>
    <t>Владимир г, Строителей пр-кт, 42А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</si>
  <si>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</si>
  <si>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</si>
  <si>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</si>
  <si>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</si>
  <si>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</si>
  <si>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Энергетик мкр, Энергетиков ул, 14Б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</si>
  <si>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</si>
  <si>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</si>
  <si>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</si>
  <si>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</si>
  <si>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</si>
  <si>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</si>
  <si>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</si>
  <si>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</si>
  <si>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</si>
  <si>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</si>
  <si>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</si>
  <si>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</si>
  <si>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</si>
  <si>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</si>
  <si>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</si>
  <si>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</si>
  <si>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</si>
  <si>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</si>
  <si>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</si>
  <si>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</si>
  <si>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</si>
  <si>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</si>
  <si>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</si>
  <si>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</si>
  <si>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</si>
  <si>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</si>
  <si>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</si>
  <si>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</si>
  <si>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</si>
  <si>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</si>
  <si>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Балакирево пгт, Вокзальная ул, 10</t>
  </si>
  <si>
    <t>Александровский р-н, Балакирево пгт, Заводская ул, 2</t>
  </si>
  <si>
    <t>Александровский р-н, Балакирево пгт, Юго-Западный кв-л, 16</t>
  </si>
  <si>
    <t>Александровский р-н, Балакирево пгт, Юго-Западный кв-л, 17</t>
  </si>
  <si>
    <t>Александровский р-н, Балакирево пгт, Юго-Западный кв-л, 22</t>
  </si>
  <si>
    <t>Александровский р-н, Балакирево пгт, Юго-Западный кв-л, 7</t>
  </si>
  <si>
    <t>Александровский р-н, Балакирево пгт, Юго-Западный кв-л, 9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</si>
  <si>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</si>
  <si>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</si>
  <si>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</si>
  <si>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</si>
  <si>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</si>
  <si>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</si>
  <si>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</si>
  <si>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</si>
  <si>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</si>
  <si>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</si>
  <si>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</si>
  <si>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</si>
  <si>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</si>
  <si>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</si>
  <si>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</si>
  <si>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</si>
  <si>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</si>
  <si>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</si>
  <si>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</si>
  <si>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</si>
  <si>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</si>
  <si>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</si>
  <si>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</si>
  <si>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</si>
  <si>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</si>
  <si>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</si>
  <si>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</si>
  <si>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Сергиевских ул, 4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</si>
  <si>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</si>
  <si>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</si>
  <si>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</si>
  <si>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1-я Пролетарская ул, 59</t>
  </si>
  <si>
    <t>Вязниковский р-н, Никологоры п, Механическая ул, 55</t>
  </si>
  <si>
    <t>Вязниковский р-н, Никологоры п, Подгорье ул, 13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</si>
  <si>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</si>
  <si>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</si>
  <si>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</si>
  <si>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</si>
  <si>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</si>
  <si>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</si>
  <si>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</si>
  <si>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</si>
  <si>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</si>
  <si>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</si>
  <si>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</si>
  <si>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</si>
  <si>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</si>
  <si>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</si>
  <si>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</si>
  <si>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</si>
  <si>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</si>
  <si>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</si>
  <si>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</si>
  <si>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</si>
  <si>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</si>
  <si>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</si>
  <si>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</si>
  <si>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</si>
  <si>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</si>
  <si>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</si>
  <si>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</si>
  <si>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</si>
  <si>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</si>
  <si>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</si>
  <si>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</si>
  <si>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</si>
  <si>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</si>
  <si>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</si>
  <si>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</si>
  <si>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</si>
  <si>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</si>
  <si>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</si>
  <si>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</si>
  <si>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</si>
  <si>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</si>
  <si>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</si>
  <si>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</si>
  <si>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</si>
  <si>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</si>
  <si>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</si>
  <si>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</si>
  <si>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</si>
  <si>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</si>
  <si>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</si>
  <si>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</si>
  <si>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</si>
  <si>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</si>
  <si>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</si>
  <si>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</si>
  <si>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</si>
  <si>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</si>
  <si>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</si>
  <si>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</si>
  <si>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</si>
  <si>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</si>
  <si>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</si>
  <si>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</si>
  <si>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</si>
  <si>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</si>
  <si>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</si>
  <si>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</si>
  <si>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</si>
  <si>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</si>
  <si>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</si>
  <si>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</si>
  <si>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</si>
  <si>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</si>
  <si>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</si>
  <si>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</si>
  <si>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</si>
  <si>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</si>
  <si>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</si>
  <si>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</si>
  <si>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</si>
  <si>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</si>
  <si>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</si>
  <si>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</si>
  <si>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</si>
  <si>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</si>
  <si>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</si>
  <si>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</si>
  <si>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</si>
  <si>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</si>
  <si>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</si>
  <si>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</si>
  <si>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</si>
  <si>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</si>
  <si>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</si>
  <si>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</si>
  <si>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Социалистическая ул, 10</t>
  </si>
  <si>
    <t>Ковров г, Ватутина ул, 2а</t>
  </si>
  <si>
    <t>Ковров г, Дегтярева ул, 164</t>
  </si>
  <si>
    <t>Ковров г, Еловая ул, 82/2</t>
  </si>
  <si>
    <t>Ковров г, Железнодорожная ул, 55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</si>
  <si>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</si>
  <si>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</si>
  <si>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</si>
  <si>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</si>
  <si>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</si>
  <si>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</si>
  <si>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</si>
  <si>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Ватутина ул, 2в</t>
  </si>
  <si>
    <t>Ковров г, Еловая ул, 82/3</t>
  </si>
  <si>
    <t>Ковров г, Клязьменская ул, 10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</si>
  <si>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</si>
  <si>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</si>
  <si>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</si>
  <si>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</si>
  <si>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</si>
  <si>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Ковровский р-н, Мелехово пгт, Школьный пер, 26</t>
  </si>
  <si>
    <t>Ковровский р-н, Новый п, Першутова ул, 4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</si>
  <si>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</si>
  <si>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</si>
  <si>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</si>
  <si>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</si>
  <si>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</si>
  <si>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</si>
  <si>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</si>
  <si>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</si>
  <si>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</si>
  <si>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</si>
  <si>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</si>
  <si>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</si>
  <si>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</si>
  <si>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</si>
  <si>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</si>
  <si>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</si>
  <si>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</si>
  <si>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</si>
  <si>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 xml:space="preserve"> "Новый-2" 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</si>
  <si>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</si>
  <si>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</si>
  <si>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</si>
  <si>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</si>
  <si>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</si>
  <si>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</si>
  <si>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</si>
  <si>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</si>
  <si>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</si>
  <si>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</si>
  <si>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</si>
  <si>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</si>
  <si>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</si>
  <si>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</si>
  <si>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</si>
  <si>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</si>
  <si>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</si>
  <si>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</si>
  <si>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</si>
  <si>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</si>
  <si>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</si>
  <si>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</si>
  <si>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</si>
  <si>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</si>
  <si>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</si>
  <si>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</si>
  <si>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</si>
  <si>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</si>
  <si>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</si>
  <si>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</si>
  <si>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</si>
  <si>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</si>
  <si>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</si>
  <si>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</si>
  <si>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</si>
  <si>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</si>
  <si>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</si>
  <si>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</si>
  <si>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</si>
  <si>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</si>
  <si>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</si>
  <si>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</si>
  <si>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</si>
  <si>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</si>
  <si>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</si>
  <si>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</si>
  <si>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</si>
  <si>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</si>
  <si>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</si>
  <si>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</si>
  <si>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</si>
  <si>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</si>
  <si>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</si>
  <si>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</si>
  <si>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</si>
  <si>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</si>
  <si>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</si>
  <si>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</si>
  <si>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</si>
  <si>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</si>
  <si>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</si>
  <si>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</si>
  <si>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</si>
  <si>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</si>
  <si>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</si>
  <si>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</si>
  <si>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</si>
  <si>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</si>
  <si>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</si>
  <si>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</si>
  <si>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</si>
  <si>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</si>
  <si>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</si>
  <si>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</si>
  <si>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</si>
  <si>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</si>
  <si>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</si>
  <si>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</si>
  <si>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</si>
  <si>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</si>
  <si>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</si>
  <si>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</si>
  <si>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</si>
  <si>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</si>
  <si>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</si>
  <si>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</si>
  <si>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</si>
  <si>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</si>
  <si>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</si>
  <si>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</si>
  <si>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</si>
  <si>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</si>
  <si>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</si>
  <si>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</si>
  <si>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</si>
  <si>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</si>
  <si>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</si>
  <si>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</si>
  <si>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</si>
  <si>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</si>
  <si>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</si>
  <si>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</si>
  <si>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</si>
  <si>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</si>
  <si>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</si>
  <si>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</si>
  <si>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</si>
  <si>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</si>
  <si>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</si>
  <si>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</si>
  <si>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</si>
  <si>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</si>
  <si>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</si>
  <si>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</si>
  <si>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</si>
  <si>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</si>
  <si>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</si>
  <si>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</si>
  <si>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</si>
  <si>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</si>
  <si>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</si>
  <si>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</si>
  <si>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</si>
  <si>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</si>
  <si>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</si>
  <si>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</si>
  <si>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</si>
  <si>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</si>
  <si>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</si>
  <si>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</si>
  <si>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</si>
  <si>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</si>
  <si>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</si>
  <si>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</si>
  <si>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</si>
  <si>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</si>
  <si>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</si>
  <si>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</si>
  <si>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</si>
  <si>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</si>
  <si>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</si>
  <si>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</si>
  <si>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</si>
  <si>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</si>
  <si>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</si>
  <si>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</si>
  <si>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</si>
  <si>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</si>
  <si>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</si>
  <si>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</si>
  <si>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</si>
  <si>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</si>
  <si>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</si>
  <si>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</si>
  <si>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</si>
  <si>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</si>
  <si>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</si>
  <si>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</si>
  <si>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</si>
  <si>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</si>
  <si>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</si>
  <si>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</si>
  <si>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</si>
  <si>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</si>
  <si>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</si>
  <si>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</si>
  <si>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</si>
  <si>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</si>
  <si>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</si>
  <si>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</si>
  <si>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</si>
  <si>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</si>
  <si>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</si>
  <si>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</si>
  <si>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"ОДК" </t>
  </si>
  <si>
    <t>ООО "Универсалстрой"</t>
  </si>
  <si>
    <t>ООО УК "Старый город"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</si>
  <si>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</si>
  <si>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</si>
  <si>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</si>
  <si>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</si>
  <si>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</si>
  <si>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</si>
  <si>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</si>
  <si>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"Оникс"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</si>
  <si>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</si>
  <si>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</si>
  <si>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</si>
  <si>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</si>
  <si>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</si>
  <si>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</si>
  <si>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</si>
  <si>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</si>
  <si>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</si>
  <si>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</si>
  <si>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</si>
  <si>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</si>
  <si>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капитальный ремонт внутридомовых инженерных систем вентиляции и дымоудаления при капитальном ремонте         крыш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</si>
  <si>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</si>
  <si>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                      оборудованием устройств автоматизации и диспетчеризации, при проведении              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</si>
  <si>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            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</si>
  <si>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</si>
  <si>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</si>
  <si>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</si>
  <si>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</si>
  <si>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</si>
  <si>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</si>
  <si>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</si>
  <si>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</si>
  <si>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</si>
  <si>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</si>
  <si>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</si>
  <si>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</si>
  <si>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</si>
  <si>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</si>
  <si>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</si>
  <si>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</si>
  <si>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</si>
  <si>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</si>
  <si>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</si>
  <si>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</si>
  <si>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</si>
  <si>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</si>
  <si>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</si>
  <si>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</si>
  <si>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</si>
  <si>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</si>
  <si>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</si>
  <si>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</si>
  <si>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</si>
  <si>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</si>
  <si>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</si>
  <si>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</si>
  <si>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</si>
  <si>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</si>
  <si>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</si>
  <si>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</si>
  <si>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</si>
  <si>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</si>
  <si>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</si>
  <si>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</si>
  <si>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</si>
  <si>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ТСН "Дворянская-15"</t>
  </si>
  <si>
    <t>ООО "ЖРЭП №8"</t>
  </si>
  <si>
    <t>МУП города Владимиру "ГУК"</t>
  </si>
  <si>
    <t>"Березка"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</si>
  <si>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</si>
  <si>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</si>
  <si>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</si>
  <si>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Итого по программе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</si>
  <si>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</si>
  <si>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</si>
  <si>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</si>
  <si>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</si>
  <si>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Вязники г, Металлистов ул, 23а</t>
  </si>
  <si>
    <t>Суздаль г, Гоголя ул, 45</t>
  </si>
  <si>
    <t>ООО"ЖЭК№3"</t>
  </si>
  <si>
    <t>ООО "Жилищник" </t>
  </si>
  <si>
    <t>ООО «ЖРЭП № 8»</t>
  </si>
  <si>
    <t>ООО «Жилищник»</t>
  </si>
  <si>
    <t>ООО УК «ЛЮКС»</t>
  </si>
  <si>
    <t>Ковров г, Пугачева ул, 29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</si>
  <si>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</si>
  <si>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</si>
  <si>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</si>
  <si>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</si>
  <si>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</si>
  <si>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</si>
  <si>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</si>
  <si>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</si>
  <si>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Кирова ул, 1А</t>
  </si>
  <si>
    <t>Владимир г, Чапаева ул, 6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</si>
  <si>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</si>
  <si>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</si>
  <si>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</si>
  <si>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</si>
  <si>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</si>
  <si>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Александровский р-н, Балакирево пгт, Радужный кв-л, 2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</si>
  <si>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</si>
  <si>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</si>
  <si>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</si>
  <si>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</si>
  <si>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</si>
  <si>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</si>
  <si>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</si>
  <si>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</si>
  <si>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</si>
  <si>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</si>
  <si>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</si>
  <si>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</si>
  <si>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</si>
  <si>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</si>
  <si>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</si>
  <si>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</si>
  <si>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</si>
  <si>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</si>
  <si>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</si>
  <si>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</si>
  <si>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</si>
  <si>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Труда ул, 10/20</t>
  </si>
  <si>
    <t>Владимир г, Электроприборовский проезд, 7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</si>
  <si>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</si>
  <si>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</si>
  <si>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</si>
  <si>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</si>
  <si>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Мира ул, 26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</si>
  <si>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</si>
  <si>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</si>
  <si>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</si>
  <si>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</si>
  <si>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</si>
  <si>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</si>
  <si>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</si>
  <si>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</si>
  <si>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Чайковского ул, 38В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</si>
  <si>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</si>
  <si>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</si>
  <si>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</si>
  <si>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</si>
  <si>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</si>
  <si>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</si>
  <si>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</si>
  <si>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</si>
  <si>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</si>
  <si>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</si>
  <si>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</si>
  <si>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</si>
  <si>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</si>
  <si>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</si>
  <si>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Рудницкой ул, 13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</si>
  <si>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</si>
  <si>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</si>
  <si>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</si>
  <si>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</si>
  <si>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</si>
  <si>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</si>
  <si>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</si>
  <si>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Ленина ул, 2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</si>
  <si>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</si>
  <si>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</si>
  <si>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</si>
  <si>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</si>
  <si>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</si>
  <si>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</si>
  <si>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</si>
  <si>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</si>
  <si>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</si>
  <si>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</si>
  <si>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</si>
  <si>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</si>
  <si>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</si>
  <si>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</si>
  <si>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</si>
  <si>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</si>
  <si>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</si>
  <si>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</si>
  <si>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</si>
  <si>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</si>
  <si>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</si>
  <si>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</si>
  <si>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</si>
  <si>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</si>
  <si>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</si>
  <si>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</si>
  <si>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</si>
  <si>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</si>
  <si>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</si>
  <si>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</si>
  <si>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</si>
  <si>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</si>
  <si>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</si>
  <si>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</si>
  <si>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Революции ул, 77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</si>
  <si>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</si>
  <si>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</si>
  <si>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</si>
  <si>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</si>
  <si>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 г, Совхоз Правда ул, 32</t>
  </si>
  <si>
    <t>Александровский р-н, Балакирево пгт, Юго-Западный кв-л, 6</t>
  </si>
  <si>
    <t>Александровский р-н, Балакирево пгт, Вокзальная ул, 13</t>
  </si>
  <si>
    <t>Александровский р-н, Балакирево пгт, 60 лет Октября ул, 2</t>
  </si>
  <si>
    <t>Александровский р-н, Балакирево пгт, Юго-Западный кв-л, 8</t>
  </si>
  <si>
    <t>Александровский р-н, Карабаново г, Садовая ул, 6</t>
  </si>
  <si>
    <t>Александровский р-н, Струнино г, Дубки кв-л, 6</t>
  </si>
  <si>
    <t>Вязники г, Мошина ул, 28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</si>
  <si>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</si>
  <si>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</si>
  <si>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</si>
  <si>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</si>
  <si>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</si>
  <si>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</si>
  <si>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</si>
  <si>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</si>
  <si>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</si>
  <si>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</si>
  <si>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</si>
  <si>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</si>
  <si>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</si>
  <si>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</si>
  <si>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</si>
  <si>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</si>
  <si>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</si>
  <si>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</si>
  <si>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</si>
  <si>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</si>
  <si>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</si>
  <si>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</si>
  <si>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</si>
  <si>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</si>
  <si>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</si>
  <si>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</si>
  <si>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</si>
  <si>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</si>
  <si>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</si>
  <si>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</si>
  <si>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</si>
  <si>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</si>
  <si>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</si>
  <si>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</si>
  <si>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</si>
  <si>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</si>
  <si>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</si>
  <si>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</si>
  <si>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Меленки г, Коммунистическая ул, 28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</si>
  <si>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</si>
  <si>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</si>
  <si>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</si>
  <si>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</si>
  <si>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</si>
  <si>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</si>
  <si>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</si>
  <si>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Московская ул, 21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</si>
  <si>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</si>
  <si>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</si>
  <si>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</si>
  <si>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</si>
  <si>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</si>
  <si>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Петушинский р-н, Воспушка д, Ленина ул, 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</si>
  <si>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</si>
  <si>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</si>
  <si>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</si>
  <si>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</si>
  <si>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</si>
  <si>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</si>
  <si>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</si>
  <si>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</si>
  <si>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</si>
  <si>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</si>
  <si>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</si>
  <si>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</si>
  <si>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</si>
  <si>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</si>
  <si>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</si>
  <si>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</si>
  <si>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</si>
  <si>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</si>
  <si>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</si>
  <si>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</si>
  <si>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</si>
  <si>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</si>
  <si>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</si>
  <si>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</si>
  <si>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</si>
  <si>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</si>
  <si>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</si>
  <si>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</si>
  <si>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</si>
  <si>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</si>
  <si>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</si>
  <si>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</si>
  <si>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</si>
  <si>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</si>
  <si>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</si>
  <si>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</si>
  <si>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</si>
  <si>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</si>
  <si>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</si>
  <si>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</si>
  <si>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</si>
  <si>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</si>
  <si>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</si>
  <si>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</si>
  <si>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</si>
  <si>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</si>
  <si>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</si>
  <si>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</si>
  <si>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</si>
  <si>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</si>
  <si>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</si>
  <si>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</si>
  <si>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</si>
  <si>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</si>
  <si>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 "ЖЭК №2"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</si>
  <si>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</si>
  <si>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</si>
  <si>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</si>
  <si>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</si>
  <si>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</si>
  <si>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</si>
  <si>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</si>
  <si>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</si>
  <si>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</si>
  <si>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</si>
  <si>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</si>
  <si>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</si>
  <si>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</si>
  <si>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</si>
  <si>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</si>
  <si>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</si>
  <si>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</si>
  <si>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</si>
  <si>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</si>
  <si>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</si>
  <si>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</si>
  <si>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</si>
  <si>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</si>
  <si>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</si>
  <si>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</si>
  <si>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</si>
  <si>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</si>
  <si>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</si>
  <si>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</si>
  <si>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</si>
  <si>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</si>
  <si>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</si>
  <si>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</si>
  <si>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</si>
  <si>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</si>
  <si>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</si>
  <si>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</si>
  <si>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</si>
  <si>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</si>
  <si>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</si>
  <si>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</si>
  <si>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</si>
  <si>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</si>
  <si>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</si>
  <si>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</si>
  <si>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</si>
  <si>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</si>
  <si>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</si>
  <si>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</si>
  <si>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</si>
  <si>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</si>
  <si>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</si>
  <si>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</si>
  <si>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</si>
  <si>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</si>
  <si>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</si>
  <si>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</si>
  <si>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</si>
  <si>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</si>
  <si>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</si>
  <si>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</si>
  <si>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</si>
  <si>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</si>
  <si>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</si>
  <si>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</si>
  <si>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</si>
  <si>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</si>
  <si>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</si>
  <si>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</si>
  <si>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</si>
  <si>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</si>
  <si>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</si>
  <si>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</si>
  <si>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</si>
  <si>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</si>
  <si>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</si>
  <si>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</si>
  <si>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</si>
  <si>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</si>
  <si>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</si>
  <si>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</si>
  <si>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</si>
  <si>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</si>
  <si>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</si>
  <si>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</si>
  <si>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</si>
  <si>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</si>
  <si>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</si>
  <si>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</si>
  <si>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</si>
  <si>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</si>
  <si>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</si>
  <si>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</si>
  <si>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Владимир г, Каманина ул, 27</t>
  </si>
  <si>
    <t>МКП г.Владимир "ЖКХ"</t>
  </si>
  <si>
    <t>Ковровский р-н, Мелехово пгт, Советская ул, 14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</si>
  <si>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</si>
  <si>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</si>
  <si>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</si>
  <si>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</si>
  <si>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</si>
  <si>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</si>
  <si>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</si>
  <si>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</si>
  <si>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</si>
  <si>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</si>
  <si>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</si>
  <si>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</si>
  <si>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</si>
  <si>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</si>
  <si>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</si>
  <si>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</si>
  <si>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</si>
  <si>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Горького ул, 63</t>
  </si>
  <si>
    <t>Владимир г, Полины Осипенко ул, 4</t>
  </si>
  <si>
    <t>Владимир г, Рабочий спуск, 3</t>
  </si>
  <si>
    <t>Владимир г, Луначарского ул, 33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</si>
  <si>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</si>
  <si>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</si>
  <si>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</si>
  <si>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</si>
  <si>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</si>
  <si>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</si>
  <si>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</si>
  <si>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</si>
  <si>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Октябрьский п, Первомайская ул, 2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</si>
  <si>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</si>
  <si>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</si>
  <si>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</si>
  <si>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Тимофея Павловского ул, 2</t>
  </si>
  <si>
    <t>Ковров г, Текстильная ул, 2а</t>
  </si>
  <si>
    <t>Ковров г, Абельмана ул, 38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</si>
  <si>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</si>
  <si>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</si>
  <si>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</si>
  <si>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</si>
  <si>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</si>
  <si>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Чернышевского ул, 2</t>
  </si>
  <si>
    <t>Ковров г, Либерецкая ул, 9</t>
  </si>
  <si>
    <t>Ковров г, Летняя ул, 35</t>
  </si>
  <si>
    <t>Ковров г, Социалистическая ул, 3</t>
  </si>
  <si>
    <t>Ковров г, Белинского ул, 3</t>
  </si>
  <si>
    <t>Ковров г, Дегтярева ул, 204</t>
  </si>
  <si>
    <t>Ковров г, Лесная ул, 11</t>
  </si>
  <si>
    <t>Ковров г, Ленина пр-кт, 18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</si>
  <si>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</si>
  <si>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</si>
  <si>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</si>
  <si>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</si>
  <si>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</si>
  <si>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</si>
  <si>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</si>
  <si>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</si>
  <si>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</si>
  <si>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</si>
  <si>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Муром г, Серова ул, 40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</si>
  <si>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</si>
  <si>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</si>
  <si>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</si>
  <si>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</si>
  <si>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</si>
  <si>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</si>
  <si>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</si>
  <si>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</si>
  <si>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</si>
  <si>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Луговая ул, 2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</si>
  <si>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</si>
  <si>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</si>
  <si>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</si>
  <si>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Больничный проезд, 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</si>
  <si>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</si>
  <si>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</si>
  <si>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</si>
  <si>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Судогодский р-н, Бег п, Октябрьская ул, 15</t>
  </si>
  <si>
    <t>Гороховецкий р-н, Выезд д, Полевая ул, 3</t>
  </si>
  <si>
    <t>Собинский р-н, Лакинск г, Пушкина ул, 11</t>
  </si>
  <si>
    <t>Собинский р-н, Лакинск г, Мира ул, 7а</t>
  </si>
  <si>
    <t>Собинский р-н, Лакинск г, Ленина пр-кт, 8/3</t>
  </si>
  <si>
    <t>Селивановский р-н, Новлянка д, Совхозная ул, 26</t>
  </si>
  <si>
    <t>Селивановский р-н, Малышево с, Школьная ул, 4</t>
  </si>
  <si>
    <t>Ковровский р-н, Первомайский п, 17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</si>
  <si>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</si>
  <si>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</si>
  <si>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</si>
  <si>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</si>
  <si>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</si>
  <si>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</si>
  <si>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</si>
  <si>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</si>
  <si>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Ковров г, Тимофея Павловского ул, 6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</si>
  <si>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</si>
  <si>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</si>
  <si>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</si>
  <si>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</si>
  <si>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</si>
  <si>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</si>
  <si>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</si>
  <si>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</si>
  <si>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</si>
  <si>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</si>
  <si>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</si>
  <si>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</si>
  <si>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"Ковровтеплострой"</t>
  </si>
  <si>
    <t>ООО "УК "Веста" </t>
  </si>
  <si>
    <t>ООО "УМД Континент" 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</si>
  <si>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</si>
  <si>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</si>
  <si>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</si>
  <si>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</si>
  <si>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</si>
  <si>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</si>
  <si>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</si>
  <si>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</si>
  <si>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</si>
  <si>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</si>
  <si>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</si>
  <si>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"УК ПОКРОВ"</t>
  </si>
  <si>
    <t>ООО "ЭКСПЕРТ"</t>
  </si>
  <si>
    <t>ООО "СМК-РЕКОНСТРУКЦИЯ"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</si>
  <si>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</si>
  <si>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</si>
  <si>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</si>
  <si>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</si>
  <si>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</si>
  <si>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</si>
  <si>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</si>
  <si>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</si>
  <si>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</si>
  <si>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</si>
  <si>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</si>
  <si>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</si>
  <si>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</si>
  <si>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</si>
  <si>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</si>
  <si>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</si>
  <si>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</si>
  <si>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</si>
  <si>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</si>
  <si>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</si>
  <si>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</si>
  <si>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</si>
  <si>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Вольгинский п, Новосеменковская ул, 5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</si>
  <si>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</si>
  <si>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</si>
  <si>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</si>
  <si>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</si>
  <si>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</si>
  <si>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</si>
  <si>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</si>
  <si>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</si>
  <si>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</si>
  <si>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</si>
  <si>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</si>
  <si>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</si>
  <si>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</si>
  <si>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Петушинский р-н, Вольгинский п, Старовская ул, 3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</si>
  <si>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</si>
  <si>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</si>
  <si>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</si>
  <si>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</si>
  <si>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</si>
  <si>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</si>
  <si>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</si>
  <si>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</si>
  <si>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</si>
  <si>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</si>
  <si>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"Домоуправ" 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</si>
  <si>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</si>
  <si>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</si>
  <si>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</si>
  <si>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</si>
  <si>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</si>
  <si>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</si>
  <si>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</si>
  <si>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</si>
  <si>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</si>
  <si>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Завадского ул, 13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</si>
  <si>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</si>
  <si>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</si>
  <si>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</si>
  <si>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</si>
  <si>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</si>
  <si>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</si>
  <si>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</si>
  <si>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</si>
  <si>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Гусь-Хрустальный г, Ломоносова ул, 24а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</si>
  <si>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</si>
  <si>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</si>
  <si>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</si>
  <si>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</si>
  <si>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ООО "МКД-СЕРВИС"</t>
  </si>
  <si>
    <t>МУП города Владимира "ГУК" </t>
  </si>
  <si>
    <t>Владимир г, Семашко ул, 13</t>
  </si>
  <si>
    <t>Ковров г, Блинова ул, 74</t>
  </si>
  <si>
    <t>Ковров г, Сосновая ул, 28</t>
  </si>
  <si>
    <t>ООО УК "Парадигма"</t>
  </si>
  <si>
    <t>ООО "УК"Парадигма"</t>
  </si>
  <si>
    <t>ООО "Наше ЖКО"</t>
  </si>
  <si>
    <t xml:space="preserve">Получатель бюджетных средств - Некоммерческая организация (дополнительная помощь при возникновении неотложной необходимости в проведении капитального ремонта общего имущества в многоквартирных домах в рамках постановления администрации Владимирской области №742 от 05.10.2018) </t>
  </si>
  <si>
    <t>Гороховец г, Ленина ул, 6</t>
  </si>
  <si>
    <t>Гороховец г, Набережная ул, 28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</si>
  <si>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</si>
  <si>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</si>
  <si>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</si>
  <si>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</si>
  <si>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</si>
  <si>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</si>
  <si>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</si>
  <si>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</si>
  <si>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Владимир г, Фейгина ул, 6/25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</si>
  <si>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</si>
  <si>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</si>
  <si>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</si>
  <si>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</si>
  <si>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</si>
  <si>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</si>
  <si>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</si>
  <si>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</si>
  <si>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</si>
  <si>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</si>
  <si>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</si>
  <si>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</si>
  <si>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</si>
  <si>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Завадского ул, 3</t>
  </si>
  <si>
    <t>Владимир г, Ленина пр-кт, 64</t>
  </si>
  <si>
    <t>Владимир г, Ленина пр-кт, 68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</si>
  <si>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</si>
  <si>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</si>
  <si>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</si>
  <si>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</si>
  <si>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</si>
  <si>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</si>
  <si>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</si>
  <si>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</si>
  <si>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</si>
  <si>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</si>
  <si>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</si>
  <si>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</si>
  <si>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</si>
  <si>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</si>
  <si>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</si>
  <si>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</si>
  <si>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</si>
  <si>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</si>
  <si>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</si>
  <si>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</si>
  <si>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</si>
  <si>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</si>
  <si>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</si>
  <si>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х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</si>
  <si>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</si>
  <si>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</si>
  <si>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</si>
  <si>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</si>
  <si>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</si>
  <si>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</si>
  <si>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</si>
  <si>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в том числе нераспределенный остаток</t>
  </si>
  <si>
    <t>Итого по Владимирской области на 2020 год</t>
  </si>
  <si>
    <t xml:space="preserve">Получатель бюджетных средств - Некоммерческая организация (дополнительная помощь при возникновении неотложной необходимости в проведении капитального ремонта общего имущества в многоквартирных домах в рамках постановления администрации Владимирской области от 05.10.2018 №742) </t>
  </si>
  <si>
    <t>Информация по многоквартирным домам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</si>
  <si>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</si>
  <si>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</si>
  <si>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Волго-Донская ул, 10/1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</si>
  <si>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</si>
  <si>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</si>
  <si>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</si>
  <si>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</si>
  <si>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</si>
  <si>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</si>
  <si>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</si>
  <si>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</si>
  <si>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</si>
  <si>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</si>
  <si>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</si>
  <si>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Александров г, Совхоз Правда ул, 37</t>
  </si>
  <si>
    <t>Петушинский р-н, Костерево г, 40 лет Октября ул, 2</t>
  </si>
  <si>
    <t>Владимир г, Михайловская ул, 53</t>
  </si>
  <si>
    <t>Владимир г, Лакина ул, 159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</si>
  <si>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</si>
  <si>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</si>
  <si>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</si>
  <si>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</si>
  <si>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</si>
  <si>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</si>
  <si>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</si>
  <si>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</si>
  <si>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</si>
  <si>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</si>
  <si>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</si>
  <si>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Владимир г, Перекопский военный городок, 14</t>
  </si>
  <si>
    <t>Муром г, Ленинградская ул, 29 корп. 2</t>
  </si>
  <si>
    <t>Владимир г, Безыменского ул, 12</t>
  </si>
  <si>
    <t>Владимир г, Усти-на-Лабе ул, 14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</si>
  <si>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</si>
  <si>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</si>
  <si>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</si>
  <si>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</si>
  <si>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</si>
  <si>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</si>
  <si>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</si>
  <si>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</si>
  <si>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</si>
  <si>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</si>
  <si>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</si>
  <si>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</si>
  <si>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</si>
  <si>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</si>
  <si>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Владимирской области в 2020 году:</t>
  </si>
  <si>
    <t>Киржачский р-н, Горка п, Шелковиков ул, 6</t>
  </si>
  <si>
    <t>Итого по Горкинское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</si>
  <si>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</si>
  <si>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Владимир г, Стасова ул, 31</t>
  </si>
  <si>
    <t>Срок проведения капитального ремонта в МКД</t>
  </si>
  <si>
    <t>замена плоской кровли на              стропильную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</si>
  <si>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</si>
  <si>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</si>
  <si>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</si>
  <si>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</si>
  <si>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</si>
  <si>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</si>
  <si>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</si>
  <si>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</si>
  <si>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</si>
  <si>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</si>
  <si>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</si>
  <si>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</si>
  <si>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</si>
  <si>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</si>
  <si>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</si>
  <si>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</si>
  <si>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</si>
  <si>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</si>
  <si>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</si>
  <si>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</si>
  <si>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</si>
  <si>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</si>
  <si>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</si>
  <si>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</si>
  <si>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</si>
  <si>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</si>
  <si>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</si>
  <si>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</si>
  <si>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</si>
  <si>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</si>
  <si>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</si>
  <si>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</si>
  <si>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</si>
  <si>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</si>
  <si>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</si>
  <si>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</si>
  <si>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</si>
  <si>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</si>
  <si>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</si>
  <si>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</si>
  <si>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</si>
  <si>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</si>
  <si>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</si>
  <si>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</si>
  <si>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</si>
  <si>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</si>
  <si>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</si>
  <si>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</si>
  <si>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</si>
  <si>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</si>
  <si>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</si>
  <si>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</si>
  <si>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</si>
  <si>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</si>
  <si>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</si>
  <si>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</si>
  <si>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</si>
  <si>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</si>
  <si>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</si>
  <si>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</si>
  <si>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</si>
  <si>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</si>
  <si>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</si>
  <si>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</si>
  <si>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</si>
  <si>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</si>
  <si>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</si>
  <si>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</si>
  <si>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</si>
  <si>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</si>
  <si>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</si>
  <si>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</si>
  <si>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</si>
  <si>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</si>
  <si>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</si>
  <si>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</si>
  <si>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</si>
  <si>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</si>
  <si>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</si>
  <si>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</si>
  <si>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</si>
  <si>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</si>
  <si>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</si>
  <si>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</si>
  <si>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</si>
  <si>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</si>
  <si>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</si>
  <si>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</si>
  <si>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</si>
  <si>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</si>
  <si>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</si>
  <si>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</si>
  <si>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</si>
  <si>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</si>
  <si>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</si>
  <si>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</si>
  <si>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</si>
  <si>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</si>
  <si>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</si>
  <si>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</si>
  <si>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</si>
  <si>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</si>
  <si>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</si>
  <si>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</si>
  <si>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</si>
  <si>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</si>
  <si>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</si>
  <si>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</si>
  <si>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</si>
  <si>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</si>
  <si>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</si>
  <si>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</si>
  <si>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</si>
  <si>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</si>
  <si>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Белая Речка п, Новая ул, 5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</si>
  <si>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</si>
  <si>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</si>
  <si>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</si>
  <si>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</si>
  <si>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</si>
  <si>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</si>
  <si>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</si>
  <si>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</si>
  <si>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</si>
  <si>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</si>
  <si>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</si>
  <si>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30 лет Победы ул, 9 корп 1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</si>
  <si>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</si>
  <si>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</si>
  <si>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</si>
  <si>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</si>
  <si>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</si>
  <si>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</si>
  <si>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</si>
  <si>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</si>
  <si>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</si>
  <si>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</si>
  <si>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</si>
  <si>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</si>
  <si>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</si>
  <si>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</si>
  <si>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</si>
  <si>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</si>
  <si>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</si>
  <si>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</si>
  <si>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</si>
  <si>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</si>
  <si>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</si>
  <si>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</si>
  <si>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</si>
  <si>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</si>
  <si>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</si>
  <si>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</si>
  <si>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</si>
  <si>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</si>
  <si>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</si>
  <si>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</si>
  <si>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</si>
  <si>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</si>
  <si>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</si>
  <si>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</si>
  <si>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</si>
  <si>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</si>
  <si>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</si>
  <si>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</si>
  <si>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</si>
  <si>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Лопатина ул, 61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</si>
  <si>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</si>
  <si>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</si>
  <si>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</si>
  <si>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</si>
  <si>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Камешковский р-н, Мирный п, Центральная ул, 86</t>
  </si>
  <si>
    <t>Киржач г, Магистральная ул, 1</t>
  </si>
  <si>
    <t>Петушинский р-н, Пекша д, Октябрьская ул, 2</t>
  </si>
  <si>
    <t>Гороховецкий р-н, Фоминки с, Чекунова ул, 4</t>
  </si>
  <si>
    <t>Собинка г, Мира ул, 1А</t>
  </si>
  <si>
    <t>ТСЖ "ЗОА,16"</t>
  </si>
  <si>
    <t>ООО "ЖЭЦ-Управление"</t>
  </si>
  <si>
    <t>ООО "УМД Континент"</t>
  </si>
  <si>
    <t>ООО "ОДК"</t>
  </si>
  <si>
    <t>ООО"Управдом"</t>
  </si>
  <si>
    <t>ООО Киржачское ЖЭУ №1</t>
  </si>
  <si>
    <t>ООО "СМК-Реконструкция"</t>
  </si>
  <si>
    <t>ООО УК "Спецстройгарант-1"</t>
  </si>
  <si>
    <t>Александровский р-н, Балакирево пгт, Заводская ул, 3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</si>
  <si>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</si>
  <si>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</si>
  <si>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</si>
  <si>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</si>
  <si>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</si>
  <si>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</si>
  <si>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ХВС</t>
  </si>
  <si>
    <t>ГВС</t>
  </si>
  <si>
    <t>ТЕПЛО</t>
  </si>
  <si>
    <t>ВО</t>
  </si>
  <si>
    <t>ЭЛ</t>
  </si>
  <si>
    <t>ЛИФТ</t>
  </si>
  <si>
    <t>Крыша</t>
  </si>
  <si>
    <t>Подвал</t>
  </si>
  <si>
    <t>Фасад</t>
  </si>
  <si>
    <t>Фундамент</t>
  </si>
  <si>
    <t>Реконструкция</t>
  </si>
  <si>
    <t>вентканалы</t>
  </si>
  <si>
    <t xml:space="preserve">Получатель бюджетных средств - Некоммерческая организация (проведение капитального ремонта общего имущества в связи с возникновением аварии, иных чрезвычайных ситуаций природного или техногенного характера) </t>
  </si>
  <si>
    <t>Киржачский р-н, Ефремово д, Восточная ул, 4</t>
  </si>
  <si>
    <t>Владимир г, Юбилейная ул, 56</t>
  </si>
  <si>
    <t>Александровский р-н, Балакирево пгт, 60 лет Октября ул, 10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</si>
  <si>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</si>
  <si>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</si>
  <si>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</si>
  <si>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</si>
  <si>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</si>
  <si>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</si>
  <si>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</si>
  <si>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</si>
  <si>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</si>
  <si>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</si>
  <si>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Балакирево пгт, Юго-Западный кв-л, 19</t>
  </si>
  <si>
    <t>Александровский р-н, Струнино г, Заречная ул, 36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</si>
  <si>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</si>
  <si>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</si>
  <si>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</si>
  <si>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</si>
  <si>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 * **</t>
  </si>
  <si>
    <t>Собинский р-н, Лакинск г, Карла Маркса ул, 21</t>
  </si>
  <si>
    <t>Радужный г, 1-й кв-л, 6</t>
  </si>
  <si>
    <t>Вязники г, Новая ул, 13</t>
  </si>
  <si>
    <t>Вязники г, Киселева ул, 71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</si>
  <si>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</si>
  <si>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</si>
  <si>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</si>
  <si>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</si>
  <si>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</si>
  <si>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</si>
  <si>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</si>
  <si>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</si>
  <si>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Александровский р-н, Карабаново г, Кооперативная ул, 24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</si>
  <si>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</si>
  <si>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</si>
  <si>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</si>
  <si>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</si>
  <si>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</si>
  <si>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</si>
  <si>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</si>
  <si>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</si>
  <si>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</si>
  <si>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</si>
  <si>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</si>
  <si>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</si>
  <si>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</si>
  <si>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</si>
  <si>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</si>
  <si>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</si>
  <si>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</si>
  <si>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</si>
  <si>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</si>
  <si>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</si>
  <si>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</si>
  <si>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</si>
  <si>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</si>
  <si>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</si>
  <si>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</si>
  <si>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</si>
  <si>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</si>
  <si>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</si>
  <si>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</si>
  <si>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</si>
  <si>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</si>
  <si>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</si>
  <si>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</si>
  <si>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</si>
  <si>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</si>
  <si>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</si>
  <si>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</si>
  <si>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</si>
  <si>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</si>
  <si>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</si>
  <si>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</si>
  <si>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</si>
  <si>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</si>
  <si>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</si>
  <si>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</si>
  <si>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</si>
  <si>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</si>
  <si>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</si>
  <si>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</si>
  <si>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</si>
  <si>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</si>
  <si>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</si>
  <si>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</si>
  <si>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</si>
  <si>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</si>
  <si>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</si>
  <si>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</si>
  <si>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</si>
  <si>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</si>
  <si>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</si>
  <si>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</si>
  <si>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</si>
  <si>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</si>
  <si>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</si>
  <si>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</si>
  <si>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</si>
  <si>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</si>
  <si>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</si>
  <si>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</si>
  <si>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</si>
  <si>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</si>
  <si>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</si>
  <si>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</si>
  <si>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</si>
  <si>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</si>
  <si>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</si>
  <si>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</si>
  <si>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</si>
  <si>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</si>
  <si>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</si>
  <si>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</si>
  <si>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</si>
  <si>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</si>
  <si>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</si>
  <si>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</si>
  <si>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</si>
  <si>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</si>
  <si>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</si>
  <si>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</si>
  <si>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</si>
  <si>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</si>
  <si>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</si>
  <si>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</si>
  <si>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</si>
  <si>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</si>
  <si>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</si>
  <si>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</si>
  <si>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</si>
  <si>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</si>
  <si>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</si>
  <si>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</si>
  <si>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</si>
  <si>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</si>
  <si>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</si>
  <si>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</si>
  <si>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</si>
  <si>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</si>
  <si>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</si>
  <si>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Первомайская ул, 50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</si>
  <si>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</si>
  <si>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</si>
  <si>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</si>
  <si>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</si>
  <si>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</si>
  <si>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</si>
  <si>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</si>
  <si>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</si>
  <si>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</si>
  <si>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</si>
  <si>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</si>
  <si>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</si>
  <si>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</si>
  <si>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</si>
  <si>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</si>
  <si>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</si>
  <si>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</si>
  <si>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</si>
  <si>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</si>
  <si>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</si>
  <si>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</si>
  <si>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</si>
  <si>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</si>
  <si>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</si>
  <si>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</si>
  <si>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</si>
  <si>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</si>
  <si>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</si>
  <si>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</si>
  <si>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</si>
  <si>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</si>
  <si>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</si>
  <si>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</si>
  <si>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</si>
  <si>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</si>
  <si>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</si>
  <si>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</si>
  <si>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</si>
  <si>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</si>
  <si>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</si>
  <si>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</si>
  <si>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</si>
  <si>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</si>
  <si>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3 корп. 1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</si>
  <si>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</si>
  <si>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</si>
  <si>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</si>
  <si>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</si>
  <si>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</si>
  <si>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</si>
  <si>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</si>
  <si>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34 корп. 2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</si>
  <si>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</si>
  <si>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</si>
  <si>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</si>
  <si>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</si>
  <si>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</si>
  <si>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</si>
  <si>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</si>
  <si>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</si>
  <si>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</si>
  <si>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</si>
  <si>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</si>
  <si>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</si>
  <si>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</si>
  <si>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</si>
  <si>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</si>
  <si>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</si>
  <si>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</si>
  <si>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</si>
  <si>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</si>
  <si>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</si>
  <si>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</si>
  <si>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</si>
  <si>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23 корп. 3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</si>
  <si>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</si>
  <si>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</si>
  <si>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</si>
  <si>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</si>
  <si>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</si>
  <si>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</si>
  <si>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</si>
  <si>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</si>
  <si>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</si>
  <si>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</si>
  <si>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</si>
  <si>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15 корп. 1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</si>
  <si>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</si>
  <si>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</si>
  <si>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</si>
  <si>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</si>
  <si>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</si>
  <si>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</si>
  <si>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</si>
  <si>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</si>
  <si>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</si>
  <si>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</si>
  <si>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</si>
  <si>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</si>
  <si>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</si>
  <si>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</si>
  <si>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</si>
  <si>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</si>
  <si>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</si>
  <si>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</si>
  <si>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</si>
  <si>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</si>
  <si>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</si>
  <si>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</si>
  <si>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</si>
  <si>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</si>
  <si>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</si>
  <si>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</si>
  <si>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</si>
  <si>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</si>
  <si>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</si>
  <si>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</si>
  <si>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</si>
  <si>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</si>
  <si>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</si>
  <si>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</si>
  <si>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</si>
  <si>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</si>
  <si>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</si>
  <si>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</si>
  <si>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</si>
  <si>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</si>
  <si>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</si>
  <si>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</si>
  <si>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</si>
  <si>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</si>
  <si>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</si>
  <si>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</si>
  <si>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</si>
  <si>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</si>
  <si>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</si>
  <si>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</si>
  <si>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</si>
  <si>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</si>
  <si>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</si>
  <si>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</si>
  <si>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</si>
  <si>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</si>
  <si>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</si>
  <si>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</si>
  <si>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</si>
  <si>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</si>
  <si>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</si>
  <si>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</si>
  <si>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</si>
  <si>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</si>
  <si>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</si>
  <si>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</si>
  <si>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</si>
  <si>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</si>
  <si>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</si>
  <si>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</si>
  <si>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</si>
  <si>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</si>
  <si>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</si>
  <si>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</si>
  <si>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</si>
  <si>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</si>
  <si>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</si>
  <si>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</si>
  <si>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</si>
  <si>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</si>
  <si>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</si>
  <si>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</si>
  <si>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</si>
  <si>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</si>
  <si>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</si>
  <si>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</si>
  <si>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</si>
  <si>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</si>
  <si>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</si>
  <si>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</si>
  <si>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</si>
  <si>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</si>
  <si>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</si>
  <si>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</si>
  <si>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</si>
  <si>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</si>
  <si>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</si>
  <si>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</si>
  <si>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</si>
  <si>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</si>
  <si>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</si>
  <si>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</si>
  <si>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</si>
  <si>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</si>
  <si>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</si>
  <si>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</si>
  <si>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</si>
  <si>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</si>
  <si>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</si>
  <si>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</si>
  <si>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</si>
  <si>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</si>
  <si>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</si>
  <si>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</si>
  <si>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</si>
  <si>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</si>
  <si>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</si>
  <si>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</si>
  <si>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</si>
  <si>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</si>
  <si>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</si>
  <si>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</si>
  <si>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</si>
  <si>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</si>
  <si>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</si>
  <si>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 xml:space="preserve">к постановлению Департамента жилищно-коммунального хозяйства Владимирской области </t>
  </si>
  <si>
    <t>Объем финансирования в 2023 г., руб.</t>
  </si>
  <si>
    <t>Собинский р-н, Ставрово п, Юбилейная ул, 7</t>
  </si>
  <si>
    <t>Ковровский р-н, Мелехово пгт, Пионерская ул, 5</t>
  </si>
  <si>
    <t>Петушки г, Московская ул, 18</t>
  </si>
  <si>
    <t>Собинский р-н, Лакинск г, Мира ул, 49б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</si>
  <si>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</si>
  <si>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</si>
  <si>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</si>
  <si>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</si>
  <si>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Семашко ул, 4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</si>
  <si>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</si>
  <si>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</si>
  <si>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</si>
  <si>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</si>
  <si>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</si>
  <si>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</si>
  <si>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</si>
  <si>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Стасова ул, 44/11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</si>
  <si>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</si>
  <si>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</si>
  <si>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</si>
  <si>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</si>
  <si>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</si>
  <si>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</si>
  <si>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</si>
  <si>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</si>
  <si>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</si>
  <si>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</si>
  <si>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</si>
  <si>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</si>
  <si>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</si>
  <si>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</si>
  <si>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Юрьев-Польский г, Авангардский пер, 27</t>
  </si>
  <si>
    <t>Юрьев-Польский р-н, Федоровское с, 74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</si>
  <si>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</si>
  <si>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</si>
  <si>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</si>
  <si>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</si>
  <si>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</si>
  <si>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</si>
  <si>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</si>
  <si>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</si>
  <si>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</si>
  <si>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</si>
  <si>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</si>
  <si>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</si>
  <si>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</si>
  <si>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</si>
  <si>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</si>
  <si>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</si>
  <si>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</si>
  <si>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</si>
  <si>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</si>
  <si>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</si>
  <si>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</si>
  <si>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</si>
  <si>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</si>
  <si>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</si>
  <si>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</si>
  <si>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</si>
  <si>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</si>
  <si>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</si>
  <si>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</si>
  <si>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</si>
  <si>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</si>
  <si>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</si>
  <si>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</si>
  <si>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</si>
  <si>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</si>
  <si>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</si>
  <si>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</si>
  <si>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</si>
  <si>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</si>
  <si>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</si>
  <si>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</si>
  <si>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</si>
  <si>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</si>
  <si>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</si>
  <si>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</si>
  <si>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</si>
  <si>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</si>
  <si>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</si>
  <si>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</si>
  <si>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</si>
  <si>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</si>
  <si>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</si>
  <si>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</si>
  <si>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</si>
  <si>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</si>
  <si>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</si>
  <si>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</si>
  <si>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</si>
  <si>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</si>
  <si>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</si>
  <si>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</si>
  <si>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</si>
  <si>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</si>
  <si>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</si>
  <si>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</si>
  <si>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</si>
  <si>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</si>
  <si>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</si>
  <si>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</si>
  <si>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</si>
  <si>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</si>
  <si>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</si>
  <si>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</si>
  <si>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</si>
  <si>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</si>
  <si>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</si>
  <si>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</si>
  <si>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</si>
  <si>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</si>
  <si>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</si>
  <si>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</si>
  <si>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</si>
  <si>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</si>
  <si>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</si>
  <si>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</si>
  <si>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</si>
  <si>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</si>
  <si>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</si>
  <si>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</si>
  <si>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</si>
  <si>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</si>
  <si>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</si>
  <si>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</si>
  <si>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</si>
  <si>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</si>
  <si>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</si>
  <si>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</si>
  <si>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</si>
  <si>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</si>
  <si>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</si>
  <si>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</si>
  <si>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</si>
  <si>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</si>
  <si>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</si>
  <si>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</si>
  <si>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</si>
  <si>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</si>
  <si>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</si>
  <si>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</si>
  <si>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</si>
  <si>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</si>
  <si>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</si>
  <si>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</si>
  <si>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</si>
  <si>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</si>
  <si>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</si>
  <si>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</si>
  <si>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</si>
  <si>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Петушинский р-н, Нагорный п, Горячкина ул, 3</t>
  </si>
  <si>
    <t>ООО ДУК "ТЕРРИТОРИЯ"</t>
  </si>
  <si>
    <t>ТСН «Кленовая 34»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</si>
  <si>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</si>
  <si>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</si>
  <si>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</si>
  <si>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</si>
  <si>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</si>
  <si>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</si>
  <si>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</si>
  <si>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</si>
  <si>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</si>
  <si>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</si>
  <si>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</si>
  <si>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</si>
  <si>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</si>
  <si>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</si>
  <si>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</si>
  <si>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Селивановский р-н, Красная Горбатка п, Комсомольская ул, 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</si>
</sst>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[$-419]General"/>
    <numFmt numFmtId="167" formatCode="###\ ###\ ###\ ##0.00"/>
    <numFmt numFmtId="168" formatCode="###\ ###\ ###\ ##0"/>
    <numFmt numFmtId="169" formatCode="[$-419]#,##0.00"/>
  </numFmts>
  <fonts count="68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9"/>
      <color theme="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b/>
      <sz val="22"/>
      <color theme="1"/>
      <name val="Times New Roman"/>
      <family val="1"/>
      <charset val="204"/>
    </font>
    <font>
      <sz val="36"/>
      <color rgb="FF000000"/>
      <name val="Tahoma"/>
      <family val="2"/>
      <charset val="204"/>
    </font>
    <font>
      <b/>
      <sz val="48"/>
      <name val="Times New Roman"/>
      <family val="1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5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461">
    <xf numFmtId="0" fontId="0" fillId="0" borderId="0" xfId="0"/>
    <xf numFmtId="0" fontId="1" fillId="0" borderId="0" xfId="23" applyFont="1" applyAlignment="1">
      <alignment wrapText="1"/>
    </xf>
    <xf numFmtId="0" fontId="1" fillId="0" borderId="0" xfId="23" applyFont="1" applyAlignment="1">
      <alignment horizontal="right"/>
    </xf>
    <xf numFmtId="0" fontId="17" fillId="0" borderId="1" xfId="0" applyFont="1" applyFill="1" applyBorder="1"/>
    <xf numFmtId="0" fontId="17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 wrapText="1"/>
    </xf>
    <xf numFmtId="0" fontId="0" fillId="0" borderId="0" xfId="0" applyFill="1"/>
    <xf numFmtId="0" fontId="3" fillId="0" borderId="0" xfId="0" applyFont="1" applyFill="1" applyAlignment="1">
      <alignment horizontal="righ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7" fillId="0" borderId="1" xfId="9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6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NumberFormat="1" applyFill="1" applyAlignment="1">
      <alignment horizontal="right"/>
    </xf>
    <xf numFmtId="4" fontId="0" fillId="0" borderId="0" xfId="0" applyNumberForma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NumberFormat="1" applyFont="1" applyFill="1"/>
    <xf numFmtId="0" fontId="23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0" fontId="27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4" fontId="23" fillId="0" borderId="1" xfId="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>
      <alignment horizontal="right"/>
    </xf>
    <xf numFmtId="4" fontId="28" fillId="0" borderId="1" xfId="0" applyNumberFormat="1" applyFont="1" applyFill="1" applyBorder="1" applyAlignment="1">
      <alignment horizontal="right" wrapText="1"/>
    </xf>
    <xf numFmtId="1" fontId="23" fillId="0" borderId="1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4" fontId="25" fillId="0" borderId="1" xfId="10" applyNumberFormat="1" applyFont="1" applyFill="1" applyBorder="1" applyAlignment="1">
      <alignment horizontal="right" wrapText="1"/>
    </xf>
    <xf numFmtId="4" fontId="25" fillId="0" borderId="1" xfId="22" applyNumberFormat="1" applyFont="1" applyFill="1" applyBorder="1" applyAlignment="1">
      <alignment horizontal="right"/>
    </xf>
    <xf numFmtId="4" fontId="25" fillId="0" borderId="1" xfId="1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3" fontId="2" fillId="0" borderId="0" xfId="0" applyNumberFormat="1" applyFont="1" applyFill="1" applyAlignment="1">
      <alignment horizontal="center"/>
    </xf>
    <xf numFmtId="0" fontId="1" fillId="0" borderId="1" xfId="23" applyFont="1" applyBorder="1" applyAlignment="1">
      <alignment horizontal="center" vertical="center" wrapText="1"/>
    </xf>
    <xf numFmtId="4" fontId="1" fillId="0" borderId="1" xfId="0" applyNumberFormat="1" applyFont="1" applyBorder="1"/>
    <xf numFmtId="0" fontId="29" fillId="0" borderId="0" xfId="0" applyFont="1" applyFill="1" applyAlignment="1">
      <alignment wrapText="1"/>
    </xf>
    <xf numFmtId="0" fontId="30" fillId="0" borderId="1" xfId="9" applyNumberFormat="1" applyFont="1" applyFill="1" applyBorder="1" applyAlignment="1">
      <alignment horizontal="center" vertical="center"/>
    </xf>
    <xf numFmtId="4" fontId="30" fillId="0" borderId="1" xfId="9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167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167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26" fillId="0" borderId="11" xfId="0" applyFont="1" applyFill="1" applyBorder="1" applyAlignment="1">
      <alignment horizontal="center" vertical="center" textRotation="90" wrapText="1"/>
    </xf>
    <xf numFmtId="0" fontId="26" fillId="0" borderId="1" xfId="0" applyNumberFormat="1" applyFont="1" applyFill="1" applyBorder="1" applyAlignment="1">
      <alignment horizontal="center" wrapText="1"/>
    </xf>
    <xf numFmtId="0" fontId="31" fillId="0" borderId="0" xfId="0" applyFont="1" applyFill="1"/>
    <xf numFmtId="0" fontId="0" fillId="0" borderId="0" xfId="0" applyNumberFormat="1" applyFill="1"/>
    <xf numFmtId="0" fontId="28" fillId="0" borderId="1" xfId="28" applyFont="1" applyFill="1" applyBorder="1" applyAlignment="1">
      <alignment horizontal="center"/>
    </xf>
    <xf numFmtId="4" fontId="23" fillId="0" borderId="1" xfId="0" applyNumberFormat="1" applyFont="1" applyFill="1" applyBorder="1" applyAlignment="1"/>
    <xf numFmtId="4" fontId="23" fillId="0" borderId="1" xfId="0" applyNumberFormat="1" applyFont="1" applyFill="1" applyBorder="1" applyAlignment="1">
      <alignment horizontal="center"/>
    </xf>
    <xf numFmtId="10" fontId="23" fillId="0" borderId="1" xfId="0" applyNumberFormat="1" applyFont="1" applyFill="1" applyBorder="1" applyAlignment="1">
      <alignment horizontal="center"/>
    </xf>
    <xf numFmtId="4" fontId="23" fillId="0" borderId="0" xfId="0" applyNumberFormat="1" applyFont="1" applyFill="1"/>
    <xf numFmtId="0" fontId="23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right"/>
    </xf>
    <xf numFmtId="0" fontId="23" fillId="0" borderId="1" xfId="0" applyFont="1" applyFill="1" applyBorder="1" applyAlignment="1">
      <alignment horizontal="right"/>
    </xf>
    <xf numFmtId="0" fontId="2" fillId="0" borderId="0" xfId="0" applyFont="1" applyFill="1" applyAlignment="1">
      <alignment horizontal="center" wrapText="1"/>
    </xf>
    <xf numFmtId="3" fontId="23" fillId="0" borderId="1" xfId="0" applyNumberFormat="1" applyFont="1" applyFill="1" applyBorder="1" applyAlignment="1">
      <alignment horizontal="right"/>
    </xf>
    <xf numFmtId="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3" fontId="19" fillId="0" borderId="0" xfId="0" applyNumberFormat="1" applyFont="1" applyFill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26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0" fontId="25" fillId="0" borderId="1" xfId="10" applyNumberFormat="1" applyFont="1" applyFill="1" applyBorder="1" applyAlignment="1">
      <alignment horizontal="right"/>
    </xf>
    <xf numFmtId="3" fontId="15" fillId="0" borderId="1" xfId="0" applyNumberFormat="1" applyFont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right" vertical="center" readingOrder="1"/>
    </xf>
    <xf numFmtId="0" fontId="15" fillId="0" borderId="1" xfId="0" applyNumberFormat="1" applyFont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/>
    </xf>
    <xf numFmtId="4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/>
    </xf>
    <xf numFmtId="4" fontId="28" fillId="0" borderId="1" xfId="0" applyNumberFormat="1" applyFont="1" applyFill="1" applyBorder="1" applyAlignment="1">
      <alignment horizontal="right"/>
    </xf>
    <xf numFmtId="4" fontId="0" fillId="0" borderId="0" xfId="0" applyNumberFormat="1"/>
    <xf numFmtId="0" fontId="23" fillId="0" borderId="0" xfId="0" applyFont="1" applyFill="1"/>
    <xf numFmtId="4" fontId="30" fillId="0" borderId="0" xfId="9" applyNumberFormat="1" applyFont="1" applyFill="1" applyBorder="1" applyAlignment="1">
      <alignment horizontal="center" vertical="center" textRotation="90" wrapText="1"/>
    </xf>
    <xf numFmtId="4" fontId="30" fillId="0" borderId="0" xfId="9" applyNumberFormat="1" applyFont="1" applyFill="1" applyBorder="1" applyAlignment="1">
      <alignment horizontal="center" vertical="center" wrapText="1"/>
    </xf>
    <xf numFmtId="4" fontId="30" fillId="0" borderId="0" xfId="9" applyNumberFormat="1" applyFont="1" applyFill="1" applyBorder="1" applyAlignment="1">
      <alignment horizontal="center" vertical="center"/>
    </xf>
    <xf numFmtId="0" fontId="30" fillId="0" borderId="0" xfId="9" applyFont="1" applyFill="1" applyBorder="1" applyAlignment="1">
      <alignment horizontal="center" vertical="center"/>
    </xf>
    <xf numFmtId="43" fontId="0" fillId="0" borderId="0" xfId="31" applyFont="1" applyFill="1"/>
    <xf numFmtId="0" fontId="4" fillId="0" borderId="0" xfId="23"/>
    <xf numFmtId="4" fontId="9" fillId="0" borderId="1" xfId="0" applyNumberFormat="1" applyFont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17" fillId="0" borderId="1" xfId="0" applyFont="1" applyBorder="1"/>
    <xf numFmtId="0" fontId="25" fillId="0" borderId="1" xfId="0" applyFont="1" applyFill="1" applyBorder="1" applyAlignment="1">
      <alignment horizontal="left" vertical="center"/>
    </xf>
    <xf numFmtId="4" fontId="23" fillId="0" borderId="1" xfId="0" applyNumberFormat="1" applyFont="1" applyFill="1" applyBorder="1"/>
    <xf numFmtId="4" fontId="23" fillId="0" borderId="1" xfId="8" applyNumberFormat="1" applyFont="1" applyFill="1" applyBorder="1" applyAlignment="1">
      <alignment horizontal="right"/>
    </xf>
    <xf numFmtId="0" fontId="45" fillId="0" borderId="0" xfId="28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right" vertical="center"/>
    </xf>
    <xf numFmtId="4" fontId="21" fillId="0" borderId="1" xfId="8" applyNumberFormat="1" applyFont="1" applyFill="1" applyBorder="1" applyAlignment="1">
      <alignment horizontal="center" vertical="center"/>
    </xf>
    <xf numFmtId="4" fontId="21" fillId="0" borderId="0" xfId="8" applyNumberFormat="1" applyFont="1" applyFill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4" fontId="23" fillId="0" borderId="0" xfId="0" applyNumberFormat="1" applyFont="1" applyFill="1" applyAlignment="1">
      <alignment horizontal="center" vertical="center" wrapText="1"/>
    </xf>
    <xf numFmtId="0" fontId="28" fillId="0" borderId="1" xfId="28" applyFont="1" applyFill="1" applyBorder="1" applyAlignment="1">
      <alignment horizontal="center" vertical="center"/>
    </xf>
    <xf numFmtId="4" fontId="23" fillId="0" borderId="5" xfId="0" applyNumberFormat="1" applyFont="1" applyFill="1" applyBorder="1" applyAlignment="1">
      <alignment horizontal="right" vertical="center"/>
    </xf>
    <xf numFmtId="4" fontId="23" fillId="0" borderId="1" xfId="0" applyNumberFormat="1" applyFont="1" applyFill="1" applyBorder="1" applyAlignment="1">
      <alignment horizontal="right" vertical="center"/>
    </xf>
    <xf numFmtId="164" fontId="0" fillId="0" borderId="0" xfId="0" applyNumberFormat="1" applyFill="1"/>
    <xf numFmtId="0" fontId="4" fillId="0" borderId="0" xfId="24"/>
    <xf numFmtId="0" fontId="58" fillId="0" borderId="0" xfId="24" applyFont="1"/>
    <xf numFmtId="0" fontId="8" fillId="0" borderId="0" xfId="24" applyFont="1" applyAlignment="1">
      <alignment horizontal="right"/>
    </xf>
    <xf numFmtId="0" fontId="19" fillId="0" borderId="0" xfId="24" applyFont="1" applyAlignment="1">
      <alignment horizontal="right"/>
    </xf>
    <xf numFmtId="0" fontId="4" fillId="0" borderId="0" xfId="24" applyAlignment="1">
      <alignment horizontal="center"/>
    </xf>
    <xf numFmtId="0" fontId="37" fillId="0" borderId="0" xfId="24" applyFont="1"/>
    <xf numFmtId="0" fontId="43" fillId="0" borderId="1" xfId="8" applyFont="1" applyBorder="1" applyAlignment="1">
      <alignment horizontal="center" vertical="center" textRotation="90" wrapText="1"/>
    </xf>
    <xf numFmtId="4" fontId="43" fillId="0" borderId="1" xfId="24" applyNumberFormat="1" applyFont="1" applyBorder="1" applyAlignment="1">
      <alignment horizontal="center" vertical="center" wrapText="1"/>
    </xf>
    <xf numFmtId="0" fontId="43" fillId="0" borderId="1" xfId="24" applyFont="1" applyBorder="1" applyAlignment="1">
      <alignment horizontal="center" vertical="center" wrapText="1"/>
    </xf>
    <xf numFmtId="0" fontId="37" fillId="0" borderId="1" xfId="24" applyFont="1" applyBorder="1" applyAlignment="1">
      <alignment horizontal="center" wrapText="1"/>
    </xf>
    <xf numFmtId="0" fontId="43" fillId="0" borderId="1" xfId="24" applyFont="1" applyBorder="1" applyAlignment="1">
      <alignment horizontal="center" wrapText="1"/>
    </xf>
    <xf numFmtId="0" fontId="37" fillId="0" borderId="6" xfId="24" applyFont="1" applyBorder="1" applyAlignment="1">
      <alignment horizontal="left"/>
    </xf>
    <xf numFmtId="4" fontId="37" fillId="0" borderId="1" xfId="24" applyNumberFormat="1" applyFont="1" applyBorder="1" applyAlignment="1">
      <alignment horizontal="right" wrapText="1"/>
    </xf>
    <xf numFmtId="0" fontId="37" fillId="0" borderId="1" xfId="24" applyFont="1" applyBorder="1" applyAlignment="1">
      <alignment horizontal="right" wrapText="1"/>
    </xf>
    <xf numFmtId="0" fontId="37" fillId="0" borderId="1" xfId="24" applyFont="1" applyBorder="1" applyAlignment="1">
      <alignment horizontal="left"/>
    </xf>
    <xf numFmtId="0" fontId="37" fillId="0" borderId="1" xfId="24" applyFont="1" applyBorder="1" applyAlignment="1">
      <alignment horizontal="center"/>
    </xf>
    <xf numFmtId="0" fontId="37" fillId="0" borderId="1" xfId="24" applyFont="1" applyBorder="1"/>
    <xf numFmtId="4" fontId="37" fillId="0" borderId="1" xfId="24" applyNumberFormat="1" applyFont="1" applyBorder="1"/>
    <xf numFmtId="0" fontId="4" fillId="0" borderId="0" xfId="23" applyFill="1"/>
    <xf numFmtId="0" fontId="40" fillId="0" borderId="0" xfId="0" applyFont="1" applyFill="1"/>
    <xf numFmtId="0" fontId="43" fillId="0" borderId="1" xfId="8" applyFont="1" applyFill="1" applyBorder="1" applyAlignment="1">
      <alignment horizontal="center" vertical="center" textRotation="90" wrapText="1"/>
    </xf>
    <xf numFmtId="0" fontId="40" fillId="0" borderId="0" xfId="0" applyFont="1" applyFill="1" applyAlignment="1">
      <alignment vertical="center"/>
    </xf>
    <xf numFmtId="4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5" fillId="0" borderId="0" xfId="8" applyFill="1"/>
    <xf numFmtId="4" fontId="25" fillId="0" borderId="1" xfId="0" applyNumberFormat="1" applyFont="1" applyFill="1" applyBorder="1" applyAlignment="1">
      <alignment horizontal="right" wrapText="1"/>
    </xf>
    <xf numFmtId="0" fontId="37" fillId="0" borderId="0" xfId="0" applyFont="1" applyFill="1" applyAlignment="1">
      <alignment horizontal="right"/>
    </xf>
    <xf numFmtId="0" fontId="37" fillId="0" borderId="0" xfId="0" applyFont="1" applyFill="1" applyAlignment="1">
      <alignment horizontal="right" vertical="center" wrapText="1"/>
    </xf>
    <xf numFmtId="0" fontId="61" fillId="0" borderId="0" xfId="0" applyFont="1" applyFill="1" applyAlignment="1">
      <alignment horizontal="center" vertical="center" wrapText="1"/>
    </xf>
    <xf numFmtId="4" fontId="37" fillId="0" borderId="0" xfId="9" applyNumberFormat="1" applyFont="1" applyFill="1" applyBorder="1" applyAlignment="1">
      <alignment horizontal="center" vertical="center" textRotation="90" wrapText="1"/>
    </xf>
    <xf numFmtId="4" fontId="37" fillId="0" borderId="0" xfId="9" applyNumberFormat="1" applyFont="1" applyFill="1" applyBorder="1" applyAlignment="1">
      <alignment horizontal="center" vertical="center" wrapText="1"/>
    </xf>
    <xf numFmtId="4" fontId="37" fillId="0" borderId="0" xfId="9" applyNumberFormat="1" applyFont="1" applyFill="1" applyBorder="1" applyAlignment="1">
      <alignment horizontal="center" vertical="center"/>
    </xf>
    <xf numFmtId="0" fontId="37" fillId="0" borderId="0" xfId="9" applyFont="1" applyFill="1" applyBorder="1" applyAlignment="1">
      <alignment horizontal="center" vertical="center"/>
    </xf>
    <xf numFmtId="0" fontId="37" fillId="0" borderId="0" xfId="0" applyFont="1" applyFill="1"/>
    <xf numFmtId="4" fontId="37" fillId="0" borderId="0" xfId="0" applyNumberFormat="1" applyFont="1" applyFill="1"/>
    <xf numFmtId="0" fontId="2" fillId="0" borderId="0" xfId="0" applyFont="1" applyFill="1" applyAlignment="1">
      <alignment vertical="center"/>
    </xf>
    <xf numFmtId="0" fontId="23" fillId="0" borderId="1" xfId="0" applyFont="1" applyFill="1" applyBorder="1" applyAlignment="1">
      <alignment horizontal="left" vertical="center" wrapText="1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" fontId="23" fillId="0" borderId="0" xfId="0" applyNumberFormat="1" applyFont="1" applyFill="1" applyAlignment="1">
      <alignment vertical="center"/>
    </xf>
    <xf numFmtId="0" fontId="63" fillId="0" borderId="1" xfId="28" applyFont="1" applyFill="1" applyBorder="1" applyAlignment="1">
      <alignment horizontal="left"/>
    </xf>
    <xf numFmtId="4" fontId="25" fillId="0" borderId="1" xfId="0" applyNumberFormat="1" applyFont="1" applyFill="1" applyBorder="1"/>
    <xf numFmtId="0" fontId="33" fillId="0" borderId="1" xfId="0" applyFont="1" applyBorder="1" applyAlignment="1">
      <alignment horizontal="right"/>
    </xf>
    <xf numFmtId="0" fontId="33" fillId="0" borderId="1" xfId="0" applyFont="1" applyBorder="1" applyAlignment="1">
      <alignment horizontal="right" wrapText="1"/>
    </xf>
    <xf numFmtId="167" fontId="33" fillId="0" borderId="1" xfId="0" applyNumberFormat="1" applyFont="1" applyBorder="1" applyAlignment="1">
      <alignment horizontal="center"/>
    </xf>
    <xf numFmtId="1" fontId="33" fillId="0" borderId="1" xfId="0" applyNumberFormat="1" applyFont="1" applyBorder="1" applyAlignment="1">
      <alignment horizontal="center" wrapText="1"/>
    </xf>
    <xf numFmtId="4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center" wrapText="1"/>
    </xf>
    <xf numFmtId="3" fontId="33" fillId="0" borderId="1" xfId="0" applyNumberFormat="1" applyFont="1" applyBorder="1" applyAlignment="1">
      <alignment horizontal="center" wrapText="1"/>
    </xf>
    <xf numFmtId="0" fontId="64" fillId="0" borderId="0" xfId="0" applyFont="1" applyFill="1"/>
    <xf numFmtId="4" fontId="28" fillId="0" borderId="1" xfId="10" applyNumberFormat="1" applyFont="1" applyFill="1" applyBorder="1" applyAlignment="1">
      <alignment horizontal="right" wrapText="1"/>
    </xf>
    <xf numFmtId="1" fontId="28" fillId="0" borderId="1" xfId="0" applyNumberFormat="1" applyFont="1" applyFill="1" applyBorder="1" applyAlignment="1">
      <alignment horizontal="center"/>
    </xf>
    <xf numFmtId="1" fontId="28" fillId="0" borderId="5" xfId="0" applyNumberFormat="1" applyFont="1" applyFill="1" applyBorder="1" applyAlignment="1">
      <alignment horizontal="center"/>
    </xf>
    <xf numFmtId="4" fontId="28" fillId="0" borderId="0" xfId="0" applyNumberFormat="1" applyFont="1" applyFill="1"/>
    <xf numFmtId="3" fontId="1" fillId="0" borderId="3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right"/>
    </xf>
    <xf numFmtId="0" fontId="30" fillId="0" borderId="1" xfId="9" applyFont="1" applyFill="1" applyBorder="1" applyAlignment="1">
      <alignment horizontal="center" vertical="center" wrapText="1"/>
    </xf>
    <xf numFmtId="0" fontId="30" fillId="0" borderId="1" xfId="9" applyFont="1" applyFill="1" applyBorder="1" applyAlignment="1">
      <alignment horizontal="center" vertical="center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2" fontId="26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0" fontId="2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vertical="center"/>
    </xf>
    <xf numFmtId="0" fontId="23" fillId="0" borderId="1" xfId="0" applyFont="1" applyFill="1" applyBorder="1"/>
    <xf numFmtId="4" fontId="24" fillId="0" borderId="1" xfId="0" applyNumberFormat="1" applyFont="1" applyFill="1" applyBorder="1" applyAlignment="1">
      <alignment horizontal="right" wrapText="1"/>
    </xf>
    <xf numFmtId="0" fontId="24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right"/>
    </xf>
    <xf numFmtId="4" fontId="25" fillId="0" borderId="1" xfId="8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43" fontId="25" fillId="0" borderId="1" xfId="31" applyFont="1" applyFill="1" applyBorder="1" applyAlignment="1" applyProtection="1">
      <alignment horizontal="right"/>
    </xf>
    <xf numFmtId="0" fontId="24" fillId="0" borderId="1" xfId="0" applyFont="1" applyFill="1" applyBorder="1" applyAlignment="1">
      <alignment horizontal="left"/>
    </xf>
    <xf numFmtId="4" fontId="24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vertical="center" wrapText="1"/>
    </xf>
    <xf numFmtId="0" fontId="48" fillId="0" borderId="1" xfId="0" applyFont="1" applyFill="1" applyBorder="1" applyAlignment="1">
      <alignment horizontal="right"/>
    </xf>
    <xf numFmtId="169" fontId="25" fillId="0" borderId="1" xfId="10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1" fillId="0" borderId="0" xfId="0" applyFont="1" applyFill="1"/>
    <xf numFmtId="0" fontId="2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4" fontId="47" fillId="0" borderId="1" xfId="0" applyNumberFormat="1" applyFont="1" applyFill="1" applyBorder="1" applyAlignment="1">
      <alignment horizontal="right" vertical="center"/>
    </xf>
    <xf numFmtId="4" fontId="24" fillId="0" borderId="0" xfId="0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4" fontId="25" fillId="0" borderId="1" xfId="0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/>
    </xf>
    <xf numFmtId="3" fontId="37" fillId="0" borderId="1" xfId="0" applyNumberFormat="1" applyFont="1" applyFill="1" applyBorder="1" applyAlignment="1">
      <alignment horizontal="right" vertical="center"/>
    </xf>
    <xf numFmtId="0" fontId="37" fillId="0" borderId="1" xfId="0" applyFont="1" applyFill="1" applyBorder="1" applyAlignment="1">
      <alignment horizontal="center" vertical="center" wrapText="1"/>
    </xf>
    <xf numFmtId="4" fontId="37" fillId="0" borderId="0" xfId="0" applyNumberFormat="1" applyFont="1" applyFill="1" applyAlignment="1">
      <alignment vertical="center"/>
    </xf>
    <xf numFmtId="0" fontId="37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34" fillId="0" borderId="1" xfId="0" applyFont="1" applyFill="1" applyBorder="1" applyAlignment="1">
      <alignment horizontal="center" vertical="center"/>
    </xf>
    <xf numFmtId="0" fontId="35" fillId="0" borderId="1" xfId="28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3" fontId="37" fillId="0" borderId="1" xfId="0" applyNumberFormat="1" applyFont="1" applyFill="1" applyBorder="1" applyAlignment="1">
      <alignment vertical="center"/>
    </xf>
    <xf numFmtId="0" fontId="36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/>
    </xf>
    <xf numFmtId="0" fontId="42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0" fontId="66" fillId="0" borderId="0" xfId="0" applyFont="1" applyFill="1" applyAlignment="1">
      <alignment vertical="center"/>
    </xf>
    <xf numFmtId="0" fontId="35" fillId="0" borderId="1" xfId="0" applyFont="1" applyFill="1" applyBorder="1" applyAlignment="1">
      <alignment horizontal="left" vertical="center"/>
    </xf>
    <xf numFmtId="0" fontId="67" fillId="0" borderId="1" xfId="0" applyFont="1" applyFill="1" applyBorder="1" applyAlignment="1">
      <alignment horizontal="center" vertical="center"/>
    </xf>
    <xf numFmtId="4" fontId="67" fillId="0" borderId="1" xfId="0" applyNumberFormat="1" applyFont="1" applyFill="1" applyBorder="1" applyAlignment="1">
      <alignment horizontal="right" vertical="center"/>
    </xf>
    <xf numFmtId="3" fontId="67" fillId="0" borderId="1" xfId="0" applyNumberFormat="1" applyFont="1" applyFill="1" applyBorder="1" applyAlignment="1">
      <alignment horizontal="right" vertical="center"/>
    </xf>
    <xf numFmtId="0" fontId="67" fillId="0" borderId="1" xfId="0" applyFont="1" applyFill="1" applyBorder="1" applyAlignment="1">
      <alignment horizontal="center" vertical="center" wrapText="1"/>
    </xf>
    <xf numFmtId="4" fontId="67" fillId="0" borderId="1" xfId="0" applyNumberFormat="1" applyFont="1" applyFill="1" applyBorder="1" applyAlignment="1">
      <alignment vertical="center"/>
    </xf>
    <xf numFmtId="4" fontId="67" fillId="0" borderId="0" xfId="0" applyNumberFormat="1" applyFont="1" applyFill="1" applyAlignment="1">
      <alignment vertical="center"/>
    </xf>
    <xf numFmtId="0" fontId="67" fillId="0" borderId="0" xfId="0" applyFont="1" applyFill="1" applyAlignment="1">
      <alignment vertical="center"/>
    </xf>
    <xf numFmtId="0" fontId="41" fillId="0" borderId="0" xfId="0" applyFont="1" applyFill="1" applyAlignment="1">
      <alignment horizontal="left" vertical="center"/>
    </xf>
    <xf numFmtId="0" fontId="40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37" fillId="0" borderId="1" xfId="0" applyFont="1" applyFill="1" applyBorder="1" applyAlignment="1">
      <alignment horizontal="right" vertical="center"/>
    </xf>
    <xf numFmtId="4" fontId="37" fillId="0" borderId="5" xfId="0" applyNumberFormat="1" applyFont="1" applyFill="1" applyBorder="1" applyAlignment="1">
      <alignment horizontal="right" vertical="center"/>
    </xf>
    <xf numFmtId="4" fontId="1" fillId="0" borderId="1" xfId="0" applyNumberFormat="1" applyFont="1" applyFill="1" applyBorder="1"/>
    <xf numFmtId="0" fontId="30" fillId="0" borderId="1" xfId="19" applyFont="1" applyFill="1" applyBorder="1" applyAlignment="1">
      <alignment horizontal="left"/>
    </xf>
    <xf numFmtId="0" fontId="30" fillId="0" borderId="1" xfId="19" applyFont="1" applyFill="1" applyBorder="1"/>
    <xf numFmtId="4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 applyAlignment="1">
      <alignment horizontal="center" wrapText="1"/>
    </xf>
    <xf numFmtId="1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/>
    <xf numFmtId="1" fontId="15" fillId="0" borderId="1" xfId="19" applyNumberFormat="1" applyFont="1" applyFill="1" applyBorder="1"/>
    <xf numFmtId="0" fontId="15" fillId="0" borderId="1" xfId="19" applyFont="1" applyFill="1" applyBorder="1" applyAlignment="1">
      <alignment horizontal="center"/>
    </xf>
    <xf numFmtId="4" fontId="15" fillId="0" borderId="1" xfId="19" applyNumberFormat="1" applyFont="1" applyFill="1" applyBorder="1" applyAlignment="1">
      <alignment horizontal="right"/>
    </xf>
    <xf numFmtId="1" fontId="15" fillId="0" borderId="1" xfId="19" applyNumberFormat="1" applyFont="1" applyFill="1" applyBorder="1" applyAlignment="1">
      <alignment horizontal="right"/>
    </xf>
    <xf numFmtId="0" fontId="30" fillId="0" borderId="1" xfId="0" applyFont="1" applyFill="1" applyBorder="1"/>
    <xf numFmtId="0" fontId="30" fillId="0" borderId="6" xfId="19" applyFont="1" applyFill="1" applyBorder="1" applyAlignment="1">
      <alignment horizontal="left"/>
    </xf>
    <xf numFmtId="0" fontId="28" fillId="0" borderId="1" xfId="28" applyFont="1" applyFill="1" applyBorder="1" applyAlignment="1">
      <alignment horizontal="left"/>
    </xf>
    <xf numFmtId="4" fontId="25" fillId="0" borderId="1" xfId="34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 vertical="center" wrapText="1"/>
    </xf>
    <xf numFmtId="4" fontId="28" fillId="0" borderId="1" xfId="0" applyNumberFormat="1" applyFont="1" applyFill="1" applyBorder="1"/>
    <xf numFmtId="168" fontId="23" fillId="0" borderId="5" xfId="0" applyNumberFormat="1" applyFont="1" applyFill="1" applyBorder="1" applyAlignment="1">
      <alignment horizontal="center"/>
    </xf>
    <xf numFmtId="168" fontId="23" fillId="0" borderId="1" xfId="0" applyNumberFormat="1" applyFont="1" applyFill="1" applyBorder="1" applyAlignment="1">
      <alignment horizontal="left"/>
    </xf>
    <xf numFmtId="167" fontId="31" fillId="0" borderId="1" xfId="0" applyNumberFormat="1" applyFont="1" applyFill="1" applyBorder="1" applyAlignment="1">
      <alignment wrapText="1"/>
    </xf>
    <xf numFmtId="0" fontId="23" fillId="0" borderId="5" xfId="0" applyFont="1" applyFill="1" applyBorder="1" applyAlignment="1">
      <alignment horizontal="center"/>
    </xf>
    <xf numFmtId="0" fontId="28" fillId="0" borderId="1" xfId="28" applyFont="1" applyFill="1" applyBorder="1" applyAlignment="1">
      <alignment horizontal="left" vertical="center"/>
    </xf>
    <xf numFmtId="0" fontId="30" fillId="0" borderId="0" xfId="19" applyFont="1" applyFill="1" applyAlignment="1">
      <alignment wrapText="1"/>
    </xf>
    <xf numFmtId="0" fontId="30" fillId="0" borderId="0" xfId="19" applyFont="1" applyFill="1" applyAlignment="1">
      <alignment horizontal="center" wrapText="1"/>
    </xf>
    <xf numFmtId="0" fontId="30" fillId="0" borderId="0" xfId="19" applyFont="1" applyFill="1" applyAlignment="1">
      <alignment horizontal="right" wrapText="1"/>
    </xf>
    <xf numFmtId="0" fontId="30" fillId="0" borderId="0" xfId="19" applyFont="1" applyFill="1" applyAlignment="1">
      <alignment vertical="center" wrapText="1"/>
    </xf>
    <xf numFmtId="0" fontId="30" fillId="0" borderId="1" xfId="29" applyFont="1" applyFill="1" applyBorder="1" applyAlignment="1">
      <alignment horizontal="center" vertical="center"/>
    </xf>
    <xf numFmtId="1" fontId="30" fillId="0" borderId="1" xfId="29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4" fontId="37" fillId="0" borderId="1" xfId="0" applyNumberFormat="1" applyFont="1" applyFill="1" applyBorder="1"/>
    <xf numFmtId="3" fontId="37" fillId="0" borderId="1" xfId="0" applyNumberFormat="1" applyFont="1" applyFill="1" applyBorder="1"/>
    <xf numFmtId="4" fontId="37" fillId="0" borderId="1" xfId="0" applyNumberFormat="1" applyFont="1" applyFill="1" applyBorder="1" applyAlignment="1">
      <alignment horizontal="right"/>
    </xf>
    <xf numFmtId="0" fontId="35" fillId="0" borderId="1" xfId="28" applyFont="1" applyFill="1" applyBorder="1" applyAlignment="1">
      <alignment horizontal="center"/>
    </xf>
    <xf numFmtId="0" fontId="35" fillId="0" borderId="1" xfId="28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/>
    </xf>
    <xf numFmtId="0" fontId="35" fillId="0" borderId="1" xfId="28" applyFont="1" applyFill="1" applyBorder="1" applyAlignment="1">
      <alignment horizontal="left"/>
    </xf>
    <xf numFmtId="168" fontId="30" fillId="0" borderId="1" xfId="0" applyNumberFormat="1" applyFont="1" applyFill="1" applyBorder="1" applyAlignment="1">
      <alignment horizontal="left"/>
    </xf>
    <xf numFmtId="0" fontId="43" fillId="0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wrapText="1"/>
    </xf>
    <xf numFmtId="4" fontId="43" fillId="0" borderId="1" xfId="0" applyNumberFormat="1" applyFont="1" applyFill="1" applyBorder="1" applyAlignment="1">
      <alignment horizontal="right"/>
    </xf>
    <xf numFmtId="3" fontId="43" fillId="0" borderId="1" xfId="0" applyNumberFormat="1" applyFont="1" applyFill="1" applyBorder="1" applyAlignment="1">
      <alignment horizontal="right"/>
    </xf>
    <xf numFmtId="3" fontId="43" fillId="0" borderId="1" xfId="0" applyNumberFormat="1" applyFont="1" applyFill="1" applyBorder="1" applyAlignment="1">
      <alignment horizontal="center"/>
    </xf>
    <xf numFmtId="1" fontId="35" fillId="0" borderId="1" xfId="28" applyNumberFormat="1" applyFont="1" applyFill="1" applyBorder="1" applyAlignment="1">
      <alignment horizontal="center"/>
    </xf>
    <xf numFmtId="167" fontId="30" fillId="0" borderId="1" xfId="0" applyNumberFormat="1" applyFont="1" applyFill="1" applyBorder="1" applyAlignment="1">
      <alignment horizontal="left" wrapText="1"/>
    </xf>
    <xf numFmtId="4" fontId="43" fillId="0" borderId="1" xfId="0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45" fillId="0" borderId="6" xfId="28" applyFont="1" applyFill="1" applyBorder="1" applyAlignment="1">
      <alignment horizontal="center" vertical="center"/>
    </xf>
    <xf numFmtId="0" fontId="45" fillId="0" borderId="7" xfId="28" applyFont="1" applyFill="1" applyBorder="1" applyAlignment="1">
      <alignment horizontal="center" vertical="center"/>
    </xf>
    <xf numFmtId="0" fontId="45" fillId="0" borderId="5" xfId="28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46" fillId="0" borderId="7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>
      <alignment horizontal="center" vertical="center" textRotation="90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 vertical="center" wrapText="1"/>
    </xf>
    <xf numFmtId="0" fontId="22" fillId="0" borderId="0" xfId="0" applyFont="1" applyFill="1" applyAlignment="1">
      <alignment horizontal="center" wrapText="1"/>
    </xf>
    <xf numFmtId="0" fontId="22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textRotation="90" wrapText="1"/>
    </xf>
    <xf numFmtId="2" fontId="26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4" fontId="26" fillId="0" borderId="1" xfId="0" applyNumberFormat="1" applyFont="1" applyFill="1" applyBorder="1" applyAlignment="1">
      <alignment horizontal="center" vertical="center" textRotation="90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left" vertical="center" wrapText="1"/>
    </xf>
    <xf numFmtId="4" fontId="30" fillId="0" borderId="2" xfId="9" applyNumberFormat="1" applyFont="1" applyFill="1" applyBorder="1" applyAlignment="1">
      <alignment horizontal="center" vertical="center" textRotation="90" wrapText="1"/>
    </xf>
    <xf numFmtId="4" fontId="30" fillId="0" borderId="3" xfId="9" applyNumberFormat="1" applyFont="1" applyFill="1" applyBorder="1" applyAlignment="1">
      <alignment horizontal="center" vertical="center" textRotation="90" wrapText="1"/>
    </xf>
    <xf numFmtId="4" fontId="30" fillId="0" borderId="4" xfId="9" applyNumberFormat="1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vertical="center" textRotation="90" wrapText="1"/>
    </xf>
    <xf numFmtId="0" fontId="30" fillId="0" borderId="3" xfId="9" applyFont="1" applyFill="1" applyBorder="1" applyAlignment="1">
      <alignment horizontal="center" vertical="center" textRotation="90" wrapText="1"/>
    </xf>
    <xf numFmtId="0" fontId="30" fillId="0" borderId="4" xfId="9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textRotation="90" wrapText="1"/>
    </xf>
    <xf numFmtId="0" fontId="30" fillId="0" borderId="3" xfId="9" applyFont="1" applyFill="1" applyBorder="1" applyAlignment="1">
      <alignment horizontal="center" textRotation="90" wrapText="1"/>
    </xf>
    <xf numFmtId="0" fontId="30" fillId="0" borderId="4" xfId="9" applyFont="1" applyFill="1" applyBorder="1" applyAlignment="1">
      <alignment horizontal="center" textRotation="90" wrapText="1"/>
    </xf>
    <xf numFmtId="0" fontId="2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30" fillId="0" borderId="2" xfId="9" applyFont="1" applyFill="1" applyBorder="1" applyAlignment="1">
      <alignment horizontal="center" vertical="center" wrapText="1"/>
    </xf>
    <xf numFmtId="0" fontId="30" fillId="0" borderId="3" xfId="9" applyFont="1" applyFill="1" applyBorder="1" applyAlignment="1">
      <alignment horizontal="center" vertical="center" wrapText="1"/>
    </xf>
    <xf numFmtId="0" fontId="30" fillId="0" borderId="4" xfId="9" applyFont="1" applyFill="1" applyBorder="1" applyAlignment="1">
      <alignment horizontal="center" vertical="center" wrapText="1"/>
    </xf>
    <xf numFmtId="0" fontId="30" fillId="0" borderId="6" xfId="9" applyFont="1" applyFill="1" applyBorder="1" applyAlignment="1">
      <alignment horizontal="center" vertical="center" wrapText="1"/>
    </xf>
    <xf numFmtId="0" fontId="30" fillId="0" borderId="5" xfId="9" applyFont="1" applyFill="1" applyBorder="1" applyAlignment="1">
      <alignment horizontal="center" vertical="center" wrapText="1"/>
    </xf>
    <xf numFmtId="4" fontId="30" fillId="0" borderId="6" xfId="9" applyNumberFormat="1" applyFont="1" applyFill="1" applyBorder="1" applyAlignment="1">
      <alignment horizontal="center" vertical="center" wrapText="1"/>
    </xf>
    <xf numFmtId="4" fontId="30" fillId="0" borderId="7" xfId="9" applyNumberFormat="1" applyFont="1" applyFill="1" applyBorder="1" applyAlignment="1">
      <alignment horizontal="center" vertical="center" wrapText="1"/>
    </xf>
    <xf numFmtId="4" fontId="30" fillId="0" borderId="5" xfId="9" applyNumberFormat="1" applyFont="1" applyFill="1" applyBorder="1" applyAlignment="1">
      <alignment horizontal="center" vertical="center" wrapText="1"/>
    </xf>
    <xf numFmtId="0" fontId="30" fillId="0" borderId="2" xfId="9" applyNumberFormat="1" applyFont="1" applyFill="1" applyBorder="1" applyAlignment="1">
      <alignment horizontal="center" vertical="center" textRotation="90" wrapText="1"/>
    </xf>
    <xf numFmtId="0" fontId="30" fillId="0" borderId="3" xfId="9" applyNumberFormat="1" applyFont="1" applyFill="1" applyBorder="1" applyAlignment="1">
      <alignment horizontal="center" vertical="center" textRotation="90" wrapText="1"/>
    </xf>
    <xf numFmtId="0" fontId="30" fillId="0" borderId="4" xfId="9" applyNumberFormat="1" applyFont="1" applyFill="1" applyBorder="1" applyAlignment="1">
      <alignment horizontal="center" vertical="center" textRotation="90" wrapText="1"/>
    </xf>
    <xf numFmtId="0" fontId="1" fillId="0" borderId="6" xfId="23" applyFont="1" applyBorder="1" applyAlignment="1">
      <alignment horizontal="center" vertical="center" wrapText="1"/>
    </xf>
    <xf numFmtId="0" fontId="1" fillId="0" borderId="7" xfId="23" applyFont="1" applyBorder="1" applyAlignment="1">
      <alignment horizontal="center" vertical="center" wrapText="1"/>
    </xf>
    <xf numFmtId="0" fontId="1" fillId="0" borderId="5" xfId="23" applyFont="1" applyBorder="1" applyAlignment="1">
      <alignment horizontal="center" vertical="center" wrapText="1"/>
    </xf>
    <xf numFmtId="0" fontId="1" fillId="0" borderId="6" xfId="23" applyFont="1" applyBorder="1" applyAlignment="1">
      <alignment wrapText="1"/>
    </xf>
    <xf numFmtId="0" fontId="1" fillId="0" borderId="5" xfId="23" applyFont="1" applyBorder="1" applyAlignment="1">
      <alignment wrapText="1"/>
    </xf>
    <xf numFmtId="0" fontId="1" fillId="0" borderId="6" xfId="23" applyFont="1" applyFill="1" applyBorder="1" applyAlignment="1">
      <alignment wrapText="1"/>
    </xf>
    <xf numFmtId="0" fontId="1" fillId="0" borderId="5" xfId="23" applyFont="1" applyFill="1" applyBorder="1" applyAlignment="1">
      <alignment wrapText="1"/>
    </xf>
    <xf numFmtId="0" fontId="9" fillId="0" borderId="0" xfId="23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left" vertical="center"/>
    </xf>
    <xf numFmtId="1" fontId="9" fillId="0" borderId="5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right" vertical="center" wrapText="1"/>
    </xf>
    <xf numFmtId="0" fontId="15" fillId="0" borderId="0" xfId="0" applyFont="1" applyFill="1" applyAlignment="1">
      <alignment horizontal="right" vertical="top" wrapText="1"/>
    </xf>
    <xf numFmtId="0" fontId="16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center" vertical="center" textRotation="90" wrapText="1"/>
    </xf>
    <xf numFmtId="0" fontId="24" fillId="0" borderId="8" xfId="23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4" fontId="43" fillId="0" borderId="2" xfId="0" applyNumberFormat="1" applyFont="1" applyFill="1" applyBorder="1" applyAlignment="1">
      <alignment horizontal="center" vertical="center" textRotation="90" wrapText="1"/>
    </xf>
    <xf numFmtId="4" fontId="43" fillId="0" borderId="3" xfId="0" applyNumberFormat="1" applyFont="1" applyFill="1" applyBorder="1" applyAlignment="1">
      <alignment horizontal="center" vertical="center" textRotation="90" wrapText="1"/>
    </xf>
    <xf numFmtId="4" fontId="43" fillId="0" borderId="4" xfId="0" applyNumberFormat="1" applyFont="1" applyFill="1" applyBorder="1" applyAlignment="1">
      <alignment horizontal="center" vertical="center" textRotation="90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15" fillId="0" borderId="1" xfId="33" applyFont="1" applyFill="1" applyBorder="1" applyAlignment="1">
      <alignment horizontal="center" vertical="center" textRotation="90" wrapText="1"/>
    </xf>
    <xf numFmtId="0" fontId="43" fillId="0" borderId="1" xfId="0" applyFont="1" applyFill="1" applyBorder="1" applyAlignment="1">
      <alignment horizontal="center" vertical="center" textRotation="90" wrapText="1"/>
    </xf>
    <xf numFmtId="0" fontId="30" fillId="0" borderId="1" xfId="24" applyFont="1" applyBorder="1" applyAlignment="1">
      <alignment horizontal="center" vertical="center" wrapText="1"/>
    </xf>
    <xf numFmtId="4" fontId="43" fillId="0" borderId="2" xfId="24" applyNumberFormat="1" applyFont="1" applyBorder="1" applyAlignment="1">
      <alignment horizontal="center" vertical="center" textRotation="90" wrapText="1"/>
    </xf>
    <xf numFmtId="4" fontId="43" fillId="0" borderId="3" xfId="24" applyNumberFormat="1" applyFont="1" applyBorder="1" applyAlignment="1">
      <alignment horizontal="center" vertical="center" textRotation="90" wrapText="1"/>
    </xf>
    <xf numFmtId="4" fontId="43" fillId="0" borderId="4" xfId="24" applyNumberFormat="1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wrapText="1"/>
    </xf>
    <xf numFmtId="2" fontId="43" fillId="0" borderId="9" xfId="24" applyNumberFormat="1" applyFont="1" applyBorder="1" applyAlignment="1">
      <alignment horizontal="center" vertical="center" wrapText="1"/>
    </xf>
    <xf numFmtId="2" fontId="43" fillId="0" borderId="13" xfId="24" applyNumberFormat="1" applyFont="1" applyBorder="1" applyAlignment="1">
      <alignment horizontal="center" vertical="center" wrapText="1"/>
    </xf>
    <xf numFmtId="2" fontId="43" fillId="0" borderId="2" xfId="24" applyNumberFormat="1" applyFont="1" applyBorder="1" applyAlignment="1">
      <alignment horizontal="center" vertical="center" textRotation="90" wrapText="1"/>
    </xf>
    <xf numFmtId="2" fontId="43" fillId="0" borderId="4" xfId="24" applyNumberFormat="1" applyFont="1" applyBorder="1" applyAlignment="1">
      <alignment horizontal="center" vertical="center" textRotation="90" wrapText="1"/>
    </xf>
    <xf numFmtId="0" fontId="58" fillId="0" borderId="0" xfId="24" applyFont="1" applyAlignment="1">
      <alignment horizontal="center"/>
    </xf>
    <xf numFmtId="0" fontId="7" fillId="0" borderId="0" xfId="24" applyFont="1" applyAlignment="1">
      <alignment horizontal="right"/>
    </xf>
    <xf numFmtId="0" fontId="24" fillId="0" borderId="8" xfId="24" applyFont="1" applyBorder="1" applyAlignment="1">
      <alignment horizontal="center" vertical="center" wrapText="1"/>
    </xf>
    <xf numFmtId="0" fontId="43" fillId="0" borderId="1" xfId="32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textRotation="90" wrapText="1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top" wrapText="1"/>
    </xf>
    <xf numFmtId="0" fontId="21" fillId="0" borderId="0" xfId="0" applyFont="1" applyFill="1" applyAlignment="1">
      <alignment horizontal="left" wrapText="1"/>
    </xf>
    <xf numFmtId="0" fontId="21" fillId="0" borderId="8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4" fontId="26" fillId="0" borderId="2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 wrapText="1"/>
    </xf>
    <xf numFmtId="2" fontId="26" fillId="0" borderId="1" xfId="19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textRotation="90" wrapText="1"/>
    </xf>
    <xf numFmtId="0" fontId="26" fillId="0" borderId="3" xfId="0" applyFont="1" applyFill="1" applyBorder="1" applyAlignment="1">
      <alignment horizontal="center" vertical="center" textRotation="90" wrapText="1"/>
    </xf>
    <xf numFmtId="0" fontId="26" fillId="0" borderId="4" xfId="0" applyFont="1" applyFill="1" applyBorder="1" applyAlignment="1">
      <alignment horizontal="center" vertical="center" textRotation="90" wrapText="1"/>
    </xf>
    <xf numFmtId="0" fontId="23" fillId="0" borderId="1" xfId="0" applyFont="1" applyFill="1" applyBorder="1" applyAlignment="1">
      <alignment horizontal="center" vertical="center"/>
    </xf>
    <xf numFmtId="2" fontId="26" fillId="0" borderId="2" xfId="19" applyNumberFormat="1" applyFont="1" applyFill="1" applyBorder="1" applyAlignment="1">
      <alignment horizontal="center" vertical="center" textRotation="90" wrapText="1"/>
    </xf>
    <xf numFmtId="2" fontId="26" fillId="0" borderId="4" xfId="19" applyNumberFormat="1" applyFont="1" applyFill="1" applyBorder="1" applyAlignment="1">
      <alignment horizontal="center" vertical="center" textRotation="90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168" fontId="23" fillId="0" borderId="6" xfId="0" applyNumberFormat="1" applyFont="1" applyFill="1" applyBorder="1" applyAlignment="1">
      <alignment horizontal="left"/>
    </xf>
    <xf numFmtId="168" fontId="23" fillId="0" borderId="5" xfId="0" applyNumberFormat="1" applyFont="1" applyFill="1" applyBorder="1" applyAlignment="1">
      <alignment horizontal="left"/>
    </xf>
    <xf numFmtId="2" fontId="26" fillId="0" borderId="2" xfId="0" applyNumberFormat="1" applyFont="1" applyFill="1" applyBorder="1" applyAlignment="1">
      <alignment horizontal="center" vertical="center" textRotation="90" wrapText="1"/>
    </xf>
    <xf numFmtId="2" fontId="26" fillId="0" borderId="4" xfId="0" applyNumberFormat="1" applyFont="1" applyFill="1" applyBorder="1" applyAlignment="1">
      <alignment horizontal="center" vertical="center" textRotation="90" wrapText="1"/>
    </xf>
    <xf numFmtId="0" fontId="30" fillId="0" borderId="0" xfId="19" applyFont="1" applyFill="1" applyAlignment="1">
      <alignment horizontal="right" wrapText="1"/>
    </xf>
    <xf numFmtId="0" fontId="30" fillId="0" borderId="0" xfId="19" applyFont="1" applyFill="1" applyAlignment="1">
      <alignment horizontal="right" vertical="center" wrapText="1"/>
    </xf>
    <xf numFmtId="0" fontId="39" fillId="0" borderId="0" xfId="19" applyFont="1" applyFill="1" applyAlignment="1">
      <alignment horizontal="center" vertical="center" wrapText="1"/>
    </xf>
    <xf numFmtId="0" fontId="30" fillId="0" borderId="1" xfId="29" applyFont="1" applyFill="1" applyBorder="1" applyAlignment="1">
      <alignment horizontal="center" vertical="center" wrapText="1"/>
    </xf>
    <xf numFmtId="0" fontId="30" fillId="0" borderId="1" xfId="29" applyFont="1" applyFill="1" applyBorder="1" applyAlignment="1">
      <alignment vertical="center" wrapText="1"/>
    </xf>
    <xf numFmtId="0" fontId="30" fillId="0" borderId="1" xfId="29" applyFont="1" applyFill="1" applyBorder="1" applyAlignment="1">
      <alignment vertical="center"/>
    </xf>
    <xf numFmtId="0" fontId="30" fillId="0" borderId="1" xfId="29" applyFont="1" applyFill="1" applyBorder="1" applyAlignment="1">
      <alignment horizontal="center" vertical="center" textRotation="90" wrapText="1"/>
    </xf>
    <xf numFmtId="0" fontId="30" fillId="0" borderId="2" xfId="29" applyFont="1" applyFill="1" applyBorder="1" applyAlignment="1">
      <alignment horizontal="center" vertical="center" textRotation="90" wrapText="1"/>
    </xf>
    <xf numFmtId="0" fontId="30" fillId="0" borderId="3" xfId="29" applyFont="1" applyFill="1" applyBorder="1" applyAlignment="1">
      <alignment vertical="center" wrapText="1"/>
    </xf>
    <xf numFmtId="0" fontId="30" fillId="0" borderId="4" xfId="29" applyFont="1" applyFill="1" applyBorder="1" applyAlignment="1">
      <alignment vertical="center"/>
    </xf>
    <xf numFmtId="0" fontId="26" fillId="0" borderId="6" xfId="29" applyFont="1" applyFill="1" applyBorder="1" applyAlignment="1">
      <alignment horizontal="center" vertical="center"/>
    </xf>
    <xf numFmtId="0" fontId="26" fillId="0" borderId="7" xfId="29" applyFont="1" applyFill="1" applyBorder="1" applyAlignment="1">
      <alignment horizontal="center" vertical="center"/>
    </xf>
    <xf numFmtId="0" fontId="26" fillId="0" borderId="5" xfId="29" applyFont="1" applyFill="1" applyBorder="1" applyAlignment="1">
      <alignment horizontal="center" vertical="center"/>
    </xf>
    <xf numFmtId="0" fontId="30" fillId="0" borderId="1" xfId="29" applyFont="1" applyFill="1" applyBorder="1" applyAlignment="1">
      <alignment horizontal="center" textRotation="90" wrapText="1"/>
    </xf>
    <xf numFmtId="0" fontId="30" fillId="0" borderId="1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/>
    </xf>
    <xf numFmtId="0" fontId="30" fillId="0" borderId="4" xfId="29" applyFont="1" applyFill="1" applyBorder="1" applyAlignment="1">
      <alignment vertical="center" wrapText="1"/>
    </xf>
    <xf numFmtId="0" fontId="30" fillId="0" borderId="2" xfId="29" applyFont="1" applyFill="1" applyBorder="1" applyAlignment="1">
      <alignment horizontal="center" textRotation="90" wrapText="1"/>
    </xf>
    <xf numFmtId="0" fontId="30" fillId="0" borderId="3" xfId="29" applyFont="1" applyFill="1" applyBorder="1" applyAlignment="1">
      <alignment horizontal="center" wrapText="1"/>
    </xf>
    <xf numFmtId="0" fontId="30" fillId="0" borderId="4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textRotation="90" wrapText="1"/>
    </xf>
    <xf numFmtId="0" fontId="30" fillId="0" borderId="4" xfId="29" applyFont="1" applyFill="1" applyBorder="1" applyAlignment="1">
      <alignment horizontal="center" textRotation="90" wrapText="1"/>
    </xf>
    <xf numFmtId="0" fontId="30" fillId="0" borderId="2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19" applyFont="1" applyAlignment="1">
      <alignment horizontal="right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right" wrapText="1"/>
    </xf>
    <xf numFmtId="4" fontId="24" fillId="0" borderId="1" xfId="0" applyNumberFormat="1" applyFont="1" applyFill="1" applyBorder="1"/>
    <xf numFmtId="0" fontId="28" fillId="0" borderId="1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center"/>
    </xf>
  </cellXfs>
  <cellStyles count="35">
    <cellStyle name="Excel Built-in Normal" xfId="10" xr:uid="{00000000-0005-0000-0000-000000000000}"/>
    <cellStyle name="Excel Built-in Normal 1" xfId="22" xr:uid="{00000000-0005-0000-0000-000001000000}"/>
    <cellStyle name="Excel Built-in Normal 2 2" xfId="14" xr:uid="{00000000-0005-0000-0000-000002000000}"/>
    <cellStyle name="Обычный" xfId="0" builtinId="0"/>
    <cellStyle name="Обычный 10" xfId="11" xr:uid="{00000000-0005-0000-0000-000004000000}"/>
    <cellStyle name="Обычный 11" xfId="19" xr:uid="{00000000-0005-0000-0000-000005000000}"/>
    <cellStyle name="Обычный 13" xfId="17" xr:uid="{00000000-0005-0000-0000-000006000000}"/>
    <cellStyle name="Обычный 14" xfId="1" xr:uid="{00000000-0005-0000-0000-000007000000}"/>
    <cellStyle name="Обычный 15" xfId="24" xr:uid="{00000000-0005-0000-0000-000008000000}"/>
    <cellStyle name="Обычный 17" xfId="6" xr:uid="{00000000-0005-0000-0000-000009000000}"/>
    <cellStyle name="Обычный 18" xfId="4" xr:uid="{00000000-0005-0000-0000-00000A000000}"/>
    <cellStyle name="Обычный 19" xfId="5" xr:uid="{00000000-0005-0000-0000-00000B000000}"/>
    <cellStyle name="Обычный 2" xfId="9" xr:uid="{00000000-0005-0000-0000-00000C000000}"/>
    <cellStyle name="Обычный 2 10" xfId="12" xr:uid="{00000000-0005-0000-0000-00000D000000}"/>
    <cellStyle name="Обычный 2 2 2" xfId="16" xr:uid="{00000000-0005-0000-0000-00000E000000}"/>
    <cellStyle name="Обычный 2 3" xfId="26" xr:uid="{00000000-0005-0000-0000-00000F000000}"/>
    <cellStyle name="Обычный 2 6" xfId="33" xr:uid="{00000000-0005-0000-0000-000010000000}"/>
    <cellStyle name="Обычный 2 8" xfId="29" xr:uid="{00000000-0005-0000-0000-000011000000}"/>
    <cellStyle name="Обычный 2 9" xfId="32" xr:uid="{00000000-0005-0000-0000-000012000000}"/>
    <cellStyle name="Обычный 21" xfId="7" xr:uid="{00000000-0005-0000-0000-000013000000}"/>
    <cellStyle name="Обычный 3" xfId="2" xr:uid="{00000000-0005-0000-0000-000014000000}"/>
    <cellStyle name="Обычный 3 16" xfId="8" xr:uid="{00000000-0005-0000-0000-000015000000}"/>
    <cellStyle name="Обычный 3 2" xfId="27" xr:uid="{00000000-0005-0000-0000-000016000000}"/>
    <cellStyle name="Обычный 3 3" xfId="15" xr:uid="{00000000-0005-0000-0000-000017000000}"/>
    <cellStyle name="Обычный 4" xfId="3" xr:uid="{00000000-0005-0000-0000-000018000000}"/>
    <cellStyle name="Обычный 4 2" xfId="13" xr:uid="{00000000-0005-0000-0000-000019000000}"/>
    <cellStyle name="Обычный 4 2 2 2" xfId="23" xr:uid="{00000000-0005-0000-0000-00001A000000}"/>
    <cellStyle name="Обычный 5" xfId="20" xr:uid="{00000000-0005-0000-0000-00001B000000}"/>
    <cellStyle name="Обычный 6" xfId="18" xr:uid="{00000000-0005-0000-0000-00001C000000}"/>
    <cellStyle name="Обычный 7" xfId="34" xr:uid="{C274B3C8-EE9F-4F2A-95EB-73EA61890CF9}"/>
    <cellStyle name="Обычный 8" xfId="30" xr:uid="{00000000-0005-0000-0000-00001D000000}"/>
    <cellStyle name="Обычный 9" xfId="21" xr:uid="{00000000-0005-0000-0000-00001E000000}"/>
    <cellStyle name="Обычный_Лист1" xfId="28" xr:uid="{00000000-0005-0000-0000-00001F000000}"/>
    <cellStyle name="Финансовый" xfId="31" builtinId="3"/>
    <cellStyle name="Финансовый 2" xfId="25" xr:uid="{00000000-0005-0000-0000-000021000000}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0099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P1342"/>
  <sheetViews>
    <sheetView tabSelected="1" view="pageBreakPreview" topLeftCell="B6" zoomScale="20" zoomScaleNormal="20" zoomScaleSheetLayoutView="20" workbookViewId="0">
      <pane xSplit="2" ySplit="13" topLeftCell="D19" activePane="bottomRight" state="frozen"/>
      <selection activeCell="B6" sqref="B6"/>
      <selection pane="topRight" activeCell="D6" sqref="D6"/>
      <selection pane="bottomLeft" activeCell="B19" sqref="B19"/>
      <selection pane="bottomRight" activeCell="K31" sqref="K31"/>
    </sheetView>
  </sheetViews>
  <sheetFormatPr defaultColWidth="9.140625" defaultRowHeight="15" x14ac:dyDescent="0.25"/>
  <cols>
    <col min="1" max="1" width="7.28515625" style="20" hidden="1" customWidth="1"/>
    <col min="2" max="2" width="17" style="21" bestFit="1" customWidth="1"/>
    <col min="3" max="3" width="255.7109375" style="22" bestFit="1" customWidth="1"/>
    <col min="4" max="4" width="75.85546875" style="20" customWidth="1"/>
    <col min="5" max="5" width="56.5703125" style="20" customWidth="1"/>
    <col min="6" max="6" width="53" style="20" customWidth="1"/>
    <col min="7" max="8" width="58.7109375" style="20" customWidth="1"/>
    <col min="9" max="9" width="58" style="20" customWidth="1"/>
    <col min="10" max="10" width="49.42578125" style="20" customWidth="1"/>
    <col min="11" max="11" width="32.28515625" style="76" customWidth="1"/>
    <col min="12" max="12" width="64.42578125" style="20" customWidth="1"/>
    <col min="13" max="13" width="50.140625" style="20" customWidth="1"/>
    <col min="14" max="14" width="70.28515625" style="20" customWidth="1"/>
    <col min="15" max="15" width="43" style="20" customWidth="1"/>
    <col min="16" max="16" width="61.85546875" style="20" customWidth="1"/>
    <col min="17" max="17" width="48.7109375" style="20" customWidth="1"/>
    <col min="18" max="18" width="63" style="20" customWidth="1"/>
    <col min="19" max="19" width="34.42578125" style="20" customWidth="1"/>
    <col min="20" max="20" width="58.28515625" style="20" customWidth="1"/>
    <col min="21" max="21" width="55.140625" style="20" customWidth="1"/>
    <col min="22" max="22" width="54.42578125" style="20" customWidth="1"/>
    <col min="23" max="23" width="75.85546875" style="20" customWidth="1"/>
    <col min="24" max="24" width="46.5703125" style="20" customWidth="1"/>
    <col min="25" max="25" width="33.7109375" style="20" customWidth="1"/>
    <col min="26" max="26" width="54.42578125" style="20" customWidth="1"/>
    <col min="27" max="27" width="85.85546875" style="20" customWidth="1"/>
    <col min="28" max="28" width="58.7109375" style="20" customWidth="1"/>
    <col min="29" max="29" width="55.140625" style="20" customWidth="1"/>
    <col min="30" max="30" width="53.7109375" style="20" customWidth="1"/>
    <col min="31" max="31" width="53" style="20" customWidth="1"/>
    <col min="32" max="34" width="38.85546875" style="21" customWidth="1"/>
    <col min="35" max="48" width="9.140625" style="20" hidden="1" customWidth="1"/>
    <col min="49" max="49" width="68.42578125" style="20" hidden="1" customWidth="1"/>
    <col min="50" max="75" width="9.140625" style="20" hidden="1" customWidth="1"/>
    <col min="76" max="77" width="9.140625" style="20"/>
    <col min="78" max="78" width="66.28515625" style="20" hidden="1" customWidth="1"/>
    <col min="79" max="79" width="0" style="20" hidden="1" customWidth="1"/>
    <col min="80" max="80" width="66.5703125" style="20" hidden="1" customWidth="1"/>
    <col min="81" max="81" width="74.140625" style="20" hidden="1" customWidth="1"/>
    <col min="82" max="82" width="55.5703125" style="20" hidden="1" customWidth="1"/>
    <col min="83" max="83" width="45.140625" style="20" hidden="1" customWidth="1"/>
    <col min="84" max="84" width="22.28515625" style="20" hidden="1" customWidth="1"/>
    <col min="85" max="86" width="0" style="20" hidden="1" customWidth="1"/>
    <col min="87" max="16384" width="9.140625" style="20"/>
  </cols>
  <sheetData>
    <row r="1" spans="2:34" ht="91.5" x14ac:dyDescent="1.25">
      <c r="B1" s="17"/>
      <c r="C1" s="18"/>
      <c r="D1" s="19"/>
      <c r="E1" s="19"/>
      <c r="F1" s="19"/>
      <c r="G1" s="19"/>
      <c r="H1" s="19"/>
      <c r="I1" s="19"/>
      <c r="J1" s="19"/>
      <c r="K1" s="73"/>
      <c r="L1" s="19"/>
      <c r="M1" s="19"/>
      <c r="N1" s="19"/>
      <c r="O1" s="19"/>
      <c r="P1" s="19"/>
      <c r="Q1" s="19"/>
      <c r="R1" s="19"/>
      <c r="S1" s="19"/>
      <c r="T1" s="19"/>
      <c r="U1" s="19"/>
      <c r="V1" s="180"/>
      <c r="W1" s="308" t="s">
        <v>976</v>
      </c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</row>
    <row r="2" spans="2:34" ht="143.25" customHeight="1" x14ac:dyDescent="0.45">
      <c r="B2" s="17"/>
      <c r="C2" s="18"/>
      <c r="D2" s="19"/>
      <c r="E2" s="19"/>
      <c r="F2" s="19"/>
      <c r="G2" s="19"/>
      <c r="H2" s="19"/>
      <c r="I2" s="19"/>
      <c r="J2" s="19"/>
      <c r="K2" s="73"/>
      <c r="L2" s="19"/>
      <c r="M2" s="19"/>
      <c r="N2" s="19"/>
      <c r="O2" s="19"/>
      <c r="P2" s="19"/>
      <c r="Q2" s="19"/>
      <c r="R2" s="19"/>
      <c r="S2" s="19"/>
      <c r="T2" s="19"/>
      <c r="U2" s="19"/>
      <c r="V2" s="309" t="s">
        <v>2279</v>
      </c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</row>
    <row r="3" spans="2:34" ht="154.5" customHeight="1" x14ac:dyDescent="1.25">
      <c r="B3" s="27"/>
      <c r="C3" s="28"/>
      <c r="D3" s="180"/>
      <c r="E3" s="180"/>
      <c r="F3" s="180"/>
      <c r="G3" s="180"/>
      <c r="H3" s="180"/>
      <c r="I3" s="180"/>
      <c r="J3" s="180"/>
      <c r="K3" s="74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309" t="s">
        <v>977</v>
      </c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</row>
    <row r="4" spans="2:34" ht="90" x14ac:dyDescent="1.1499999999999999">
      <c r="B4" s="310" t="s">
        <v>978</v>
      </c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</row>
    <row r="5" spans="2:34" ht="90" x14ac:dyDescent="0.25">
      <c r="B5" s="311" t="s">
        <v>979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</row>
    <row r="6" spans="2:34" ht="90" x14ac:dyDescent="0.25">
      <c r="B6" s="311" t="s">
        <v>983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  <c r="AF6" s="311"/>
      <c r="AG6" s="311"/>
      <c r="AH6" s="311"/>
    </row>
    <row r="7" spans="2:34" x14ac:dyDescent="0.25">
      <c r="B7" s="307" t="s">
        <v>980</v>
      </c>
      <c r="C7" s="312" t="s">
        <v>1006</v>
      </c>
      <c r="D7" s="312"/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/>
    </row>
    <row r="8" spans="2:34" ht="117.75" customHeight="1" x14ac:dyDescent="0.25">
      <c r="B8" s="307"/>
      <c r="C8" s="312"/>
      <c r="D8" s="312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</row>
    <row r="9" spans="2:34" ht="117.75" customHeight="1" x14ac:dyDescent="0.25">
      <c r="B9" s="179" t="s">
        <v>981</v>
      </c>
      <c r="C9" s="312" t="s">
        <v>982</v>
      </c>
      <c r="D9" s="31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2"/>
      <c r="AH9" s="312"/>
    </row>
    <row r="10" spans="2:34" hidden="1" x14ac:dyDescent="0.25"/>
    <row r="11" spans="2:34" ht="90.75" hidden="1" customHeight="1" x14ac:dyDescent="0.25">
      <c r="B11" s="316" t="s">
        <v>6</v>
      </c>
      <c r="C11" s="316" t="s">
        <v>7</v>
      </c>
      <c r="D11" s="315" t="s">
        <v>8</v>
      </c>
      <c r="E11" s="316" t="s">
        <v>984</v>
      </c>
      <c r="F11" s="316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  <c r="T11" s="316"/>
      <c r="U11" s="314" t="s">
        <v>9</v>
      </c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13" t="s">
        <v>10</v>
      </c>
      <c r="AG11" s="313" t="s">
        <v>11</v>
      </c>
      <c r="AH11" s="313" t="s">
        <v>12</v>
      </c>
    </row>
    <row r="12" spans="2:34" ht="90.75" customHeight="1" x14ac:dyDescent="0.25">
      <c r="B12" s="316"/>
      <c r="C12" s="316"/>
      <c r="D12" s="315"/>
      <c r="E12" s="316" t="s">
        <v>13</v>
      </c>
      <c r="F12" s="316"/>
      <c r="G12" s="316"/>
      <c r="H12" s="316"/>
      <c r="I12" s="316"/>
      <c r="J12" s="316"/>
      <c r="K12" s="316" t="s">
        <v>14</v>
      </c>
      <c r="L12" s="316"/>
      <c r="M12" s="316" t="s">
        <v>15</v>
      </c>
      <c r="N12" s="316"/>
      <c r="O12" s="316" t="s">
        <v>16</v>
      </c>
      <c r="P12" s="316"/>
      <c r="Q12" s="316" t="s">
        <v>17</v>
      </c>
      <c r="R12" s="316"/>
      <c r="S12" s="316" t="s">
        <v>18</v>
      </c>
      <c r="T12" s="316"/>
      <c r="U12" s="306" t="s">
        <v>19</v>
      </c>
      <c r="V12" s="306" t="s">
        <v>20</v>
      </c>
      <c r="W12" s="306" t="s">
        <v>21</v>
      </c>
      <c r="X12" s="306" t="s">
        <v>22</v>
      </c>
      <c r="Y12" s="306" t="s">
        <v>23</v>
      </c>
      <c r="Z12" s="306" t="s">
        <v>24</v>
      </c>
      <c r="AA12" s="306" t="s">
        <v>25</v>
      </c>
      <c r="AB12" s="306" t="s">
        <v>26</v>
      </c>
      <c r="AC12" s="306" t="s">
        <v>27</v>
      </c>
      <c r="AD12" s="318" t="s">
        <v>28</v>
      </c>
      <c r="AE12" s="306" t="s">
        <v>29</v>
      </c>
      <c r="AF12" s="313"/>
      <c r="AG12" s="313"/>
      <c r="AH12" s="313"/>
    </row>
    <row r="13" spans="2:34" ht="18.75" customHeight="1" x14ac:dyDescent="0.25">
      <c r="B13" s="316"/>
      <c r="C13" s="316"/>
      <c r="D13" s="315"/>
      <c r="E13" s="313" t="s">
        <v>30</v>
      </c>
      <c r="F13" s="313" t="s">
        <v>31</v>
      </c>
      <c r="G13" s="313" t="s">
        <v>32</v>
      </c>
      <c r="H13" s="313" t="s">
        <v>33</v>
      </c>
      <c r="I13" s="313" t="s">
        <v>34</v>
      </c>
      <c r="J13" s="313" t="s">
        <v>35</v>
      </c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06"/>
      <c r="V13" s="306"/>
      <c r="W13" s="306"/>
      <c r="X13" s="306"/>
      <c r="Y13" s="306"/>
      <c r="Z13" s="306"/>
      <c r="AA13" s="306"/>
      <c r="AB13" s="306"/>
      <c r="AC13" s="306"/>
      <c r="AD13" s="318"/>
      <c r="AE13" s="306"/>
      <c r="AF13" s="313"/>
      <c r="AG13" s="313"/>
      <c r="AH13" s="313"/>
    </row>
    <row r="14" spans="2:34" ht="18.75" customHeight="1" x14ac:dyDescent="0.25">
      <c r="B14" s="316"/>
      <c r="C14" s="316"/>
      <c r="D14" s="315"/>
      <c r="E14" s="313"/>
      <c r="F14" s="313"/>
      <c r="G14" s="313"/>
      <c r="H14" s="313"/>
      <c r="I14" s="313"/>
      <c r="J14" s="313"/>
      <c r="K14" s="316"/>
      <c r="L14" s="316"/>
      <c r="M14" s="316"/>
      <c r="N14" s="316"/>
      <c r="O14" s="316"/>
      <c r="P14" s="316"/>
      <c r="Q14" s="316"/>
      <c r="R14" s="316"/>
      <c r="S14" s="316"/>
      <c r="T14" s="316"/>
      <c r="U14" s="306"/>
      <c r="V14" s="306"/>
      <c r="W14" s="306"/>
      <c r="X14" s="306"/>
      <c r="Y14" s="306"/>
      <c r="Z14" s="306"/>
      <c r="AA14" s="306"/>
      <c r="AB14" s="306"/>
      <c r="AC14" s="306"/>
      <c r="AD14" s="318"/>
      <c r="AE14" s="306"/>
      <c r="AF14" s="313"/>
      <c r="AG14" s="313"/>
      <c r="AH14" s="313"/>
    </row>
    <row r="15" spans="2:34" ht="18.75" customHeight="1" x14ac:dyDescent="0.25">
      <c r="B15" s="316"/>
      <c r="C15" s="316"/>
      <c r="D15" s="315"/>
      <c r="E15" s="313"/>
      <c r="F15" s="313"/>
      <c r="G15" s="313"/>
      <c r="H15" s="313"/>
      <c r="I15" s="313"/>
      <c r="J15" s="313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06"/>
      <c r="V15" s="306"/>
      <c r="W15" s="306"/>
      <c r="X15" s="306"/>
      <c r="Y15" s="306"/>
      <c r="Z15" s="306"/>
      <c r="AA15" s="306"/>
      <c r="AB15" s="306"/>
      <c r="AC15" s="306"/>
      <c r="AD15" s="318"/>
      <c r="AE15" s="306"/>
      <c r="AF15" s="313"/>
      <c r="AG15" s="313"/>
      <c r="AH15" s="313"/>
    </row>
    <row r="16" spans="2:34" ht="409.5" customHeight="1" x14ac:dyDescent="0.25">
      <c r="B16" s="316"/>
      <c r="C16" s="316"/>
      <c r="D16" s="315"/>
      <c r="E16" s="313"/>
      <c r="F16" s="313"/>
      <c r="G16" s="313"/>
      <c r="H16" s="313"/>
      <c r="I16" s="313"/>
      <c r="J16" s="313"/>
      <c r="K16" s="316"/>
      <c r="L16" s="316"/>
      <c r="M16" s="316"/>
      <c r="N16" s="316"/>
      <c r="O16" s="316"/>
      <c r="P16" s="316"/>
      <c r="Q16" s="316"/>
      <c r="R16" s="316"/>
      <c r="S16" s="316"/>
      <c r="T16" s="316"/>
      <c r="U16" s="306"/>
      <c r="V16" s="306"/>
      <c r="W16" s="306"/>
      <c r="X16" s="306"/>
      <c r="Y16" s="306"/>
      <c r="Z16" s="306"/>
      <c r="AA16" s="306"/>
      <c r="AB16" s="306"/>
      <c r="AC16" s="306"/>
      <c r="AD16" s="318"/>
      <c r="AE16" s="306"/>
      <c r="AF16" s="313"/>
      <c r="AG16" s="313"/>
      <c r="AH16" s="313"/>
    </row>
    <row r="17" spans="1:84" ht="80.25" customHeight="1" x14ac:dyDescent="0.25">
      <c r="B17" s="317"/>
      <c r="C17" s="317"/>
      <c r="D17" s="182" t="s">
        <v>36</v>
      </c>
      <c r="E17" s="182" t="s">
        <v>36</v>
      </c>
      <c r="F17" s="182" t="s">
        <v>36</v>
      </c>
      <c r="G17" s="182" t="s">
        <v>36</v>
      </c>
      <c r="H17" s="182" t="s">
        <v>36</v>
      </c>
      <c r="I17" s="182" t="s">
        <v>36</v>
      </c>
      <c r="J17" s="182" t="s">
        <v>36</v>
      </c>
      <c r="K17" s="75" t="s">
        <v>37</v>
      </c>
      <c r="L17" s="183" t="s">
        <v>36</v>
      </c>
      <c r="M17" s="183" t="s">
        <v>38</v>
      </c>
      <c r="N17" s="183" t="s">
        <v>36</v>
      </c>
      <c r="O17" s="183" t="s">
        <v>38</v>
      </c>
      <c r="P17" s="183" t="s">
        <v>36</v>
      </c>
      <c r="Q17" s="183" t="s">
        <v>38</v>
      </c>
      <c r="R17" s="183" t="s">
        <v>36</v>
      </c>
      <c r="S17" s="183" t="s">
        <v>39</v>
      </c>
      <c r="T17" s="183" t="s">
        <v>36</v>
      </c>
      <c r="U17" s="183" t="s">
        <v>36</v>
      </c>
      <c r="V17" s="181" t="s">
        <v>36</v>
      </c>
      <c r="W17" s="183" t="s">
        <v>36</v>
      </c>
      <c r="X17" s="183" t="s">
        <v>36</v>
      </c>
      <c r="Y17" s="182" t="s">
        <v>36</v>
      </c>
      <c r="Z17" s="183" t="s">
        <v>36</v>
      </c>
      <c r="AA17" s="183" t="s">
        <v>36</v>
      </c>
      <c r="AB17" s="183" t="s">
        <v>36</v>
      </c>
      <c r="AC17" s="183" t="s">
        <v>36</v>
      </c>
      <c r="AD17" s="182" t="s">
        <v>36</v>
      </c>
      <c r="AE17" s="183" t="s">
        <v>36</v>
      </c>
      <c r="AF17" s="313"/>
      <c r="AG17" s="313"/>
      <c r="AH17" s="313"/>
    </row>
    <row r="18" spans="1:84" ht="59.25" customHeight="1" x14ac:dyDescent="0.25">
      <c r="B18" s="183">
        <v>1</v>
      </c>
      <c r="C18" s="183">
        <v>2</v>
      </c>
      <c r="D18" s="183">
        <v>3</v>
      </c>
      <c r="E18" s="183">
        <v>4</v>
      </c>
      <c r="F18" s="183">
        <v>5</v>
      </c>
      <c r="G18" s="183">
        <v>6</v>
      </c>
      <c r="H18" s="183">
        <v>7</v>
      </c>
      <c r="I18" s="183">
        <v>8</v>
      </c>
      <c r="J18" s="183">
        <v>9</v>
      </c>
      <c r="K18" s="75">
        <v>10</v>
      </c>
      <c r="L18" s="183">
        <v>11</v>
      </c>
      <c r="M18" s="183">
        <v>12</v>
      </c>
      <c r="N18" s="183">
        <v>13</v>
      </c>
      <c r="O18" s="183">
        <v>14</v>
      </c>
      <c r="P18" s="183">
        <v>15</v>
      </c>
      <c r="Q18" s="183">
        <v>16</v>
      </c>
      <c r="R18" s="183">
        <v>17</v>
      </c>
      <c r="S18" s="183">
        <v>18</v>
      </c>
      <c r="T18" s="183">
        <v>19</v>
      </c>
      <c r="U18" s="183">
        <v>20</v>
      </c>
      <c r="V18" s="183">
        <v>21</v>
      </c>
      <c r="W18" s="183">
        <v>22</v>
      </c>
      <c r="X18" s="183">
        <v>23</v>
      </c>
      <c r="Y18" s="183">
        <v>24</v>
      </c>
      <c r="Z18" s="183">
        <v>25</v>
      </c>
      <c r="AA18" s="183">
        <v>26</v>
      </c>
      <c r="AB18" s="183">
        <v>27</v>
      </c>
      <c r="AC18" s="183">
        <v>28</v>
      </c>
      <c r="AD18" s="183">
        <v>29</v>
      </c>
      <c r="AE18" s="183">
        <v>30</v>
      </c>
      <c r="AF18" s="183">
        <v>31</v>
      </c>
      <c r="AG18" s="183">
        <v>32</v>
      </c>
      <c r="AH18" s="183">
        <v>33</v>
      </c>
    </row>
    <row r="19" spans="1:84" ht="99" customHeight="1" x14ac:dyDescent="0.85">
      <c r="B19" s="24" t="s">
        <v>752</v>
      </c>
      <c r="C19" s="191"/>
      <c r="D19" s="192">
        <f t="shared" ref="D19:AE19" si="0">D20+D556+D1034</f>
        <v>3429517613.6499996</v>
      </c>
      <c r="E19" s="30">
        <f t="shared" si="0"/>
        <v>9585776.8399999999</v>
      </c>
      <c r="F19" s="30">
        <f t="shared" si="0"/>
        <v>13378424.24</v>
      </c>
      <c r="G19" s="30">
        <f t="shared" si="0"/>
        <v>98602155.969999999</v>
      </c>
      <c r="H19" s="30">
        <f t="shared" si="0"/>
        <v>19187831.670000002</v>
      </c>
      <c r="I19" s="30">
        <f t="shared" si="0"/>
        <v>40949274.979999989</v>
      </c>
      <c r="J19" s="30">
        <f t="shared" si="0"/>
        <v>0</v>
      </c>
      <c r="K19" s="457">
        <f t="shared" si="0"/>
        <v>240</v>
      </c>
      <c r="L19" s="30">
        <f t="shared" si="0"/>
        <v>444163280.26999998</v>
      </c>
      <c r="M19" s="30">
        <f t="shared" si="0"/>
        <v>516588.08999999997</v>
      </c>
      <c r="N19" s="30">
        <f t="shared" si="0"/>
        <v>2239245491.7200003</v>
      </c>
      <c r="O19" s="30">
        <f t="shared" si="0"/>
        <v>2991.05</v>
      </c>
      <c r="P19" s="30">
        <f t="shared" si="0"/>
        <v>8139589.4600000018</v>
      </c>
      <c r="Q19" s="30">
        <f t="shared" si="0"/>
        <v>127925.54199999999</v>
      </c>
      <c r="R19" s="30">
        <f t="shared" si="0"/>
        <v>353526820.96000004</v>
      </c>
      <c r="S19" s="30">
        <f t="shared" si="0"/>
        <v>1121.94</v>
      </c>
      <c r="T19" s="30">
        <f t="shared" si="0"/>
        <v>23640794.300000004</v>
      </c>
      <c r="U19" s="30">
        <f t="shared" si="0"/>
        <v>58476354.620000005</v>
      </c>
      <c r="V19" s="30">
        <f t="shared" si="0"/>
        <v>550198.58000000007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400000</v>
      </c>
      <c r="AB19" s="30">
        <f t="shared" si="0"/>
        <v>0</v>
      </c>
      <c r="AC19" s="30">
        <f t="shared" si="0"/>
        <v>38115526.560000002</v>
      </c>
      <c r="AD19" s="30">
        <f t="shared" si="0"/>
        <v>78316093.479999989</v>
      </c>
      <c r="AE19" s="30">
        <f t="shared" si="0"/>
        <v>3240000</v>
      </c>
      <c r="AF19" s="65" t="s">
        <v>751</v>
      </c>
      <c r="AG19" s="65" t="s">
        <v>751</v>
      </c>
      <c r="AH19" s="79" t="s">
        <v>751</v>
      </c>
      <c r="BZ19" s="64">
        <v>3277602434.1900005</v>
      </c>
    </row>
    <row r="20" spans="1:84" ht="87.75" customHeight="1" x14ac:dyDescent="0.85">
      <c r="B20" s="24" t="s">
        <v>753</v>
      </c>
      <c r="C20" s="191"/>
      <c r="D20" s="458">
        <f t="shared" ref="D20:AE20" si="1">D21+D126+D156+D202+D239+D245+D272+D285+D278+D292+D295+D301+D307+D309+D325+D342+D347+D353+D350+D357+D360+D362+D383+D380+D385+D387+D392+D395+D397+D402+D412+D404+D414+D418+D422+D424+D428+D435+D441+D444+D457+D459+D463+D465+D467+D473+D485+D494+D503+D509+D511+D514+D517+D519+D522+D528+D530+D533+D535+D545+D550+D553+D290+D461+D496+D455+D498</f>
        <v>1065435142.2300001</v>
      </c>
      <c r="E20" s="102">
        <f t="shared" si="1"/>
        <v>3545203.22</v>
      </c>
      <c r="F20" s="102">
        <f t="shared" si="1"/>
        <v>4246777.28</v>
      </c>
      <c r="G20" s="102">
        <f t="shared" si="1"/>
        <v>45240074.510000005</v>
      </c>
      <c r="H20" s="102">
        <f t="shared" si="1"/>
        <v>3904082.5500000003</v>
      </c>
      <c r="I20" s="102">
        <f t="shared" si="1"/>
        <v>10974725.089999998</v>
      </c>
      <c r="J20" s="102">
        <f t="shared" si="1"/>
        <v>0</v>
      </c>
      <c r="K20" s="191">
        <f t="shared" si="1"/>
        <v>146</v>
      </c>
      <c r="L20" s="102">
        <f t="shared" si="1"/>
        <v>237746461.33000001</v>
      </c>
      <c r="M20" s="102">
        <f t="shared" si="1"/>
        <v>165388.32999999999</v>
      </c>
      <c r="N20" s="102">
        <f t="shared" si="1"/>
        <v>601506584.47000003</v>
      </c>
      <c r="O20" s="102">
        <f t="shared" si="1"/>
        <v>1787.05</v>
      </c>
      <c r="P20" s="102">
        <f t="shared" si="1"/>
        <v>5413571.2400000012</v>
      </c>
      <c r="Q20" s="102">
        <f t="shared" si="1"/>
        <v>47689.472000000016</v>
      </c>
      <c r="R20" s="102">
        <f t="shared" si="1"/>
        <v>120271362.95000002</v>
      </c>
      <c r="S20" s="102">
        <f t="shared" si="1"/>
        <v>19.07</v>
      </c>
      <c r="T20" s="102">
        <f t="shared" si="1"/>
        <v>210458.31</v>
      </c>
      <c r="U20" s="102">
        <f t="shared" si="1"/>
        <v>4132272.85</v>
      </c>
      <c r="V20" s="102">
        <f t="shared" si="1"/>
        <v>340198.58</v>
      </c>
      <c r="W20" s="102">
        <f t="shared" si="1"/>
        <v>0</v>
      </c>
      <c r="X20" s="102">
        <f t="shared" si="1"/>
        <v>0</v>
      </c>
      <c r="Y20" s="102">
        <f t="shared" si="1"/>
        <v>0</v>
      </c>
      <c r="Z20" s="102">
        <f t="shared" si="1"/>
        <v>0</v>
      </c>
      <c r="AA20" s="102">
        <f t="shared" si="1"/>
        <v>0</v>
      </c>
      <c r="AB20" s="102">
        <f t="shared" si="1"/>
        <v>0</v>
      </c>
      <c r="AC20" s="102">
        <f t="shared" si="1"/>
        <v>7608152.8099999996</v>
      </c>
      <c r="AD20" s="102">
        <f t="shared" si="1"/>
        <v>19455217.039999995</v>
      </c>
      <c r="AE20" s="102">
        <f t="shared" si="1"/>
        <v>840000</v>
      </c>
      <c r="AF20" s="65" t="s">
        <v>751</v>
      </c>
      <c r="AG20" s="65" t="s">
        <v>751</v>
      </c>
      <c r="AH20" s="79" t="s">
        <v>751</v>
      </c>
      <c r="BZ20" s="64">
        <v>1686794801.2800004</v>
      </c>
    </row>
    <row r="21" spans="1:84" ht="61.5" x14ac:dyDescent="0.85">
      <c r="B21" s="24" t="s">
        <v>1087</v>
      </c>
      <c r="C21" s="193"/>
      <c r="D21" s="458">
        <f t="shared" ref="D21:AE21" si="2">SUM(D22:D125)</f>
        <v>266320148.65000004</v>
      </c>
      <c r="E21" s="102">
        <f t="shared" si="2"/>
        <v>87007.41</v>
      </c>
      <c r="F21" s="102">
        <f t="shared" si="2"/>
        <v>0</v>
      </c>
      <c r="G21" s="102">
        <f t="shared" si="2"/>
        <v>0</v>
      </c>
      <c r="H21" s="102">
        <f t="shared" si="2"/>
        <v>126575.53</v>
      </c>
      <c r="I21" s="102">
        <f t="shared" si="2"/>
        <v>0</v>
      </c>
      <c r="J21" s="102">
        <f t="shared" si="2"/>
        <v>0</v>
      </c>
      <c r="K21" s="191">
        <f t="shared" si="2"/>
        <v>44</v>
      </c>
      <c r="L21" s="102">
        <f t="shared" si="2"/>
        <v>75730891.61999999</v>
      </c>
      <c r="M21" s="102">
        <f t="shared" si="2"/>
        <v>40983.39</v>
      </c>
      <c r="N21" s="102">
        <f t="shared" si="2"/>
        <v>132571093.74999997</v>
      </c>
      <c r="O21" s="102">
        <f t="shared" si="2"/>
        <v>0</v>
      </c>
      <c r="P21" s="102">
        <f t="shared" si="2"/>
        <v>0</v>
      </c>
      <c r="Q21" s="102">
        <f t="shared" si="2"/>
        <v>20622.91</v>
      </c>
      <c r="R21" s="102">
        <f t="shared" si="2"/>
        <v>48493152.620000005</v>
      </c>
      <c r="S21" s="102">
        <f t="shared" si="2"/>
        <v>0</v>
      </c>
      <c r="T21" s="102">
        <f t="shared" si="2"/>
        <v>0</v>
      </c>
      <c r="U21" s="102">
        <f t="shared" si="2"/>
        <v>4132272.85</v>
      </c>
      <c r="V21" s="102">
        <f t="shared" si="2"/>
        <v>0</v>
      </c>
      <c r="W21" s="102">
        <f t="shared" si="2"/>
        <v>0</v>
      </c>
      <c r="X21" s="102">
        <f t="shared" si="2"/>
        <v>0</v>
      </c>
      <c r="Y21" s="102">
        <f t="shared" si="2"/>
        <v>0</v>
      </c>
      <c r="Z21" s="102">
        <f t="shared" si="2"/>
        <v>0</v>
      </c>
      <c r="AA21" s="102">
        <f t="shared" si="2"/>
        <v>0</v>
      </c>
      <c r="AB21" s="102">
        <f t="shared" si="2"/>
        <v>0</v>
      </c>
      <c r="AC21" s="102">
        <f t="shared" si="2"/>
        <v>2374200.9700000002</v>
      </c>
      <c r="AD21" s="102">
        <f t="shared" si="2"/>
        <v>2804953.8999999994</v>
      </c>
      <c r="AE21" s="102">
        <f t="shared" si="2"/>
        <v>0</v>
      </c>
      <c r="AF21" s="65" t="s">
        <v>751</v>
      </c>
      <c r="AG21" s="65" t="s">
        <v>751</v>
      </c>
      <c r="AH21" s="79" t="s">
        <v>751</v>
      </c>
      <c r="BZ21" s="64">
        <v>383462452.64000016</v>
      </c>
    </row>
    <row r="22" spans="1:84" ht="61.5" x14ac:dyDescent="0.85">
      <c r="A22" s="20">
        <v>1</v>
      </c>
      <c r="B22" s="60">
        <f>SUBTOTAL(103,$A$22:A22)</f>
        <v>1</v>
      </c>
      <c r="C22" s="24" t="s">
        <v>479</v>
      </c>
      <c r="D22" s="31">
        <f>E22+F22+G22+H22+I22+J22+L22+N22+P22+R22+T22+U22+V22+W22+X22+Y22+Z22+AA22+AB22+AC22+AD22+AE22</f>
        <v>1821107.48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67">
        <v>0</v>
      </c>
      <c r="L22" s="31">
        <v>0</v>
      </c>
      <c r="M22" s="38">
        <v>390</v>
      </c>
      <c r="N22" s="38">
        <v>1736836.14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0">
        <f>ROUND((E22+F22+G22+H22+I22+J22+N22+P22+R22+T22+U22+V22+W22+X22+Y22+Z22+AA22+AB22)*1.38%,2)</f>
        <v>23968.34</v>
      </c>
      <c r="AD22" s="144">
        <v>60303</v>
      </c>
      <c r="AE22" s="31">
        <v>0</v>
      </c>
      <c r="AF22" s="33">
        <v>2020</v>
      </c>
      <c r="AG22" s="33">
        <v>2020</v>
      </c>
      <c r="AH22" s="33">
        <v>2020</v>
      </c>
      <c r="AT22" s="20" t="e">
        <f t="shared" ref="AT22:AT35" si="3">VLOOKUP(C22,AW:AX,2,FALSE)</f>
        <v>#N/A</v>
      </c>
      <c r="AW22" s="20" t="s">
        <v>494</v>
      </c>
      <c r="AX22" s="20">
        <v>1</v>
      </c>
      <c r="BZ22" s="64"/>
      <c r="CD22" s="20" t="e">
        <f t="shared" ref="CD22:CD39" si="4">VLOOKUP(C22,CE:CF,2,FALSE)</f>
        <v>#N/A</v>
      </c>
      <c r="CE22" s="88" t="s">
        <v>484</v>
      </c>
      <c r="CF22" s="88">
        <v>644</v>
      </c>
    </row>
    <row r="23" spans="1:84" ht="61.5" x14ac:dyDescent="0.85">
      <c r="A23" s="20">
        <v>1</v>
      </c>
      <c r="B23" s="60">
        <f>SUBTOTAL(103,$A$22:A23)</f>
        <v>2</v>
      </c>
      <c r="C23" s="24" t="s">
        <v>1063</v>
      </c>
      <c r="D23" s="31">
        <f t="shared" ref="D23:D86" si="5">E23+F23+G23+H23+I23+J23+L23+N23+P23+R23+T23+U23+V23+W23+X23+Y23+Z23+AA23+AB23+AC23+AD23+AE23</f>
        <v>69778.55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67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8">
        <v>69778.55</v>
      </c>
      <c r="AE23" s="31">
        <v>0</v>
      </c>
      <c r="AF23" s="33">
        <v>2020</v>
      </c>
      <c r="AG23" s="34" t="s">
        <v>268</v>
      </c>
      <c r="AH23" s="34" t="s">
        <v>268</v>
      </c>
      <c r="AT23" s="20" t="e">
        <f t="shared" si="3"/>
        <v>#N/A</v>
      </c>
      <c r="AW23" s="20" t="s">
        <v>391</v>
      </c>
      <c r="AX23" s="20">
        <v>1</v>
      </c>
      <c r="BZ23" s="64"/>
      <c r="CD23" s="20" t="e">
        <f t="shared" si="4"/>
        <v>#N/A</v>
      </c>
      <c r="CE23" s="88" t="s">
        <v>492</v>
      </c>
      <c r="CF23" s="88">
        <v>761.5</v>
      </c>
    </row>
    <row r="24" spans="1:84" ht="61.5" x14ac:dyDescent="0.85">
      <c r="A24" s="20">
        <v>1</v>
      </c>
      <c r="B24" s="60">
        <f>SUBTOTAL(103,$A$22:A24)</f>
        <v>3</v>
      </c>
      <c r="C24" s="24" t="s">
        <v>480</v>
      </c>
      <c r="D24" s="31">
        <f t="shared" si="5"/>
        <v>1775379.67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194">
        <v>1</v>
      </c>
      <c r="L24" s="38">
        <v>1775379.67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3" t="s">
        <v>268</v>
      </c>
      <c r="AG24" s="33">
        <v>2020</v>
      </c>
      <c r="AH24" s="34" t="s">
        <v>268</v>
      </c>
      <c r="AT24" s="20" t="e">
        <f t="shared" si="3"/>
        <v>#N/A</v>
      </c>
      <c r="AW24" s="20" t="s">
        <v>622</v>
      </c>
      <c r="AX24" s="20">
        <v>1</v>
      </c>
      <c r="BZ24" s="64"/>
      <c r="CD24" s="20" t="e">
        <f t="shared" si="4"/>
        <v>#N/A</v>
      </c>
      <c r="CE24" s="88" t="s">
        <v>510</v>
      </c>
      <c r="CF24" s="88">
        <v>342</v>
      </c>
    </row>
    <row r="25" spans="1:84" ht="61.5" x14ac:dyDescent="0.85">
      <c r="A25" s="20">
        <v>1</v>
      </c>
      <c r="B25" s="60">
        <f>SUBTOTAL(103,$A$22:A25)</f>
        <v>4</v>
      </c>
      <c r="C25" s="24" t="s">
        <v>482</v>
      </c>
      <c r="D25" s="31">
        <f t="shared" si="5"/>
        <v>2444609.7599999998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67">
        <v>0</v>
      </c>
      <c r="L25" s="31">
        <v>0</v>
      </c>
      <c r="M25" s="38">
        <v>596</v>
      </c>
      <c r="N25" s="38">
        <v>2411333.36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8">
        <v>33276.400000000001</v>
      </c>
      <c r="AD25" s="31">
        <v>0</v>
      </c>
      <c r="AE25" s="31">
        <v>0</v>
      </c>
      <c r="AF25" s="33" t="s">
        <v>268</v>
      </c>
      <c r="AG25" s="33">
        <v>2020</v>
      </c>
      <c r="AH25" s="34">
        <v>2020</v>
      </c>
      <c r="AT25" s="20" t="e">
        <f t="shared" si="3"/>
        <v>#N/A</v>
      </c>
      <c r="AW25" s="20" t="s">
        <v>402</v>
      </c>
      <c r="AX25" s="20">
        <v>1</v>
      </c>
      <c r="BZ25" s="64"/>
      <c r="CD25" s="20" t="e">
        <f t="shared" si="4"/>
        <v>#N/A</v>
      </c>
      <c r="CE25" s="88" t="s">
        <v>518</v>
      </c>
      <c r="CF25" s="88">
        <v>2070.63</v>
      </c>
    </row>
    <row r="26" spans="1:84" ht="61.5" x14ac:dyDescent="0.85">
      <c r="A26" s="20">
        <v>1</v>
      </c>
      <c r="B26" s="60">
        <f>SUBTOTAL(103,$A$22:A26)</f>
        <v>5</v>
      </c>
      <c r="C26" s="24" t="s">
        <v>483</v>
      </c>
      <c r="D26" s="31">
        <f t="shared" si="5"/>
        <v>1178315.53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67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472</v>
      </c>
      <c r="R26" s="31">
        <v>1162276.1200000001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8">
        <v>16039.41</v>
      </c>
      <c r="AD26" s="31">
        <v>0</v>
      </c>
      <c r="AE26" s="31">
        <v>0</v>
      </c>
      <c r="AF26" s="33" t="s">
        <v>268</v>
      </c>
      <c r="AG26" s="33">
        <v>2020</v>
      </c>
      <c r="AH26" s="34">
        <v>2020</v>
      </c>
      <c r="AT26" s="20" t="e">
        <f t="shared" si="3"/>
        <v>#N/A</v>
      </c>
      <c r="AW26" s="20" t="s">
        <v>616</v>
      </c>
      <c r="AX26" s="20">
        <v>1</v>
      </c>
      <c r="BZ26" s="64"/>
      <c r="CD26" s="20" t="e">
        <f t="shared" si="4"/>
        <v>#N/A</v>
      </c>
      <c r="CE26" s="88" t="s">
        <v>521</v>
      </c>
      <c r="CF26" s="88">
        <v>600</v>
      </c>
    </row>
    <row r="27" spans="1:84" ht="61.5" x14ac:dyDescent="0.85">
      <c r="A27" s="20">
        <v>1</v>
      </c>
      <c r="B27" s="60">
        <f>SUBTOTAL(103,$A$22:A27)</f>
        <v>6</v>
      </c>
      <c r="C27" s="24" t="s">
        <v>484</v>
      </c>
      <c r="D27" s="31">
        <f t="shared" si="5"/>
        <v>1996366.9600000002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67">
        <v>0</v>
      </c>
      <c r="L27" s="31">
        <v>0</v>
      </c>
      <c r="M27" s="38">
        <v>612</v>
      </c>
      <c r="N27" s="144">
        <v>1969192.11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144">
        <v>27174.85</v>
      </c>
      <c r="AD27" s="31">
        <v>0</v>
      </c>
      <c r="AE27" s="31">
        <v>0</v>
      </c>
      <c r="AF27" s="33" t="s">
        <v>268</v>
      </c>
      <c r="AG27" s="33">
        <v>2020</v>
      </c>
      <c r="AH27" s="34">
        <v>2020</v>
      </c>
      <c r="AT27" s="20" t="e">
        <f t="shared" si="3"/>
        <v>#N/A</v>
      </c>
      <c r="AW27" s="20" t="s">
        <v>615</v>
      </c>
      <c r="AX27" s="20">
        <v>1</v>
      </c>
      <c r="BZ27" s="64"/>
      <c r="CD27" s="20">
        <f t="shared" si="4"/>
        <v>644</v>
      </c>
      <c r="CE27" s="88" t="s">
        <v>1369</v>
      </c>
      <c r="CF27" s="88">
        <v>334.02</v>
      </c>
    </row>
    <row r="28" spans="1:84" ht="61.5" x14ac:dyDescent="0.85">
      <c r="A28" s="20">
        <v>1</v>
      </c>
      <c r="B28" s="60">
        <f>SUBTOTAL(103,$A$22:A28)</f>
        <v>7</v>
      </c>
      <c r="C28" s="24" t="s">
        <v>486</v>
      </c>
      <c r="D28" s="31">
        <f t="shared" si="5"/>
        <v>3053881.54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67">
        <v>0</v>
      </c>
      <c r="L28" s="31">
        <v>0</v>
      </c>
      <c r="M28" s="38">
        <v>713.67</v>
      </c>
      <c r="N28" s="38">
        <v>2950406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8">
        <v>40715.599999999999</v>
      </c>
      <c r="AD28" s="38">
        <v>62759.94</v>
      </c>
      <c r="AE28" s="31">
        <v>0</v>
      </c>
      <c r="AF28" s="33">
        <v>2020</v>
      </c>
      <c r="AG28" s="33">
        <v>2020</v>
      </c>
      <c r="AH28" s="34">
        <v>2020</v>
      </c>
      <c r="AT28" s="20" t="e">
        <f t="shared" si="3"/>
        <v>#N/A</v>
      </c>
      <c r="AW28" s="20" t="s">
        <v>235</v>
      </c>
      <c r="AX28" s="20">
        <v>1</v>
      </c>
      <c r="BZ28" s="64"/>
      <c r="CD28" s="20" t="e">
        <f t="shared" si="4"/>
        <v>#N/A</v>
      </c>
      <c r="CE28" s="88" t="s">
        <v>1120</v>
      </c>
      <c r="CF28" s="88">
        <v>1124.75</v>
      </c>
    </row>
    <row r="29" spans="1:84" ht="61.5" x14ac:dyDescent="0.85">
      <c r="A29" s="20">
        <v>1</v>
      </c>
      <c r="B29" s="60">
        <f>SUBTOTAL(103,$A$22:A29)</f>
        <v>8</v>
      </c>
      <c r="C29" s="24" t="s">
        <v>487</v>
      </c>
      <c r="D29" s="31">
        <f t="shared" si="5"/>
        <v>1639309.32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67">
        <v>0</v>
      </c>
      <c r="L29" s="31">
        <v>0</v>
      </c>
      <c r="M29" s="38">
        <v>635</v>
      </c>
      <c r="N29" s="38">
        <v>1559527.98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0">
        <f>ROUND((E29+F29+G29+H29+I29+J29+N29+P29+R29+T29+U29+V29+W29+X29+Y29+Z29+AA29+AB29)*1.38%,2)</f>
        <v>21521.49</v>
      </c>
      <c r="AD29" s="38">
        <v>58259.85</v>
      </c>
      <c r="AE29" s="31">
        <v>0</v>
      </c>
      <c r="AF29" s="33">
        <v>2020</v>
      </c>
      <c r="AG29" s="33">
        <v>2020</v>
      </c>
      <c r="AH29" s="33">
        <v>2020</v>
      </c>
      <c r="AT29" s="20" t="e">
        <f t="shared" si="3"/>
        <v>#N/A</v>
      </c>
      <c r="AW29" s="20" t="s">
        <v>129</v>
      </c>
      <c r="AX29" s="20">
        <v>1</v>
      </c>
      <c r="BZ29" s="64"/>
      <c r="CD29" s="20" t="e">
        <f t="shared" si="4"/>
        <v>#N/A</v>
      </c>
      <c r="CE29" s="88" t="s">
        <v>448</v>
      </c>
      <c r="CF29" s="88">
        <v>555.39</v>
      </c>
    </row>
    <row r="30" spans="1:84" ht="61.5" x14ac:dyDescent="0.85">
      <c r="A30" s="20">
        <v>1</v>
      </c>
      <c r="B30" s="60">
        <f>SUBTOTAL(103,$A$22:A30)</f>
        <v>9</v>
      </c>
      <c r="C30" s="24" t="s">
        <v>488</v>
      </c>
      <c r="D30" s="31">
        <f t="shared" si="5"/>
        <v>98784.97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67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8">
        <v>98784.97</v>
      </c>
      <c r="AE30" s="31">
        <v>0</v>
      </c>
      <c r="AF30" s="33">
        <v>2020</v>
      </c>
      <c r="AG30" s="33" t="s">
        <v>268</v>
      </c>
      <c r="AH30" s="33" t="s">
        <v>268</v>
      </c>
      <c r="AT30" s="20" t="e">
        <f t="shared" si="3"/>
        <v>#N/A</v>
      </c>
      <c r="AW30" s="20" t="s">
        <v>431</v>
      </c>
      <c r="AX30" s="20">
        <v>1</v>
      </c>
      <c r="BZ30" s="64"/>
      <c r="CD30" s="20" t="e">
        <f t="shared" si="4"/>
        <v>#N/A</v>
      </c>
      <c r="CE30" s="88" t="s">
        <v>451</v>
      </c>
      <c r="CF30" s="88">
        <v>865.12</v>
      </c>
    </row>
    <row r="31" spans="1:84" ht="61.5" x14ac:dyDescent="0.85">
      <c r="A31" s="20">
        <v>1</v>
      </c>
      <c r="B31" s="60">
        <f>SUBTOTAL(103,$A$22:A31)</f>
        <v>10</v>
      </c>
      <c r="C31" s="24" t="s">
        <v>489</v>
      </c>
      <c r="D31" s="31">
        <f t="shared" si="5"/>
        <v>3124667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67">
        <v>0</v>
      </c>
      <c r="L31" s="31">
        <v>0</v>
      </c>
      <c r="M31" s="38">
        <v>1045</v>
      </c>
      <c r="N31" s="38">
        <v>3124667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3" t="s">
        <v>268</v>
      </c>
      <c r="AG31" s="33">
        <v>2020</v>
      </c>
      <c r="AH31" s="33" t="s">
        <v>268</v>
      </c>
      <c r="AT31" s="20" t="e">
        <f t="shared" si="3"/>
        <v>#N/A</v>
      </c>
      <c r="AW31" s="20" t="s">
        <v>787</v>
      </c>
      <c r="AX31" s="20">
        <v>1</v>
      </c>
      <c r="BZ31" s="64"/>
      <c r="CD31" s="20">
        <f t="shared" si="4"/>
        <v>1089.8</v>
      </c>
      <c r="CE31" s="88" t="s">
        <v>453</v>
      </c>
      <c r="CF31" s="88">
        <v>860.91</v>
      </c>
    </row>
    <row r="32" spans="1:84" ht="61.5" x14ac:dyDescent="0.85">
      <c r="A32" s="20">
        <v>1</v>
      </c>
      <c r="B32" s="60">
        <f>SUBTOTAL(103,$A$22:A32)</f>
        <v>11</v>
      </c>
      <c r="C32" s="24" t="s">
        <v>490</v>
      </c>
      <c r="D32" s="31">
        <f>E32+F32+G32+H32+I32+J32+L32+N32+P32+R32+T32+U32+V32+W32+X32+Y32+Z32+AA32+AB32+AC32+AD32+AE32</f>
        <v>89397.8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67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8">
        <v>89397.8</v>
      </c>
      <c r="AE32" s="31">
        <v>0</v>
      </c>
      <c r="AF32" s="33">
        <v>2020</v>
      </c>
      <c r="AG32" s="33" t="s">
        <v>268</v>
      </c>
      <c r="AH32" s="33" t="s">
        <v>268</v>
      </c>
      <c r="AT32" s="20" t="e">
        <f t="shared" si="3"/>
        <v>#N/A</v>
      </c>
      <c r="AW32" s="20" t="s">
        <v>786</v>
      </c>
      <c r="AX32" s="20">
        <v>1</v>
      </c>
      <c r="BZ32" s="64"/>
      <c r="CD32" s="20" t="e">
        <f t="shared" si="4"/>
        <v>#N/A</v>
      </c>
      <c r="CE32" s="88" t="s">
        <v>770</v>
      </c>
      <c r="CF32" s="88">
        <v>1319.27</v>
      </c>
    </row>
    <row r="33" spans="1:84" ht="61.5" x14ac:dyDescent="0.85">
      <c r="A33" s="20">
        <v>1</v>
      </c>
      <c r="B33" s="60">
        <f>SUBTOTAL(103,$A$22:A33)</f>
        <v>12</v>
      </c>
      <c r="C33" s="24" t="s">
        <v>492</v>
      </c>
      <c r="D33" s="31">
        <f t="shared" si="5"/>
        <v>2353912.86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67">
        <v>0</v>
      </c>
      <c r="L33" s="31">
        <v>0</v>
      </c>
      <c r="M33" s="38">
        <v>740.47</v>
      </c>
      <c r="N33" s="38">
        <v>2321871.04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8">
        <v>32041.82</v>
      </c>
      <c r="AD33" s="31">
        <v>0</v>
      </c>
      <c r="AE33" s="31">
        <v>0</v>
      </c>
      <c r="AF33" s="33" t="s">
        <v>268</v>
      </c>
      <c r="AG33" s="33">
        <v>2020</v>
      </c>
      <c r="AH33" s="34">
        <v>2020</v>
      </c>
      <c r="AT33" s="20" t="e">
        <f t="shared" si="3"/>
        <v>#N/A</v>
      </c>
      <c r="AW33" s="20" t="s">
        <v>669</v>
      </c>
      <c r="AX33" s="20">
        <v>1</v>
      </c>
      <c r="BZ33" s="64"/>
      <c r="CD33" s="20">
        <f t="shared" si="4"/>
        <v>761.5</v>
      </c>
      <c r="CE33" s="88" t="s">
        <v>664</v>
      </c>
      <c r="CF33" s="88">
        <v>900</v>
      </c>
    </row>
    <row r="34" spans="1:84" ht="61.5" x14ac:dyDescent="0.85">
      <c r="A34" s="20">
        <v>1</v>
      </c>
      <c r="B34" s="60">
        <f>SUBTOTAL(103,$A$22:A34)</f>
        <v>13</v>
      </c>
      <c r="C34" s="24" t="s">
        <v>493</v>
      </c>
      <c r="D34" s="31">
        <f t="shared" si="5"/>
        <v>2593330.65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67">
        <v>0</v>
      </c>
      <c r="L34" s="31">
        <v>0</v>
      </c>
      <c r="M34" s="38">
        <v>940</v>
      </c>
      <c r="N34" s="38">
        <v>2593330.65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3" t="s">
        <v>268</v>
      </c>
      <c r="AG34" s="33">
        <v>2020</v>
      </c>
      <c r="AH34" s="34" t="s">
        <v>268</v>
      </c>
      <c r="AT34" s="20" t="e">
        <f t="shared" si="3"/>
        <v>#N/A</v>
      </c>
      <c r="AW34" s="20" t="s">
        <v>221</v>
      </c>
      <c r="AX34" s="20">
        <v>1</v>
      </c>
      <c r="BZ34" s="64"/>
      <c r="CD34" s="20">
        <f t="shared" si="4"/>
        <v>1041.5</v>
      </c>
      <c r="CE34" s="88" t="s">
        <v>665</v>
      </c>
      <c r="CF34" s="88">
        <v>900</v>
      </c>
    </row>
    <row r="35" spans="1:84" ht="61.5" x14ac:dyDescent="0.85">
      <c r="A35" s="20">
        <v>1</v>
      </c>
      <c r="B35" s="60">
        <f>SUBTOTAL(103,$A$22:A35)</f>
        <v>14</v>
      </c>
      <c r="C35" s="24" t="s">
        <v>494</v>
      </c>
      <c r="D35" s="31">
        <f t="shared" si="5"/>
        <v>14319460.059999999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194">
        <v>8</v>
      </c>
      <c r="L35" s="38">
        <f>1793893.97+1793893.97+4*1788829.52+1788177.02*2</f>
        <v>14319460.059999999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3" t="s">
        <v>268</v>
      </c>
      <c r="AG35" s="33">
        <v>2020</v>
      </c>
      <c r="AH35" s="34" t="s">
        <v>268</v>
      </c>
      <c r="AT35" s="20">
        <f t="shared" si="3"/>
        <v>1</v>
      </c>
      <c r="BZ35" s="64"/>
      <c r="CD35" s="20" t="e">
        <f t="shared" si="4"/>
        <v>#N/A</v>
      </c>
      <c r="CE35" s="88" t="s">
        <v>1554</v>
      </c>
      <c r="CF35" s="88">
        <v>870</v>
      </c>
    </row>
    <row r="36" spans="1:84" ht="61.5" x14ac:dyDescent="0.85">
      <c r="A36" s="20">
        <v>1</v>
      </c>
      <c r="B36" s="60">
        <f>SUBTOTAL(103,$A$22:A36)</f>
        <v>15</v>
      </c>
      <c r="C36" s="24" t="s">
        <v>495</v>
      </c>
      <c r="D36" s="31">
        <f t="shared" si="5"/>
        <v>721831.31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67">
        <v>0</v>
      </c>
      <c r="L36" s="31">
        <v>0</v>
      </c>
      <c r="M36" s="38">
        <v>250</v>
      </c>
      <c r="N36" s="144">
        <v>712005.63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9825.68</v>
      </c>
      <c r="AD36" s="31">
        <v>0</v>
      </c>
      <c r="AE36" s="31">
        <v>0</v>
      </c>
      <c r="AF36" s="33" t="s">
        <v>268</v>
      </c>
      <c r="AG36" s="33">
        <v>2020</v>
      </c>
      <c r="AH36" s="34">
        <v>2020</v>
      </c>
      <c r="BZ36" s="64"/>
      <c r="CD36" s="20" t="e">
        <f t="shared" si="4"/>
        <v>#N/A</v>
      </c>
      <c r="CE36" s="88" t="s">
        <v>121</v>
      </c>
      <c r="CF36" s="88">
        <v>313.10000000000002</v>
      </c>
    </row>
    <row r="37" spans="1:84" ht="61.5" x14ac:dyDescent="0.85">
      <c r="A37" s="20">
        <v>1</v>
      </c>
      <c r="B37" s="60">
        <f>SUBTOTAL(103,$A$22:A37)</f>
        <v>16</v>
      </c>
      <c r="C37" s="24" t="s">
        <v>500</v>
      </c>
      <c r="D37" s="31">
        <f t="shared" si="5"/>
        <v>3879957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67">
        <v>0</v>
      </c>
      <c r="L37" s="31">
        <v>0</v>
      </c>
      <c r="M37" s="38">
        <v>1020</v>
      </c>
      <c r="N37" s="38">
        <v>3879957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3" t="s">
        <v>268</v>
      </c>
      <c r="AG37" s="33">
        <v>2020</v>
      </c>
      <c r="AH37" s="34" t="s">
        <v>268</v>
      </c>
      <c r="AT37" s="20" t="e">
        <f>VLOOKUP(C37,AW:AX,2,FALSE)</f>
        <v>#N/A</v>
      </c>
      <c r="BZ37" s="64"/>
      <c r="CD37" s="20" t="e">
        <f t="shared" si="4"/>
        <v>#N/A</v>
      </c>
      <c r="CE37" s="88" t="s">
        <v>152</v>
      </c>
      <c r="CF37" s="88">
        <v>1035.9000000000001</v>
      </c>
    </row>
    <row r="38" spans="1:84" ht="61.5" x14ac:dyDescent="0.85">
      <c r="A38" s="20">
        <v>1</v>
      </c>
      <c r="B38" s="60">
        <f>SUBTOTAL(103,$A$22:A38)</f>
        <v>17</v>
      </c>
      <c r="C38" s="24" t="s">
        <v>1625</v>
      </c>
      <c r="D38" s="31">
        <f t="shared" si="5"/>
        <v>1297271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67">
        <v>0</v>
      </c>
      <c r="L38" s="31">
        <v>0</v>
      </c>
      <c r="M38" s="38">
        <v>549</v>
      </c>
      <c r="N38" s="38">
        <v>1279612.3500000001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0">
        <f>ROUND((E38+F38+G38+H38+I38+J38+N38+P38+R38+T38+U38+V38+W38+X38+Y38+Z38+AA38+AB38)*1.38%,2)</f>
        <v>17658.650000000001</v>
      </c>
      <c r="AD38" s="31">
        <v>0</v>
      </c>
      <c r="AE38" s="31">
        <v>0</v>
      </c>
      <c r="AF38" s="33" t="s">
        <v>268</v>
      </c>
      <c r="AG38" s="33">
        <v>2020</v>
      </c>
      <c r="AH38" s="34">
        <v>2020</v>
      </c>
      <c r="BZ38" s="64"/>
      <c r="CD38" s="20" t="e">
        <f t="shared" si="4"/>
        <v>#N/A</v>
      </c>
      <c r="CE38" s="88" t="s">
        <v>489</v>
      </c>
      <c r="CF38" s="88">
        <v>1089.8</v>
      </c>
    </row>
    <row r="39" spans="1:84" ht="61.5" x14ac:dyDescent="0.85">
      <c r="A39" s="20">
        <v>1</v>
      </c>
      <c r="B39" s="60">
        <f>SUBTOTAL(103,$A$22:A39)</f>
        <v>18</v>
      </c>
      <c r="C39" s="24" t="s">
        <v>501</v>
      </c>
      <c r="D39" s="31">
        <f t="shared" si="5"/>
        <v>2988276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67">
        <v>0</v>
      </c>
      <c r="L39" s="31">
        <v>0</v>
      </c>
      <c r="M39" s="38">
        <v>980</v>
      </c>
      <c r="N39" s="38">
        <v>2988276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3" t="s">
        <v>268</v>
      </c>
      <c r="AG39" s="33">
        <v>2020</v>
      </c>
      <c r="AH39" s="34" t="s">
        <v>268</v>
      </c>
      <c r="AT39" s="20" t="e">
        <f>VLOOKUP(C39,AW:AX,2,FALSE)</f>
        <v>#N/A</v>
      </c>
      <c r="BZ39" s="64"/>
      <c r="CD39" s="20" t="e">
        <f t="shared" si="4"/>
        <v>#N/A</v>
      </c>
      <c r="CE39" s="88" t="s">
        <v>493</v>
      </c>
      <c r="CF39" s="88">
        <v>1041.5</v>
      </c>
    </row>
    <row r="40" spans="1:84" ht="61.5" x14ac:dyDescent="0.85">
      <c r="A40" s="20">
        <v>1</v>
      </c>
      <c r="B40" s="60">
        <f>SUBTOTAL(103,$A$22:A40)</f>
        <v>19</v>
      </c>
      <c r="C40" s="24" t="s">
        <v>503</v>
      </c>
      <c r="D40" s="31">
        <f t="shared" si="5"/>
        <v>56688.3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67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8">
        <v>56688.3</v>
      </c>
      <c r="AE40" s="31">
        <v>0</v>
      </c>
      <c r="AF40" s="33">
        <v>2020</v>
      </c>
      <c r="AG40" s="33" t="s">
        <v>268</v>
      </c>
      <c r="AH40" s="34" t="s">
        <v>268</v>
      </c>
      <c r="AR40" s="20" t="e">
        <f>VLOOKUP(C40,AU:AV,2,FALSE)</f>
        <v>#N/A</v>
      </c>
      <c r="BX40" s="64"/>
      <c r="CB40" s="20" t="e">
        <f>VLOOKUP(C40,CC:CD,2,FALSE)</f>
        <v>#N/A</v>
      </c>
      <c r="CC40" s="88" t="s">
        <v>519</v>
      </c>
      <c r="CD40" s="88">
        <v>777.1</v>
      </c>
    </row>
    <row r="41" spans="1:84" ht="61.5" x14ac:dyDescent="0.85">
      <c r="A41" s="20">
        <v>1</v>
      </c>
      <c r="B41" s="60">
        <f>SUBTOTAL(103,$A$22:A41)</f>
        <v>20</v>
      </c>
      <c r="C41" s="24" t="s">
        <v>504</v>
      </c>
      <c r="D41" s="31">
        <f t="shared" si="5"/>
        <v>89064.28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67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144">
        <v>89064.28</v>
      </c>
      <c r="AE41" s="31">
        <v>0</v>
      </c>
      <c r="AF41" s="33">
        <v>2020</v>
      </c>
      <c r="AG41" s="33" t="s">
        <v>268</v>
      </c>
      <c r="AH41" s="34" t="s">
        <v>268</v>
      </c>
      <c r="AT41" s="20" t="e">
        <f t="shared" ref="AT41:AT47" si="6">VLOOKUP(C41,AW:AX,2,FALSE)</f>
        <v>#N/A</v>
      </c>
      <c r="BZ41" s="64"/>
      <c r="CD41" s="20" t="e">
        <f t="shared" ref="CD41:CD72" si="7">VLOOKUP(C41,CE:CF,2,FALSE)</f>
        <v>#N/A</v>
      </c>
      <c r="CE41" s="88" t="s">
        <v>520</v>
      </c>
      <c r="CF41" s="88">
        <v>1000</v>
      </c>
    </row>
    <row r="42" spans="1:84" ht="61.5" x14ac:dyDescent="0.85">
      <c r="A42" s="20">
        <v>1</v>
      </c>
      <c r="B42" s="60">
        <f>SUBTOTAL(103,$A$22:A42)</f>
        <v>21</v>
      </c>
      <c r="C42" s="24" t="s">
        <v>505</v>
      </c>
      <c r="D42" s="31">
        <f t="shared" si="5"/>
        <v>2641217.09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67">
        <v>0</v>
      </c>
      <c r="L42" s="31">
        <v>0</v>
      </c>
      <c r="M42" s="38">
        <v>654</v>
      </c>
      <c r="N42" s="31">
        <v>2522475.65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8">
        <v>34810.160000000003</v>
      </c>
      <c r="AD42" s="144">
        <v>83931.28</v>
      </c>
      <c r="AE42" s="31">
        <v>0</v>
      </c>
      <c r="AF42" s="33">
        <v>2020</v>
      </c>
      <c r="AG42" s="33">
        <v>2020</v>
      </c>
      <c r="AH42" s="34">
        <v>2020</v>
      </c>
      <c r="AT42" s="20" t="e">
        <f t="shared" si="6"/>
        <v>#N/A</v>
      </c>
      <c r="BZ42" s="64"/>
      <c r="CD42" s="20" t="e">
        <f t="shared" si="7"/>
        <v>#N/A</v>
      </c>
      <c r="CE42" s="88" t="s">
        <v>523</v>
      </c>
      <c r="CF42" s="88">
        <v>800</v>
      </c>
    </row>
    <row r="43" spans="1:84" ht="61.5" x14ac:dyDescent="0.85">
      <c r="A43" s="20">
        <v>1</v>
      </c>
      <c r="B43" s="60">
        <f>SUBTOTAL(103,$A$22:A43)</f>
        <v>22</v>
      </c>
      <c r="C43" s="24" t="s">
        <v>506</v>
      </c>
      <c r="D43" s="31">
        <f t="shared" si="5"/>
        <v>12192587.91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194">
        <v>7</v>
      </c>
      <c r="L43" s="38">
        <f>1793082.78+1793082.78+1688153.47+1670941.04+1670938.04+1788194.9+1788194.9</f>
        <v>12192587.91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3" t="s">
        <v>268</v>
      </c>
      <c r="AG43" s="33">
        <v>2020</v>
      </c>
      <c r="AH43" s="34" t="s">
        <v>268</v>
      </c>
      <c r="AT43" s="20" t="e">
        <f t="shared" si="6"/>
        <v>#N/A</v>
      </c>
      <c r="BZ43" s="64"/>
      <c r="CD43" s="20" t="e">
        <f t="shared" si="7"/>
        <v>#N/A</v>
      </c>
      <c r="CE43" s="88" t="s">
        <v>526</v>
      </c>
      <c r="CF43" s="88">
        <v>1180.0999999999999</v>
      </c>
    </row>
    <row r="44" spans="1:84" ht="61.5" x14ac:dyDescent="0.85">
      <c r="A44" s="20">
        <v>1</v>
      </c>
      <c r="B44" s="60">
        <f>SUBTOTAL(103,$A$22:A44)</f>
        <v>23</v>
      </c>
      <c r="C44" s="24" t="s">
        <v>507</v>
      </c>
      <c r="D44" s="31">
        <f t="shared" si="5"/>
        <v>3433160.05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194">
        <v>2</v>
      </c>
      <c r="L44" s="38">
        <f>1657599.77+1775560.28</f>
        <v>3433160.05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3" t="s">
        <v>268</v>
      </c>
      <c r="AG44" s="33">
        <v>2020</v>
      </c>
      <c r="AH44" s="34" t="s">
        <v>268</v>
      </c>
      <c r="AT44" s="20" t="e">
        <f t="shared" si="6"/>
        <v>#N/A</v>
      </c>
      <c r="BZ44" s="64"/>
      <c r="CD44" s="20" t="e">
        <f t="shared" si="7"/>
        <v>#N/A</v>
      </c>
      <c r="CE44" s="88" t="s">
        <v>1371</v>
      </c>
      <c r="CF44" s="88">
        <v>789</v>
      </c>
    </row>
    <row r="45" spans="1:84" ht="61.5" x14ac:dyDescent="0.85">
      <c r="A45" s="20">
        <v>1</v>
      </c>
      <c r="B45" s="60">
        <f>SUBTOTAL(103,$A$22:A45)</f>
        <v>24</v>
      </c>
      <c r="C45" s="24" t="s">
        <v>508</v>
      </c>
      <c r="D45" s="31">
        <f t="shared" si="5"/>
        <v>1772747.75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194">
        <v>1</v>
      </c>
      <c r="L45" s="38">
        <v>1772747.75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3" t="s">
        <v>268</v>
      </c>
      <c r="AG45" s="33">
        <v>2020</v>
      </c>
      <c r="AH45" s="34" t="s">
        <v>268</v>
      </c>
      <c r="AT45" s="20" t="e">
        <f t="shared" si="6"/>
        <v>#N/A</v>
      </c>
      <c r="BZ45" s="64"/>
      <c r="CD45" s="20" t="e">
        <f t="shared" si="7"/>
        <v>#N/A</v>
      </c>
      <c r="CE45" s="88" t="s">
        <v>1094</v>
      </c>
      <c r="CF45" s="88">
        <v>1147.7</v>
      </c>
    </row>
    <row r="46" spans="1:84" ht="61.5" x14ac:dyDescent="0.85">
      <c r="A46" s="20">
        <v>1</v>
      </c>
      <c r="B46" s="60">
        <f>SUBTOTAL(103,$A$22:A46)</f>
        <v>25</v>
      </c>
      <c r="C46" s="24" t="s">
        <v>509</v>
      </c>
      <c r="D46" s="31">
        <f t="shared" si="5"/>
        <v>3535514.86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194">
        <v>2</v>
      </c>
      <c r="L46" s="38">
        <f>1767757.43+1767757.43</f>
        <v>3535514.86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3" t="s">
        <v>268</v>
      </c>
      <c r="AG46" s="33">
        <v>2020</v>
      </c>
      <c r="AH46" s="34" t="s">
        <v>268</v>
      </c>
      <c r="AT46" s="20" t="e">
        <f t="shared" si="6"/>
        <v>#N/A</v>
      </c>
      <c r="BZ46" s="64"/>
      <c r="CD46" s="20" t="e">
        <f t="shared" si="7"/>
        <v>#N/A</v>
      </c>
      <c r="CE46" s="88" t="s">
        <v>1095</v>
      </c>
      <c r="CF46" s="88">
        <v>218.8</v>
      </c>
    </row>
    <row r="47" spans="1:84" ht="61.5" x14ac:dyDescent="0.85">
      <c r="A47" s="20">
        <v>1</v>
      </c>
      <c r="B47" s="60">
        <f>SUBTOTAL(103,$A$22:A47)</f>
        <v>26</v>
      </c>
      <c r="C47" s="24" t="s">
        <v>510</v>
      </c>
      <c r="D47" s="31">
        <f t="shared" si="5"/>
        <v>1142069.99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67">
        <v>0</v>
      </c>
      <c r="L47" s="31">
        <v>0</v>
      </c>
      <c r="M47" s="38">
        <v>305.72000000000003</v>
      </c>
      <c r="N47" s="38">
        <v>1126523.96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8">
        <v>15546.03</v>
      </c>
      <c r="AD47" s="31">
        <v>0</v>
      </c>
      <c r="AE47" s="31">
        <v>0</v>
      </c>
      <c r="AF47" s="33" t="s">
        <v>268</v>
      </c>
      <c r="AG47" s="33">
        <v>2020</v>
      </c>
      <c r="AH47" s="34">
        <v>2020</v>
      </c>
      <c r="AT47" s="20" t="e">
        <f t="shared" si="6"/>
        <v>#N/A</v>
      </c>
      <c r="BZ47" s="64"/>
      <c r="CD47" s="20">
        <f t="shared" si="7"/>
        <v>342</v>
      </c>
      <c r="CE47" s="88" t="s">
        <v>1096</v>
      </c>
      <c r="CF47" s="88">
        <v>912.27</v>
      </c>
    </row>
    <row r="48" spans="1:84" ht="61.5" x14ac:dyDescent="0.85">
      <c r="A48" s="20">
        <v>1</v>
      </c>
      <c r="B48" s="60">
        <f>SUBTOTAL(103,$A$22:A48)</f>
        <v>27</v>
      </c>
      <c r="C48" s="24" t="s">
        <v>511</v>
      </c>
      <c r="D48" s="31">
        <f t="shared" si="5"/>
        <v>715422.73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67">
        <v>0</v>
      </c>
      <c r="L48" s="31">
        <v>0</v>
      </c>
      <c r="M48" s="144">
        <v>151</v>
      </c>
      <c r="N48" s="144">
        <v>705684.29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0">
        <f>ROUND((E48+F48+G48+H48+I48+J48+N48+P48+R48+T48+U48+V48+W48+X48+Y48+Z48+AA48+AB48)*1.38%,2)</f>
        <v>9738.44</v>
      </c>
      <c r="AD48" s="31">
        <v>0</v>
      </c>
      <c r="AE48" s="31">
        <v>0</v>
      </c>
      <c r="AF48" s="33" t="s">
        <v>268</v>
      </c>
      <c r="AG48" s="33">
        <v>2020</v>
      </c>
      <c r="AH48" s="34">
        <v>2020</v>
      </c>
      <c r="BZ48" s="64"/>
      <c r="CD48" s="20" t="e">
        <f t="shared" si="7"/>
        <v>#N/A</v>
      </c>
      <c r="CE48" s="88" t="s">
        <v>1100</v>
      </c>
      <c r="CF48" s="88">
        <v>979.44</v>
      </c>
    </row>
    <row r="49" spans="1:84" ht="61.5" x14ac:dyDescent="0.85">
      <c r="A49" s="20">
        <v>1</v>
      </c>
      <c r="B49" s="60">
        <f>SUBTOTAL(103,$A$22:A49)</f>
        <v>28</v>
      </c>
      <c r="C49" s="24" t="s">
        <v>512</v>
      </c>
      <c r="D49" s="31">
        <f t="shared" si="5"/>
        <v>1010260.5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67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8">
        <v>424</v>
      </c>
      <c r="R49" s="38">
        <v>958282.99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8">
        <v>13224.31</v>
      </c>
      <c r="AD49" s="144">
        <v>38753.199999999997</v>
      </c>
      <c r="AE49" s="31">
        <v>0</v>
      </c>
      <c r="AF49" s="33">
        <v>2020</v>
      </c>
      <c r="AG49" s="33">
        <v>2020</v>
      </c>
      <c r="AH49" s="34">
        <v>2020</v>
      </c>
      <c r="AT49" s="20" t="e">
        <f t="shared" ref="AT49:AT63" si="8">VLOOKUP(C49,AW:AX,2,FALSE)</f>
        <v>#N/A</v>
      </c>
      <c r="BZ49" s="64"/>
      <c r="CD49" s="20" t="e">
        <f t="shared" si="7"/>
        <v>#N/A</v>
      </c>
      <c r="CE49" s="88" t="s">
        <v>1101</v>
      </c>
      <c r="CF49" s="88">
        <v>730.17</v>
      </c>
    </row>
    <row r="50" spans="1:84" ht="61.5" x14ac:dyDescent="0.85">
      <c r="A50" s="20">
        <v>1</v>
      </c>
      <c r="B50" s="60">
        <f>SUBTOTAL(103,$A$22:A50)</f>
        <v>29</v>
      </c>
      <c r="C50" s="24" t="s">
        <v>513</v>
      </c>
      <c r="D50" s="31">
        <f t="shared" si="5"/>
        <v>1761427.66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194">
        <v>1</v>
      </c>
      <c r="L50" s="38">
        <v>1761427.66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3" t="s">
        <v>268</v>
      </c>
      <c r="AG50" s="33">
        <v>2020</v>
      </c>
      <c r="AH50" s="34" t="s">
        <v>268</v>
      </c>
      <c r="AT50" s="20" t="e">
        <f t="shared" si="8"/>
        <v>#N/A</v>
      </c>
      <c r="BZ50" s="64"/>
      <c r="CD50" s="20" t="e">
        <f t="shared" si="7"/>
        <v>#N/A</v>
      </c>
      <c r="CE50" s="88" t="s">
        <v>1104</v>
      </c>
      <c r="CF50" s="88">
        <v>874.18</v>
      </c>
    </row>
    <row r="51" spans="1:84" ht="61.5" x14ac:dyDescent="0.85">
      <c r="A51" s="20">
        <v>1</v>
      </c>
      <c r="B51" s="60">
        <f>SUBTOTAL(103,$A$22:A51)</f>
        <v>30</v>
      </c>
      <c r="C51" s="24" t="s">
        <v>514</v>
      </c>
      <c r="D51" s="31">
        <f t="shared" si="5"/>
        <v>2417044.6000000006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67">
        <v>0</v>
      </c>
      <c r="L51" s="31">
        <v>0</v>
      </c>
      <c r="M51" s="38">
        <v>952</v>
      </c>
      <c r="N51" s="38">
        <v>2302037.7400000002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8">
        <v>31768.12</v>
      </c>
      <c r="AD51" s="38">
        <v>83238.740000000005</v>
      </c>
      <c r="AE51" s="31">
        <v>0</v>
      </c>
      <c r="AF51" s="33">
        <v>2020</v>
      </c>
      <c r="AG51" s="33">
        <v>2020</v>
      </c>
      <c r="AH51" s="34">
        <v>2020</v>
      </c>
      <c r="AT51" s="20" t="e">
        <f t="shared" si="8"/>
        <v>#N/A</v>
      </c>
      <c r="BZ51" s="64"/>
      <c r="CD51" s="20">
        <f t="shared" si="7"/>
        <v>952</v>
      </c>
      <c r="CE51" s="88" t="s">
        <v>1106</v>
      </c>
      <c r="CF51" s="88">
        <v>1200</v>
      </c>
    </row>
    <row r="52" spans="1:84" ht="61.5" x14ac:dyDescent="0.85">
      <c r="A52" s="20">
        <v>1</v>
      </c>
      <c r="B52" s="60">
        <f>SUBTOTAL(103,$A$22:A52)</f>
        <v>31</v>
      </c>
      <c r="C52" s="24" t="s">
        <v>515</v>
      </c>
      <c r="D52" s="31">
        <f t="shared" si="5"/>
        <v>2398202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67">
        <v>0</v>
      </c>
      <c r="L52" s="31">
        <v>0</v>
      </c>
      <c r="M52" s="38">
        <v>677.7</v>
      </c>
      <c r="N52" s="144">
        <v>2398202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3" t="s">
        <v>268</v>
      </c>
      <c r="AG52" s="33">
        <v>2020</v>
      </c>
      <c r="AH52" s="34" t="s">
        <v>268</v>
      </c>
      <c r="AT52" s="20" t="e">
        <f t="shared" si="8"/>
        <v>#N/A</v>
      </c>
      <c r="BZ52" s="64"/>
      <c r="CD52" s="20">
        <f t="shared" si="7"/>
        <v>702.2</v>
      </c>
      <c r="CE52" s="88" t="s">
        <v>1116</v>
      </c>
      <c r="CF52" s="88">
        <v>523.98</v>
      </c>
    </row>
    <row r="53" spans="1:84" ht="61.5" x14ac:dyDescent="0.85">
      <c r="A53" s="20">
        <v>1</v>
      </c>
      <c r="B53" s="60">
        <f>SUBTOTAL(103,$A$22:A53)</f>
        <v>32</v>
      </c>
      <c r="C53" s="24" t="s">
        <v>516</v>
      </c>
      <c r="D53" s="31">
        <f t="shared" si="5"/>
        <v>952298.84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67">
        <v>0</v>
      </c>
      <c r="L53" s="31">
        <v>0</v>
      </c>
      <c r="M53" s="38">
        <v>249.72</v>
      </c>
      <c r="N53" s="38">
        <v>939336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0">
        <f>ROUND((E53+F53+G53+H53+I53+J53+N53+P53+R53+T53+U53+V53+W53+X53+Y53+Z53+AA53+AB53)*1.38%,2)</f>
        <v>12962.84</v>
      </c>
      <c r="AD53" s="31">
        <v>0</v>
      </c>
      <c r="AE53" s="31">
        <v>0</v>
      </c>
      <c r="AF53" s="33" t="s">
        <v>268</v>
      </c>
      <c r="AG53" s="33">
        <v>2020</v>
      </c>
      <c r="AH53" s="34">
        <v>2020</v>
      </c>
      <c r="AT53" s="20" t="e">
        <f t="shared" si="8"/>
        <v>#N/A</v>
      </c>
      <c r="BZ53" s="64"/>
      <c r="CD53" s="20" t="e">
        <f t="shared" si="7"/>
        <v>#N/A</v>
      </c>
      <c r="CE53" s="88" t="s">
        <v>1118</v>
      </c>
      <c r="CF53" s="88">
        <v>1093</v>
      </c>
    </row>
    <row r="54" spans="1:84" ht="61.5" x14ac:dyDescent="0.85">
      <c r="A54" s="20">
        <v>1</v>
      </c>
      <c r="B54" s="60">
        <f>SUBTOTAL(103,$A$22:A54)</f>
        <v>33</v>
      </c>
      <c r="C54" s="24" t="s">
        <v>517</v>
      </c>
      <c r="D54" s="31">
        <f t="shared" si="5"/>
        <v>2602788.06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67">
        <v>0</v>
      </c>
      <c r="L54" s="31">
        <v>0</v>
      </c>
      <c r="M54" s="38">
        <v>1512.41</v>
      </c>
      <c r="N54" s="38">
        <v>2567359.87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8">
        <v>35428.19</v>
      </c>
      <c r="AD54" s="31">
        <v>0</v>
      </c>
      <c r="AE54" s="31">
        <v>0</v>
      </c>
      <c r="AF54" s="33" t="s">
        <v>268</v>
      </c>
      <c r="AG54" s="33">
        <v>2020</v>
      </c>
      <c r="AH54" s="34">
        <v>2020</v>
      </c>
      <c r="AT54" s="20" t="e">
        <f t="shared" si="8"/>
        <v>#N/A</v>
      </c>
      <c r="BZ54" s="64"/>
      <c r="CD54" s="20">
        <f t="shared" si="7"/>
        <v>1603.24</v>
      </c>
      <c r="CE54" s="88" t="s">
        <v>1540</v>
      </c>
      <c r="CF54" s="88">
        <v>1004.3</v>
      </c>
    </row>
    <row r="55" spans="1:84" ht="61.5" x14ac:dyDescent="0.85">
      <c r="A55" s="20">
        <v>1</v>
      </c>
      <c r="B55" s="60">
        <f>SUBTOTAL(103,$A$22:A55)</f>
        <v>34</v>
      </c>
      <c r="C55" s="24" t="s">
        <v>518</v>
      </c>
      <c r="D55" s="31">
        <f t="shared" si="5"/>
        <v>4237431.1099999994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67">
        <v>0</v>
      </c>
      <c r="L55" s="31">
        <v>0</v>
      </c>
      <c r="M55" s="38">
        <v>1812</v>
      </c>
      <c r="N55" s="38">
        <v>4179750.55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8">
        <v>57680.56</v>
      </c>
      <c r="AD55" s="31">
        <v>0</v>
      </c>
      <c r="AE55" s="31">
        <v>0</v>
      </c>
      <c r="AF55" s="33" t="s">
        <v>268</v>
      </c>
      <c r="AG55" s="33">
        <v>2020</v>
      </c>
      <c r="AH55" s="34">
        <v>2020</v>
      </c>
      <c r="AT55" s="20" t="e">
        <f t="shared" si="8"/>
        <v>#N/A</v>
      </c>
      <c r="BZ55" s="64"/>
      <c r="CD55" s="20">
        <f t="shared" si="7"/>
        <v>2070.63</v>
      </c>
      <c r="CE55" s="88" t="s">
        <v>1526</v>
      </c>
      <c r="CF55" s="88">
        <v>334.8</v>
      </c>
    </row>
    <row r="56" spans="1:84" ht="61.5" x14ac:dyDescent="0.85">
      <c r="A56" s="20">
        <v>1</v>
      </c>
      <c r="B56" s="60">
        <f>SUBTOTAL(103,$A$22:A56)</f>
        <v>35</v>
      </c>
      <c r="C56" s="24" t="s">
        <v>519</v>
      </c>
      <c r="D56" s="31">
        <f t="shared" si="5"/>
        <v>2474623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67">
        <v>0</v>
      </c>
      <c r="L56" s="31">
        <v>0</v>
      </c>
      <c r="M56" s="38">
        <v>767</v>
      </c>
      <c r="N56" s="38">
        <v>2474623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3" t="s">
        <v>268</v>
      </c>
      <c r="AG56" s="33">
        <v>2020</v>
      </c>
      <c r="AH56" s="34" t="s">
        <v>268</v>
      </c>
      <c r="AT56" s="20" t="e">
        <f t="shared" si="8"/>
        <v>#N/A</v>
      </c>
      <c r="BZ56" s="64"/>
      <c r="CD56" s="20">
        <f t="shared" si="7"/>
        <v>777.1</v>
      </c>
      <c r="CE56" s="88" t="s">
        <v>1538</v>
      </c>
      <c r="CF56" s="88">
        <v>1585</v>
      </c>
    </row>
    <row r="57" spans="1:84" ht="61.5" x14ac:dyDescent="0.85">
      <c r="A57" s="20">
        <v>1</v>
      </c>
      <c r="B57" s="60">
        <f>SUBTOTAL(103,$A$22:A57)</f>
        <v>36</v>
      </c>
      <c r="C57" s="24" t="s">
        <v>520</v>
      </c>
      <c r="D57" s="31">
        <f t="shared" si="5"/>
        <v>3215346.54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67">
        <v>0</v>
      </c>
      <c r="L57" s="31">
        <v>0</v>
      </c>
      <c r="M57" s="38">
        <v>976</v>
      </c>
      <c r="N57" s="38">
        <v>3171578.75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8">
        <v>43767.79</v>
      </c>
      <c r="AD57" s="31">
        <v>0</v>
      </c>
      <c r="AE57" s="31">
        <v>0</v>
      </c>
      <c r="AF57" s="33" t="s">
        <v>268</v>
      </c>
      <c r="AG57" s="33">
        <v>2020</v>
      </c>
      <c r="AH57" s="34">
        <v>2020</v>
      </c>
      <c r="AT57" s="20" t="e">
        <f t="shared" si="8"/>
        <v>#N/A</v>
      </c>
      <c r="BZ57" s="64"/>
      <c r="CD57" s="20">
        <f t="shared" si="7"/>
        <v>1000</v>
      </c>
      <c r="CE57" s="88" t="s">
        <v>1527</v>
      </c>
      <c r="CF57" s="88">
        <v>543.6</v>
      </c>
    </row>
    <row r="58" spans="1:84" ht="61.5" x14ac:dyDescent="0.85">
      <c r="A58" s="20">
        <v>1</v>
      </c>
      <c r="B58" s="60">
        <f>SUBTOTAL(103,$A$22:A58)</f>
        <v>37</v>
      </c>
      <c r="C58" s="24" t="s">
        <v>521</v>
      </c>
      <c r="D58" s="31">
        <f t="shared" si="5"/>
        <v>2336593.7599999998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67">
        <v>0</v>
      </c>
      <c r="L58" s="31">
        <v>0</v>
      </c>
      <c r="M58" s="38">
        <v>579</v>
      </c>
      <c r="N58" s="38">
        <v>2304787.69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8">
        <v>31806.07</v>
      </c>
      <c r="AD58" s="31">
        <v>0</v>
      </c>
      <c r="AE58" s="31">
        <v>0</v>
      </c>
      <c r="AF58" s="33" t="s">
        <v>268</v>
      </c>
      <c r="AG58" s="33">
        <v>2020</v>
      </c>
      <c r="AH58" s="34">
        <v>2020</v>
      </c>
      <c r="AT58" s="20" t="e">
        <f t="shared" si="8"/>
        <v>#N/A</v>
      </c>
      <c r="BZ58" s="64"/>
      <c r="CD58" s="20">
        <f t="shared" si="7"/>
        <v>600</v>
      </c>
      <c r="CE58" s="88" t="s">
        <v>446</v>
      </c>
      <c r="CF58" s="88">
        <v>603.71</v>
      </c>
    </row>
    <row r="59" spans="1:84" ht="61.5" x14ac:dyDescent="0.85">
      <c r="A59" s="20">
        <v>1</v>
      </c>
      <c r="B59" s="60">
        <f>SUBTOTAL(103,$A$22:A59)</f>
        <v>38</v>
      </c>
      <c r="C59" s="24" t="s">
        <v>522</v>
      </c>
      <c r="D59" s="31">
        <f t="shared" si="5"/>
        <v>2470286.52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67">
        <v>0</v>
      </c>
      <c r="L59" s="31">
        <v>0</v>
      </c>
      <c r="M59" s="38">
        <v>767</v>
      </c>
      <c r="N59" s="38">
        <v>2351994.85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144">
        <v>32457.53</v>
      </c>
      <c r="AD59" s="144">
        <v>85834.14</v>
      </c>
      <c r="AE59" s="31">
        <v>0</v>
      </c>
      <c r="AF59" s="33">
        <v>2020</v>
      </c>
      <c r="AG59" s="33">
        <v>2020</v>
      </c>
      <c r="AH59" s="34">
        <v>2020</v>
      </c>
      <c r="AT59" s="20" t="e">
        <f t="shared" si="8"/>
        <v>#N/A</v>
      </c>
      <c r="BZ59" s="64"/>
      <c r="CD59" s="20" t="e">
        <f t="shared" si="7"/>
        <v>#N/A</v>
      </c>
      <c r="CE59" s="88" t="s">
        <v>447</v>
      </c>
      <c r="CF59" s="88">
        <v>588.4</v>
      </c>
    </row>
    <row r="60" spans="1:84" ht="61.5" x14ac:dyDescent="0.85">
      <c r="A60" s="20">
        <v>1</v>
      </c>
      <c r="B60" s="60">
        <f>SUBTOTAL(103,$A$22:A60)</f>
        <v>39</v>
      </c>
      <c r="C60" s="24" t="s">
        <v>523</v>
      </c>
      <c r="D60" s="31">
        <f t="shared" si="5"/>
        <v>2594696.8800000004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67">
        <v>0</v>
      </c>
      <c r="L60" s="31">
        <v>0</v>
      </c>
      <c r="M60" s="38">
        <v>812</v>
      </c>
      <c r="N60" s="38">
        <v>2559377.4700000002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8">
        <v>35319.410000000003</v>
      </c>
      <c r="AD60" s="31">
        <v>0</v>
      </c>
      <c r="AE60" s="31">
        <v>0</v>
      </c>
      <c r="AF60" s="33" t="s">
        <v>268</v>
      </c>
      <c r="AG60" s="33">
        <v>2020</v>
      </c>
      <c r="AH60" s="34">
        <v>2020</v>
      </c>
      <c r="AT60" s="20" t="e">
        <f t="shared" si="8"/>
        <v>#N/A</v>
      </c>
      <c r="BZ60" s="64"/>
      <c r="CD60" s="20">
        <f t="shared" si="7"/>
        <v>800</v>
      </c>
      <c r="CE60" s="88" t="s">
        <v>449</v>
      </c>
      <c r="CF60" s="88">
        <v>577</v>
      </c>
    </row>
    <row r="61" spans="1:84" ht="61.5" x14ac:dyDescent="0.85">
      <c r="A61" s="20">
        <v>1</v>
      </c>
      <c r="B61" s="60">
        <f>SUBTOTAL(103,$A$22:A61)</f>
        <v>40</v>
      </c>
      <c r="C61" s="24" t="s">
        <v>524</v>
      </c>
      <c r="D61" s="31">
        <f t="shared" si="5"/>
        <v>3746791.29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67">
        <v>0</v>
      </c>
      <c r="L61" s="31">
        <v>0</v>
      </c>
      <c r="M61" s="38">
        <v>899</v>
      </c>
      <c r="N61" s="38">
        <v>3608250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0">
        <f>ROUND((E61+F61+G61+H61+I61+J61+N61+P61+R61+T61+U61+V61+W61+X61+Y61+Z61+AA61+AB61)*1.38%,2)</f>
        <v>49793.85</v>
      </c>
      <c r="AD61" s="38">
        <v>88747.44</v>
      </c>
      <c r="AE61" s="31">
        <v>0</v>
      </c>
      <c r="AF61" s="33">
        <v>2020</v>
      </c>
      <c r="AG61" s="33">
        <v>2020</v>
      </c>
      <c r="AH61" s="33">
        <v>2020</v>
      </c>
      <c r="AT61" s="20" t="e">
        <f t="shared" si="8"/>
        <v>#N/A</v>
      </c>
      <c r="BZ61" s="64"/>
      <c r="CD61" s="20" t="e">
        <f t="shared" si="7"/>
        <v>#N/A</v>
      </c>
      <c r="CE61" s="88" t="s">
        <v>1147</v>
      </c>
      <c r="CF61" s="88">
        <v>633.34</v>
      </c>
    </row>
    <row r="62" spans="1:84" ht="61.5" x14ac:dyDescent="0.85">
      <c r="A62" s="20">
        <v>1</v>
      </c>
      <c r="B62" s="60">
        <f>SUBTOTAL(103,$A$22:A62)</f>
        <v>41</v>
      </c>
      <c r="C62" s="24" t="s">
        <v>526</v>
      </c>
      <c r="D62" s="31">
        <f t="shared" si="5"/>
        <v>2867076.98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67">
        <v>0</v>
      </c>
      <c r="L62" s="31">
        <v>0</v>
      </c>
      <c r="M62" s="38">
        <v>1400</v>
      </c>
      <c r="N62" s="38">
        <v>2828049.89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8">
        <v>39027.089999999997</v>
      </c>
      <c r="AD62" s="31">
        <v>0</v>
      </c>
      <c r="AE62" s="31">
        <v>0</v>
      </c>
      <c r="AF62" s="33" t="s">
        <v>268</v>
      </c>
      <c r="AG62" s="33">
        <v>2020</v>
      </c>
      <c r="AH62" s="34">
        <v>2020</v>
      </c>
      <c r="AT62" s="20" t="e">
        <f t="shared" si="8"/>
        <v>#N/A</v>
      </c>
      <c r="BZ62" s="64"/>
      <c r="CD62" s="20">
        <f t="shared" si="7"/>
        <v>1180.0999999999999</v>
      </c>
      <c r="CE62" s="88" t="s">
        <v>772</v>
      </c>
      <c r="CF62" s="88">
        <v>1375.9</v>
      </c>
    </row>
    <row r="63" spans="1:84" ht="61.5" x14ac:dyDescent="0.85">
      <c r="A63" s="20">
        <v>1</v>
      </c>
      <c r="B63" s="60">
        <f>SUBTOTAL(103,$A$22:A63)</f>
        <v>42</v>
      </c>
      <c r="C63" s="24" t="s">
        <v>527</v>
      </c>
      <c r="D63" s="31">
        <f t="shared" si="5"/>
        <v>62259.5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67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8">
        <v>62259.5</v>
      </c>
      <c r="AE63" s="31">
        <v>0</v>
      </c>
      <c r="AF63" s="33">
        <v>2020</v>
      </c>
      <c r="AG63" s="33" t="s">
        <v>268</v>
      </c>
      <c r="AH63" s="33" t="s">
        <v>268</v>
      </c>
      <c r="AT63" s="20" t="e">
        <f t="shared" si="8"/>
        <v>#N/A</v>
      </c>
      <c r="BZ63" s="64"/>
      <c r="CD63" s="20" t="e">
        <f t="shared" si="7"/>
        <v>#N/A</v>
      </c>
      <c r="CE63" s="88" t="s">
        <v>1164</v>
      </c>
      <c r="CF63" s="88">
        <v>1206.22</v>
      </c>
    </row>
    <row r="64" spans="1:84" ht="61.5" x14ac:dyDescent="0.85">
      <c r="A64" s="20">
        <v>1</v>
      </c>
      <c r="B64" s="60">
        <f>SUBTOTAL(103,$A$22:A64)</f>
        <v>43</v>
      </c>
      <c r="C64" s="24" t="s">
        <v>1369</v>
      </c>
      <c r="D64" s="31">
        <f t="shared" si="5"/>
        <v>605681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67">
        <v>0</v>
      </c>
      <c r="L64" s="31">
        <v>0</v>
      </c>
      <c r="M64" s="38">
        <v>305.76</v>
      </c>
      <c r="N64" s="38">
        <v>597436.38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8">
        <v>8244.6200000000008</v>
      </c>
      <c r="AD64" s="31">
        <v>0</v>
      </c>
      <c r="AE64" s="31">
        <v>0</v>
      </c>
      <c r="AF64" s="33" t="s">
        <v>268</v>
      </c>
      <c r="AG64" s="33">
        <v>2020</v>
      </c>
      <c r="AH64" s="34">
        <v>2020</v>
      </c>
      <c r="BZ64" s="64"/>
      <c r="CD64" s="20">
        <f t="shared" si="7"/>
        <v>334.02</v>
      </c>
      <c r="CE64" s="88" t="s">
        <v>1167</v>
      </c>
      <c r="CF64" s="88">
        <v>1137.3</v>
      </c>
    </row>
    <row r="65" spans="1:84" ht="61.5" x14ac:dyDescent="0.85">
      <c r="A65" s="20">
        <v>1</v>
      </c>
      <c r="B65" s="60">
        <f>SUBTOTAL(103,$A$22:A65)</f>
        <v>44</v>
      </c>
      <c r="C65" s="24" t="s">
        <v>1371</v>
      </c>
      <c r="D65" s="31">
        <f t="shared" si="5"/>
        <v>3492157.8499999996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67">
        <v>0</v>
      </c>
      <c r="L65" s="31">
        <v>0</v>
      </c>
      <c r="M65" s="38">
        <v>804</v>
      </c>
      <c r="N65" s="38">
        <v>3444622.07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8">
        <v>47535.78</v>
      </c>
      <c r="AD65" s="31">
        <v>0</v>
      </c>
      <c r="AE65" s="31">
        <v>0</v>
      </c>
      <c r="AF65" s="33" t="s">
        <v>268</v>
      </c>
      <c r="AG65" s="33">
        <v>2020</v>
      </c>
      <c r="AH65" s="34">
        <v>2020</v>
      </c>
      <c r="BZ65" s="64"/>
      <c r="CD65" s="20">
        <f t="shared" si="7"/>
        <v>789</v>
      </c>
      <c r="CE65" s="88" t="s">
        <v>379</v>
      </c>
      <c r="CF65" s="88">
        <v>386.2</v>
      </c>
    </row>
    <row r="66" spans="1:84" ht="61.5" x14ac:dyDescent="0.85">
      <c r="A66" s="20">
        <v>1</v>
      </c>
      <c r="B66" s="60">
        <f>SUBTOTAL(103,$A$22:A66)</f>
        <v>45</v>
      </c>
      <c r="C66" s="24" t="s">
        <v>1091</v>
      </c>
      <c r="D66" s="31">
        <f t="shared" si="5"/>
        <v>4195168.8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194">
        <v>3</v>
      </c>
      <c r="L66" s="38">
        <v>4195168.8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1">
        <v>0</v>
      </c>
      <c r="AF66" s="33" t="s">
        <v>268</v>
      </c>
      <c r="AG66" s="33">
        <v>2020</v>
      </c>
      <c r="AH66" s="34" t="s">
        <v>268</v>
      </c>
      <c r="BZ66" s="64"/>
      <c r="CD66" s="20" t="e">
        <f t="shared" si="7"/>
        <v>#N/A</v>
      </c>
      <c r="CE66" s="88" t="s">
        <v>1175</v>
      </c>
      <c r="CF66" s="88">
        <v>540.5</v>
      </c>
    </row>
    <row r="67" spans="1:84" ht="61.5" x14ac:dyDescent="0.85">
      <c r="A67" s="20">
        <v>1</v>
      </c>
      <c r="B67" s="60">
        <f>SUBTOTAL(103,$A$22:A67)</f>
        <v>46</v>
      </c>
      <c r="C67" s="24" t="s">
        <v>1092</v>
      </c>
      <c r="D67" s="31">
        <f t="shared" si="5"/>
        <v>11667617.030000001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67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8">
        <v>6500</v>
      </c>
      <c r="R67" s="38">
        <v>11496038.65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8">
        <v>171578.38</v>
      </c>
      <c r="AD67" s="31">
        <v>0</v>
      </c>
      <c r="AE67" s="31">
        <v>0</v>
      </c>
      <c r="AF67" s="33" t="s">
        <v>268</v>
      </c>
      <c r="AG67" s="33">
        <v>2020</v>
      </c>
      <c r="AH67" s="34">
        <v>2020</v>
      </c>
      <c r="BZ67" s="64"/>
      <c r="CD67" s="20" t="e">
        <f t="shared" si="7"/>
        <v>#N/A</v>
      </c>
      <c r="CE67" s="88" t="s">
        <v>1176</v>
      </c>
      <c r="CF67" s="88">
        <v>603.5</v>
      </c>
    </row>
    <row r="68" spans="1:84" ht="61.5" x14ac:dyDescent="0.85">
      <c r="A68" s="20">
        <v>1</v>
      </c>
      <c r="B68" s="60">
        <f>SUBTOTAL(103,$A$22:A68)</f>
        <v>47</v>
      </c>
      <c r="C68" s="24" t="s">
        <v>1093</v>
      </c>
      <c r="D68" s="31">
        <f t="shared" si="5"/>
        <v>7709925.1399999997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67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3852.16</v>
      </c>
      <c r="R68" s="31">
        <v>7596546.6799999997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0">
        <f>ROUND((E68+F68+G68+H68+I68+J68+N68+P68+R68+T68+U68+V68+W68+X68+Y68+Z68+AA68+AB68)*1.4925%,2)</f>
        <v>113378.46</v>
      </c>
      <c r="AD68" s="31">
        <v>0</v>
      </c>
      <c r="AE68" s="31">
        <v>0</v>
      </c>
      <c r="AF68" s="33" t="s">
        <v>268</v>
      </c>
      <c r="AG68" s="33">
        <v>2020</v>
      </c>
      <c r="AH68" s="34">
        <v>2020</v>
      </c>
      <c r="BZ68" s="64"/>
      <c r="CD68" s="20" t="e">
        <f t="shared" si="7"/>
        <v>#N/A</v>
      </c>
      <c r="CE68" s="88" t="s">
        <v>1177</v>
      </c>
      <c r="CF68" s="88">
        <v>1650</v>
      </c>
    </row>
    <row r="69" spans="1:84" ht="61.5" x14ac:dyDescent="0.85">
      <c r="A69" s="20">
        <v>1</v>
      </c>
      <c r="B69" s="60">
        <f>SUBTOTAL(103,$A$22:A69)</f>
        <v>48</v>
      </c>
      <c r="C69" s="24" t="s">
        <v>1095</v>
      </c>
      <c r="D69" s="31">
        <f t="shared" si="5"/>
        <v>726648.72000000009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67">
        <v>0</v>
      </c>
      <c r="L69" s="31">
        <v>0</v>
      </c>
      <c r="M69" s="38">
        <v>206.2</v>
      </c>
      <c r="N69" s="38">
        <f>119355.05+607293.67</f>
        <v>726648.72000000009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0</v>
      </c>
      <c r="AF69" s="33" t="s">
        <v>268</v>
      </c>
      <c r="AG69" s="33">
        <v>2020</v>
      </c>
      <c r="AH69" s="33" t="s">
        <v>268</v>
      </c>
      <c r="BZ69" s="64"/>
      <c r="CD69" s="20">
        <f t="shared" si="7"/>
        <v>218.8</v>
      </c>
      <c r="CE69" s="88" t="s">
        <v>1184</v>
      </c>
      <c r="CF69" s="88">
        <v>1264.96</v>
      </c>
    </row>
    <row r="70" spans="1:84" ht="61.5" x14ac:dyDescent="0.85">
      <c r="A70" s="20">
        <v>1</v>
      </c>
      <c r="B70" s="60">
        <f>SUBTOTAL(103,$A$22:A70)</f>
        <v>49</v>
      </c>
      <c r="C70" s="24" t="s">
        <v>1096</v>
      </c>
      <c r="D70" s="31">
        <f t="shared" si="5"/>
        <v>3306287.7600000002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67">
        <v>0</v>
      </c>
      <c r="L70" s="31">
        <v>0</v>
      </c>
      <c r="M70" s="38">
        <v>916</v>
      </c>
      <c r="N70" s="38">
        <v>3257667.08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8">
        <v>48620.68</v>
      </c>
      <c r="AD70" s="31">
        <v>0</v>
      </c>
      <c r="AE70" s="31">
        <v>0</v>
      </c>
      <c r="AF70" s="33" t="s">
        <v>268</v>
      </c>
      <c r="AG70" s="33">
        <v>2020</v>
      </c>
      <c r="AH70" s="34">
        <v>2020</v>
      </c>
      <c r="BZ70" s="64"/>
      <c r="CD70" s="20">
        <f t="shared" si="7"/>
        <v>912.27</v>
      </c>
      <c r="CE70" s="88" t="s">
        <v>1186</v>
      </c>
      <c r="CF70" s="88">
        <v>781</v>
      </c>
    </row>
    <row r="71" spans="1:84" ht="61.5" x14ac:dyDescent="0.85">
      <c r="A71" s="20">
        <v>1</v>
      </c>
      <c r="B71" s="60">
        <f>SUBTOTAL(103,$A$22:A71)</f>
        <v>50</v>
      </c>
      <c r="C71" s="24" t="s">
        <v>1098</v>
      </c>
      <c r="D71" s="31">
        <f t="shared" si="5"/>
        <v>4193947.02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67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8">
        <v>4132272.85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8">
        <v>61674.17</v>
      </c>
      <c r="AD71" s="31">
        <v>0</v>
      </c>
      <c r="AE71" s="31">
        <v>0</v>
      </c>
      <c r="AF71" s="33" t="s">
        <v>268</v>
      </c>
      <c r="AG71" s="33">
        <v>2020</v>
      </c>
      <c r="AH71" s="34">
        <v>2020</v>
      </c>
      <c r="BZ71" s="64"/>
      <c r="CD71" s="20" t="e">
        <f t="shared" si="7"/>
        <v>#N/A</v>
      </c>
      <c r="CE71" s="88" t="s">
        <v>1189</v>
      </c>
      <c r="CF71" s="88">
        <v>1174.18</v>
      </c>
    </row>
    <row r="72" spans="1:84" ht="61.5" x14ac:dyDescent="0.85">
      <c r="A72" s="20">
        <v>1</v>
      </c>
      <c r="B72" s="60">
        <f>SUBTOTAL(103,$A$22:A72)</f>
        <v>51</v>
      </c>
      <c r="C72" s="24" t="s">
        <v>1099</v>
      </c>
      <c r="D72" s="31">
        <f t="shared" si="5"/>
        <v>3323174.92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67">
        <v>0</v>
      </c>
      <c r="L72" s="31">
        <v>0</v>
      </c>
      <c r="M72" s="31">
        <v>945.1</v>
      </c>
      <c r="N72" s="31">
        <v>3195303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8">
        <v>47689.9</v>
      </c>
      <c r="AD72" s="38">
        <v>80182.02</v>
      </c>
      <c r="AE72" s="31">
        <v>0</v>
      </c>
      <c r="AF72" s="33">
        <v>2020</v>
      </c>
      <c r="AG72" s="33">
        <v>2020</v>
      </c>
      <c r="AH72" s="34">
        <v>2020</v>
      </c>
      <c r="BZ72" s="64"/>
      <c r="CD72" s="20" t="e">
        <f t="shared" si="7"/>
        <v>#N/A</v>
      </c>
      <c r="CE72" s="88" t="s">
        <v>1190</v>
      </c>
      <c r="CF72" s="88">
        <v>484</v>
      </c>
    </row>
    <row r="73" spans="1:84" ht="61.5" x14ac:dyDescent="0.85">
      <c r="A73" s="20">
        <v>1</v>
      </c>
      <c r="B73" s="60">
        <f>SUBTOTAL(103,$A$22:A73)</f>
        <v>52</v>
      </c>
      <c r="C73" s="24" t="s">
        <v>1100</v>
      </c>
      <c r="D73" s="31">
        <f t="shared" si="5"/>
        <v>4024360.63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67">
        <v>0</v>
      </c>
      <c r="L73" s="31">
        <v>0</v>
      </c>
      <c r="M73" s="38">
        <v>967.44</v>
      </c>
      <c r="N73" s="38">
        <v>3965180.31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8">
        <v>59180.32</v>
      </c>
      <c r="AD73" s="31">
        <v>0</v>
      </c>
      <c r="AE73" s="31">
        <v>0</v>
      </c>
      <c r="AF73" s="33" t="s">
        <v>268</v>
      </c>
      <c r="AG73" s="33">
        <v>2020</v>
      </c>
      <c r="AH73" s="34">
        <v>2020</v>
      </c>
      <c r="BZ73" s="64"/>
      <c r="CD73" s="20">
        <f t="shared" ref="CD73:CD104" si="9">VLOOKUP(C73,CE:CF,2,FALSE)</f>
        <v>979.44</v>
      </c>
      <c r="CE73" s="88" t="s">
        <v>1191</v>
      </c>
      <c r="CF73" s="88">
        <v>1161</v>
      </c>
    </row>
    <row r="74" spans="1:84" ht="61.5" x14ac:dyDescent="0.85">
      <c r="A74" s="20">
        <v>1</v>
      </c>
      <c r="B74" s="60">
        <f>SUBTOTAL(103,$A$22:A74)</f>
        <v>53</v>
      </c>
      <c r="C74" s="24" t="s">
        <v>1101</v>
      </c>
      <c r="D74" s="31">
        <f t="shared" si="5"/>
        <v>2994194.1500000004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67">
        <v>0</v>
      </c>
      <c r="L74" s="31">
        <v>0</v>
      </c>
      <c r="M74" s="38">
        <v>717</v>
      </c>
      <c r="N74" s="144">
        <v>2950162.97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144">
        <v>44031.18</v>
      </c>
      <c r="AD74" s="31">
        <v>0</v>
      </c>
      <c r="AE74" s="31">
        <v>0</v>
      </c>
      <c r="AF74" s="33" t="s">
        <v>268</v>
      </c>
      <c r="AG74" s="33">
        <v>2020</v>
      </c>
      <c r="AH74" s="34">
        <v>2020</v>
      </c>
      <c r="BZ74" s="64"/>
      <c r="CD74" s="20">
        <f t="shared" si="9"/>
        <v>730.17</v>
      </c>
      <c r="CE74" s="88" t="s">
        <v>1193</v>
      </c>
      <c r="CF74" s="88">
        <v>452.1</v>
      </c>
    </row>
    <row r="75" spans="1:84" ht="61.5" x14ac:dyDescent="0.85">
      <c r="A75" s="20">
        <v>1</v>
      </c>
      <c r="B75" s="60">
        <f>SUBTOTAL(103,$A$22:A75)</f>
        <v>54</v>
      </c>
      <c r="C75" s="24" t="s">
        <v>1103</v>
      </c>
      <c r="D75" s="31">
        <f t="shared" si="5"/>
        <v>4839579.08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67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1085</v>
      </c>
      <c r="R75" s="31">
        <v>4768410.55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8">
        <v>71168.53</v>
      </c>
      <c r="AD75" s="31">
        <v>0</v>
      </c>
      <c r="AE75" s="31">
        <v>0</v>
      </c>
      <c r="AF75" s="33" t="s">
        <v>268</v>
      </c>
      <c r="AG75" s="33">
        <v>2020</v>
      </c>
      <c r="AH75" s="34">
        <v>2020</v>
      </c>
      <c r="BZ75" s="64"/>
      <c r="CD75" s="20" t="e">
        <f t="shared" si="9"/>
        <v>#N/A</v>
      </c>
      <c r="CE75" s="88" t="s">
        <v>1194</v>
      </c>
      <c r="CF75" s="88">
        <v>992</v>
      </c>
    </row>
    <row r="76" spans="1:84" ht="61.5" x14ac:dyDescent="0.85">
      <c r="A76" s="20">
        <v>1</v>
      </c>
      <c r="B76" s="60">
        <f>SUBTOTAL(103,$A$22:A76)</f>
        <v>55</v>
      </c>
      <c r="C76" s="24" t="s">
        <v>1104</v>
      </c>
      <c r="D76" s="31">
        <f t="shared" si="5"/>
        <v>1872015.22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67">
        <v>0</v>
      </c>
      <c r="L76" s="31">
        <v>0</v>
      </c>
      <c r="M76" s="38">
        <v>825</v>
      </c>
      <c r="N76" s="144">
        <v>1844486.26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144">
        <v>27528.959999999999</v>
      </c>
      <c r="AD76" s="31">
        <v>0</v>
      </c>
      <c r="AE76" s="31">
        <v>0</v>
      </c>
      <c r="AF76" s="33" t="s">
        <v>268</v>
      </c>
      <c r="AG76" s="33">
        <v>2020</v>
      </c>
      <c r="AH76" s="34">
        <v>2020</v>
      </c>
      <c r="BZ76" s="64"/>
      <c r="CD76" s="20">
        <f t="shared" si="9"/>
        <v>874.18</v>
      </c>
      <c r="CE76" s="88" t="s">
        <v>640</v>
      </c>
      <c r="CF76" s="88">
        <v>796.1</v>
      </c>
    </row>
    <row r="77" spans="1:84" ht="61.5" x14ac:dyDescent="0.85">
      <c r="A77" s="20">
        <v>1</v>
      </c>
      <c r="B77" s="60">
        <f>SUBTOTAL(103,$A$22:A77)</f>
        <v>56</v>
      </c>
      <c r="C77" s="24" t="s">
        <v>1105</v>
      </c>
      <c r="D77" s="31">
        <f t="shared" si="5"/>
        <v>2373016.2799999998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67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8">
        <v>558.45000000000005</v>
      </c>
      <c r="R77" s="38">
        <v>2338119.84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8">
        <v>34896.44</v>
      </c>
      <c r="AD77" s="31">
        <v>0</v>
      </c>
      <c r="AE77" s="31">
        <v>0</v>
      </c>
      <c r="AF77" s="33" t="s">
        <v>268</v>
      </c>
      <c r="AG77" s="33">
        <v>2020</v>
      </c>
      <c r="AH77" s="34">
        <v>2020</v>
      </c>
      <c r="BZ77" s="64"/>
      <c r="CD77" s="20" t="e">
        <f t="shared" si="9"/>
        <v>#N/A</v>
      </c>
      <c r="CE77" s="88" t="s">
        <v>1180</v>
      </c>
      <c r="CF77" s="88">
        <v>1995.2</v>
      </c>
    </row>
    <row r="78" spans="1:84" ht="61.5" x14ac:dyDescent="0.85">
      <c r="A78" s="20">
        <v>1</v>
      </c>
      <c r="B78" s="60">
        <f>SUBTOTAL(103,$A$22:A78)</f>
        <v>57</v>
      </c>
      <c r="C78" s="24" t="s">
        <v>1106</v>
      </c>
      <c r="D78" s="31">
        <f t="shared" si="5"/>
        <v>3249268.89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67">
        <v>0</v>
      </c>
      <c r="L78" s="31">
        <v>0</v>
      </c>
      <c r="M78" s="38">
        <f>959.6+211</f>
        <v>1170.5999999999999</v>
      </c>
      <c r="N78" s="144">
        <v>3201486.7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144">
        <v>47782.19</v>
      </c>
      <c r="AD78" s="31">
        <v>0</v>
      </c>
      <c r="AE78" s="31">
        <v>0</v>
      </c>
      <c r="AF78" s="33" t="s">
        <v>268</v>
      </c>
      <c r="AG78" s="33">
        <v>2020</v>
      </c>
      <c r="AH78" s="34">
        <v>2020</v>
      </c>
      <c r="BZ78" s="64"/>
      <c r="CD78" s="20">
        <f t="shared" si="9"/>
        <v>1200</v>
      </c>
      <c r="CE78" s="88" t="s">
        <v>1196</v>
      </c>
      <c r="CF78" s="88">
        <v>855</v>
      </c>
    </row>
    <row r="79" spans="1:84" ht="61.5" x14ac:dyDescent="0.85">
      <c r="A79" s="20">
        <v>1</v>
      </c>
      <c r="B79" s="60">
        <f>SUBTOTAL(103,$A$22:A79)</f>
        <v>58</v>
      </c>
      <c r="C79" s="24" t="s">
        <v>1107</v>
      </c>
      <c r="D79" s="31">
        <f t="shared" si="5"/>
        <v>2561819.3000000003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67">
        <v>0</v>
      </c>
      <c r="L79" s="31">
        <v>0</v>
      </c>
      <c r="M79" s="38">
        <v>929</v>
      </c>
      <c r="N79" s="144">
        <v>2524146.41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144">
        <v>37672.89</v>
      </c>
      <c r="AD79" s="31">
        <v>0</v>
      </c>
      <c r="AE79" s="31">
        <v>0</v>
      </c>
      <c r="AF79" s="33" t="s">
        <v>268</v>
      </c>
      <c r="AG79" s="33">
        <v>2020</v>
      </c>
      <c r="AH79" s="34">
        <v>2020</v>
      </c>
      <c r="BZ79" s="64"/>
      <c r="CD79" s="20">
        <f t="shared" si="9"/>
        <v>946</v>
      </c>
      <c r="CE79" s="88" t="s">
        <v>1182</v>
      </c>
      <c r="CF79" s="88">
        <v>1155.9000000000001</v>
      </c>
    </row>
    <row r="80" spans="1:84" ht="61.5" x14ac:dyDescent="0.85">
      <c r="A80" s="20">
        <v>1</v>
      </c>
      <c r="B80" s="60">
        <f>SUBTOTAL(103,$A$22:A80)</f>
        <v>59</v>
      </c>
      <c r="C80" s="24" t="s">
        <v>1108</v>
      </c>
      <c r="D80" s="31">
        <f t="shared" si="5"/>
        <v>967510.08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67">
        <v>0</v>
      </c>
      <c r="L80" s="31">
        <v>0</v>
      </c>
      <c r="M80" s="38">
        <v>365</v>
      </c>
      <c r="N80" s="38">
        <v>953282.34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8">
        <v>14227.74</v>
      </c>
      <c r="AD80" s="31">
        <v>0</v>
      </c>
      <c r="AE80" s="31">
        <v>0</v>
      </c>
      <c r="AF80" s="33" t="s">
        <v>268</v>
      </c>
      <c r="AG80" s="33">
        <v>2020</v>
      </c>
      <c r="AH80" s="34">
        <v>2020</v>
      </c>
      <c r="BZ80" s="64"/>
      <c r="CD80" s="20">
        <f t="shared" si="9"/>
        <v>365.5</v>
      </c>
      <c r="CE80" s="88" t="s">
        <v>677</v>
      </c>
      <c r="CF80" s="88">
        <v>1022</v>
      </c>
    </row>
    <row r="81" spans="1:84" ht="61.5" x14ac:dyDescent="0.85">
      <c r="A81" s="20">
        <v>1</v>
      </c>
      <c r="B81" s="60">
        <f>SUBTOTAL(103,$A$22:A81)</f>
        <v>60</v>
      </c>
      <c r="C81" s="24" t="s">
        <v>1109</v>
      </c>
      <c r="D81" s="31">
        <f t="shared" si="5"/>
        <v>966024.86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67">
        <v>0</v>
      </c>
      <c r="L81" s="31">
        <v>0</v>
      </c>
      <c r="M81" s="38">
        <v>358</v>
      </c>
      <c r="N81" s="38">
        <v>951818.96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8">
        <v>14205.9</v>
      </c>
      <c r="AD81" s="31">
        <v>0</v>
      </c>
      <c r="AE81" s="31">
        <v>0</v>
      </c>
      <c r="AF81" s="33" t="s">
        <v>268</v>
      </c>
      <c r="AG81" s="33">
        <v>2020</v>
      </c>
      <c r="AH81" s="34">
        <v>2020</v>
      </c>
      <c r="BZ81" s="64"/>
      <c r="CD81" s="20">
        <f t="shared" si="9"/>
        <v>365.5</v>
      </c>
      <c r="CE81" s="88" t="s">
        <v>1197</v>
      </c>
      <c r="CF81" s="88">
        <v>407.8</v>
      </c>
    </row>
    <row r="82" spans="1:84" ht="61.5" x14ac:dyDescent="0.85">
      <c r="A82" s="20">
        <v>1</v>
      </c>
      <c r="B82" s="60">
        <f>SUBTOTAL(103,$A$22:A82)</f>
        <v>61</v>
      </c>
      <c r="C82" s="24" t="s">
        <v>1110</v>
      </c>
      <c r="D82" s="31">
        <f t="shared" si="5"/>
        <v>2880785.14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194">
        <v>2</v>
      </c>
      <c r="L82" s="38">
        <v>2880785.14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3" t="s">
        <v>268</v>
      </c>
      <c r="AG82" s="33">
        <v>2020</v>
      </c>
      <c r="AH82" s="34" t="s">
        <v>268</v>
      </c>
      <c r="BZ82" s="64"/>
      <c r="CD82" s="20" t="e">
        <f t="shared" si="9"/>
        <v>#N/A</v>
      </c>
      <c r="CE82" s="88" t="s">
        <v>1198</v>
      </c>
      <c r="CF82" s="88">
        <v>953.5</v>
      </c>
    </row>
    <row r="83" spans="1:84" ht="61.5" x14ac:dyDescent="0.85">
      <c r="A83" s="20">
        <v>1</v>
      </c>
      <c r="B83" s="60">
        <f>SUBTOTAL(103,$A$22:A83)</f>
        <v>62</v>
      </c>
      <c r="C83" s="24" t="s">
        <v>1111</v>
      </c>
      <c r="D83" s="31">
        <f t="shared" si="5"/>
        <v>3859190.52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194">
        <v>2</v>
      </c>
      <c r="L83" s="38">
        <v>3859190.52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33" t="s">
        <v>268</v>
      </c>
      <c r="AG83" s="33">
        <v>2020</v>
      </c>
      <c r="AH83" s="34" t="s">
        <v>268</v>
      </c>
      <c r="BZ83" s="64"/>
      <c r="CD83" s="20" t="e">
        <f t="shared" si="9"/>
        <v>#N/A</v>
      </c>
      <c r="CE83" s="88" t="s">
        <v>1206</v>
      </c>
      <c r="CF83" s="88">
        <v>738.92</v>
      </c>
    </row>
    <row r="84" spans="1:84" ht="61.5" x14ac:dyDescent="0.85">
      <c r="A84" s="20">
        <v>1</v>
      </c>
      <c r="B84" s="60">
        <f>SUBTOTAL(103,$A$22:A84)</f>
        <v>63</v>
      </c>
      <c r="C84" s="24" t="s">
        <v>1114</v>
      </c>
      <c r="D84" s="31">
        <f t="shared" si="5"/>
        <v>216770.67</v>
      </c>
      <c r="E84" s="144">
        <v>87007.41</v>
      </c>
      <c r="F84" s="31">
        <v>0</v>
      </c>
      <c r="G84" s="31">
        <v>0</v>
      </c>
      <c r="H84" s="144">
        <v>126575.53</v>
      </c>
      <c r="I84" s="31">
        <v>0</v>
      </c>
      <c r="J84" s="31">
        <v>0</v>
      </c>
      <c r="K84" s="67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3187.73</v>
      </c>
      <c r="AD84" s="31">
        <v>0</v>
      </c>
      <c r="AE84" s="31">
        <v>0</v>
      </c>
      <c r="AF84" s="33" t="s">
        <v>268</v>
      </c>
      <c r="AG84" s="33">
        <v>2020</v>
      </c>
      <c r="AH84" s="34">
        <v>2020</v>
      </c>
      <c r="BZ84" s="64"/>
      <c r="CD84" s="20" t="e">
        <f t="shared" si="9"/>
        <v>#N/A</v>
      </c>
      <c r="CE84" s="88" t="s">
        <v>1535</v>
      </c>
      <c r="CF84" s="88">
        <v>275.39999999999998</v>
      </c>
    </row>
    <row r="85" spans="1:84" ht="61.5" x14ac:dyDescent="0.85">
      <c r="A85" s="20">
        <v>1</v>
      </c>
      <c r="B85" s="60">
        <f>SUBTOTAL(103,$A$22:A85)</f>
        <v>64</v>
      </c>
      <c r="C85" s="24" t="s">
        <v>1120</v>
      </c>
      <c r="D85" s="31">
        <f t="shared" si="5"/>
        <v>3764827.4299999997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67">
        <v>0</v>
      </c>
      <c r="L85" s="31">
        <v>0</v>
      </c>
      <c r="M85" s="38">
        <v>1174</v>
      </c>
      <c r="N85" s="38">
        <v>3713580.03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8">
        <v>51247.4</v>
      </c>
      <c r="AD85" s="31">
        <v>0</v>
      </c>
      <c r="AE85" s="31">
        <v>0</v>
      </c>
      <c r="AF85" s="33" t="s">
        <v>268</v>
      </c>
      <c r="AG85" s="33">
        <v>2020</v>
      </c>
      <c r="AH85" s="34">
        <v>2020</v>
      </c>
      <c r="BZ85" s="64"/>
      <c r="CD85" s="20">
        <f t="shared" si="9"/>
        <v>1124.75</v>
      </c>
      <c r="CE85" s="88" t="s">
        <v>1545</v>
      </c>
      <c r="CF85" s="88">
        <v>344.5</v>
      </c>
    </row>
    <row r="86" spans="1:84" ht="61.5" x14ac:dyDescent="0.85">
      <c r="A86" s="20">
        <v>1</v>
      </c>
      <c r="B86" s="60">
        <f>SUBTOTAL(103,$A$22:A86)</f>
        <v>65</v>
      </c>
      <c r="C86" s="24" t="s">
        <v>1121</v>
      </c>
      <c r="D86" s="31">
        <f t="shared" si="5"/>
        <v>3712372.02</v>
      </c>
      <c r="E86" s="31">
        <v>0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67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8">
        <v>820</v>
      </c>
      <c r="R86" s="38">
        <v>3657509.38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8">
        <v>54862.64</v>
      </c>
      <c r="AD86" s="31">
        <v>0</v>
      </c>
      <c r="AE86" s="31">
        <v>0</v>
      </c>
      <c r="AF86" s="33" t="s">
        <v>268</v>
      </c>
      <c r="AG86" s="33">
        <v>2020</v>
      </c>
      <c r="AH86" s="34">
        <v>2020</v>
      </c>
      <c r="BZ86" s="64"/>
      <c r="CD86" s="20" t="e">
        <f t="shared" si="9"/>
        <v>#N/A</v>
      </c>
      <c r="CE86" s="88" t="s">
        <v>1214</v>
      </c>
      <c r="CF86" s="88">
        <v>374.3</v>
      </c>
    </row>
    <row r="87" spans="1:84" ht="61.5" x14ac:dyDescent="0.85">
      <c r="A87" s="20">
        <v>1</v>
      </c>
      <c r="B87" s="60">
        <f>SUBTOTAL(103,$A$22:A87)</f>
        <v>66</v>
      </c>
      <c r="C87" s="24" t="s">
        <v>1122</v>
      </c>
      <c r="D87" s="31">
        <f t="shared" ref="D87:D115" si="10">E87+F87+G87+H87+I87+J87+L87+N87+P87+R87+T87+U87+V87+W87+X87+Y87+Z87+AA87+AB87+AC87+AD87+AE87</f>
        <v>1900391.55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67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8">
        <v>516</v>
      </c>
      <c r="R87" s="38">
        <v>1872306.95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8">
        <v>28084.6</v>
      </c>
      <c r="AD87" s="31">
        <v>0</v>
      </c>
      <c r="AE87" s="31">
        <v>0</v>
      </c>
      <c r="AF87" s="33" t="s">
        <v>268</v>
      </c>
      <c r="AG87" s="33">
        <v>2020</v>
      </c>
      <c r="AH87" s="34">
        <v>2020</v>
      </c>
      <c r="BZ87" s="64"/>
      <c r="CD87" s="20" t="e">
        <f t="shared" si="9"/>
        <v>#N/A</v>
      </c>
      <c r="CE87" s="88" t="s">
        <v>1528</v>
      </c>
      <c r="CF87" s="88">
        <v>329.1</v>
      </c>
    </row>
    <row r="88" spans="1:84" ht="61.5" x14ac:dyDescent="0.85">
      <c r="A88" s="20">
        <v>1</v>
      </c>
      <c r="B88" s="60">
        <f>SUBTOTAL(103,$A$22:A88)</f>
        <v>67</v>
      </c>
      <c r="C88" s="24" t="s">
        <v>1123</v>
      </c>
      <c r="D88" s="31">
        <f t="shared" si="10"/>
        <v>2106147.9500000002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0</v>
      </c>
      <c r="K88" s="67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8">
        <v>559</v>
      </c>
      <c r="R88" s="38">
        <v>2075022.61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8">
        <v>31125.34</v>
      </c>
      <c r="AD88" s="31">
        <v>0</v>
      </c>
      <c r="AE88" s="31">
        <v>0</v>
      </c>
      <c r="AF88" s="33" t="s">
        <v>268</v>
      </c>
      <c r="AG88" s="33">
        <v>2020</v>
      </c>
      <c r="AH88" s="34">
        <v>2020</v>
      </c>
      <c r="BZ88" s="64"/>
      <c r="CD88" s="20" t="e">
        <f t="shared" si="9"/>
        <v>#N/A</v>
      </c>
      <c r="CE88" s="88" t="s">
        <v>1529</v>
      </c>
      <c r="CF88" s="88">
        <v>611</v>
      </c>
    </row>
    <row r="89" spans="1:84" ht="61.5" x14ac:dyDescent="0.85">
      <c r="A89" s="20">
        <v>1</v>
      </c>
      <c r="B89" s="60">
        <f>SUBTOTAL(103,$A$22:A89)</f>
        <v>68</v>
      </c>
      <c r="C89" s="24" t="s">
        <v>1124</v>
      </c>
      <c r="D89" s="31">
        <f t="shared" si="10"/>
        <v>2813385.7399999998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67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8">
        <v>1522.8</v>
      </c>
      <c r="R89" s="38">
        <v>2771808.61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8">
        <v>41577.129999999997</v>
      </c>
      <c r="AD89" s="31">
        <v>0</v>
      </c>
      <c r="AE89" s="31">
        <v>0</v>
      </c>
      <c r="AF89" s="33" t="s">
        <v>268</v>
      </c>
      <c r="AG89" s="33">
        <v>2020</v>
      </c>
      <c r="AH89" s="34">
        <v>2020</v>
      </c>
      <c r="BZ89" s="64"/>
      <c r="CD89" s="20" t="e">
        <f t="shared" si="9"/>
        <v>#N/A</v>
      </c>
      <c r="CE89" s="88" t="s">
        <v>1543</v>
      </c>
      <c r="CF89" s="88">
        <v>606</v>
      </c>
    </row>
    <row r="90" spans="1:84" ht="61.5" x14ac:dyDescent="0.85">
      <c r="A90" s="20">
        <v>1</v>
      </c>
      <c r="B90" s="60">
        <f>SUBTOTAL(103,$A$22:A90)</f>
        <v>69</v>
      </c>
      <c r="C90" s="24" t="s">
        <v>1125</v>
      </c>
      <c r="D90" s="31">
        <f t="shared" si="10"/>
        <v>2278510.5799999996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67">
        <v>0</v>
      </c>
      <c r="L90" s="31">
        <v>0</v>
      </c>
      <c r="M90" s="38">
        <v>556.6</v>
      </c>
      <c r="N90" s="38">
        <v>2244838.0099999998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8">
        <v>33672.57</v>
      </c>
      <c r="AD90" s="31">
        <v>0</v>
      </c>
      <c r="AE90" s="31">
        <v>0</v>
      </c>
      <c r="AF90" s="33" t="s">
        <v>268</v>
      </c>
      <c r="AG90" s="33">
        <v>2020</v>
      </c>
      <c r="AH90" s="34">
        <v>2020</v>
      </c>
      <c r="BZ90" s="64"/>
      <c r="CD90" s="20">
        <f t="shared" si="9"/>
        <v>556.6</v>
      </c>
      <c r="CE90" s="88" t="s">
        <v>1530</v>
      </c>
      <c r="CF90" s="88">
        <v>249</v>
      </c>
    </row>
    <row r="91" spans="1:84" ht="61.5" x14ac:dyDescent="0.85">
      <c r="A91" s="20">
        <v>1</v>
      </c>
      <c r="B91" s="60">
        <f>SUBTOTAL(103,$A$22:A91)</f>
        <v>70</v>
      </c>
      <c r="C91" s="24" t="s">
        <v>1126</v>
      </c>
      <c r="D91" s="31">
        <f t="shared" si="10"/>
        <v>2391493.25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67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8">
        <v>643</v>
      </c>
      <c r="R91" s="38">
        <v>2356150.9900000002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8">
        <v>35342.26</v>
      </c>
      <c r="AD91" s="31">
        <v>0</v>
      </c>
      <c r="AE91" s="31">
        <v>0</v>
      </c>
      <c r="AF91" s="33" t="s">
        <v>268</v>
      </c>
      <c r="AG91" s="33">
        <v>2020</v>
      </c>
      <c r="AH91" s="34">
        <v>2020</v>
      </c>
      <c r="BZ91" s="64"/>
      <c r="CD91" s="20" t="e">
        <f t="shared" si="9"/>
        <v>#N/A</v>
      </c>
      <c r="CE91" s="88" t="s">
        <v>1531</v>
      </c>
      <c r="CF91" s="88">
        <v>309</v>
      </c>
    </row>
    <row r="92" spans="1:84" ht="61.5" x14ac:dyDescent="0.85">
      <c r="A92" s="20">
        <v>1</v>
      </c>
      <c r="B92" s="60">
        <f>SUBTOTAL(103,$A$22:A92)</f>
        <v>71</v>
      </c>
      <c r="C92" s="24" t="s">
        <v>1128</v>
      </c>
      <c r="D92" s="31">
        <f t="shared" si="10"/>
        <v>4355328.45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67">
        <v>0</v>
      </c>
      <c r="L92" s="31">
        <v>0</v>
      </c>
      <c r="M92" s="144">
        <v>1083.7</v>
      </c>
      <c r="N92" s="144">
        <v>4291281.08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0">
        <f>ROUND((E92+F92+G92+H92+I92+J92+N92+P92+R92+T92+U92+V92+W92+X92+Y92+Z92+AA92+AB92)*1.4925%,2)</f>
        <v>64047.37</v>
      </c>
      <c r="AD92" s="31">
        <v>0</v>
      </c>
      <c r="AE92" s="31">
        <v>0</v>
      </c>
      <c r="AF92" s="33" t="s">
        <v>268</v>
      </c>
      <c r="AG92" s="33">
        <v>2020</v>
      </c>
      <c r="AH92" s="34">
        <v>2020</v>
      </c>
      <c r="BZ92" s="64"/>
      <c r="CD92" s="20" t="e">
        <f t="shared" si="9"/>
        <v>#N/A</v>
      </c>
      <c r="CE92" s="88" t="s">
        <v>1550</v>
      </c>
      <c r="CF92" s="88">
        <v>762.8</v>
      </c>
    </row>
    <row r="93" spans="1:84" ht="61.5" x14ac:dyDescent="0.85">
      <c r="A93" s="20">
        <v>1</v>
      </c>
      <c r="B93" s="60">
        <f>SUBTOTAL(103,$A$22:A93)</f>
        <v>72</v>
      </c>
      <c r="C93" s="24" t="s">
        <v>1131</v>
      </c>
      <c r="D93" s="31">
        <f t="shared" si="10"/>
        <v>1505981.24</v>
      </c>
      <c r="E93" s="31">
        <v>0</v>
      </c>
      <c r="F93" s="31">
        <v>0</v>
      </c>
      <c r="G93" s="31">
        <v>0</v>
      </c>
      <c r="H93" s="31">
        <v>0</v>
      </c>
      <c r="I93" s="31">
        <v>0</v>
      </c>
      <c r="J93" s="31">
        <v>0</v>
      </c>
      <c r="K93" s="67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8">
        <v>680</v>
      </c>
      <c r="R93" s="38">
        <v>1483835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8">
        <v>22146.240000000002</v>
      </c>
      <c r="AD93" s="31">
        <v>0</v>
      </c>
      <c r="AE93" s="31">
        <v>0</v>
      </c>
      <c r="AF93" s="33" t="s">
        <v>268</v>
      </c>
      <c r="AG93" s="33">
        <v>2020</v>
      </c>
      <c r="AH93" s="34">
        <v>2020</v>
      </c>
      <c r="BZ93" s="64"/>
      <c r="CD93" s="20" t="e">
        <f t="shared" si="9"/>
        <v>#N/A</v>
      </c>
      <c r="CE93" s="88" t="s">
        <v>115</v>
      </c>
      <c r="CF93" s="88">
        <v>1256.9000000000001</v>
      </c>
    </row>
    <row r="94" spans="1:84" ht="61.5" x14ac:dyDescent="0.85">
      <c r="A94" s="20">
        <v>1</v>
      </c>
      <c r="B94" s="60">
        <f>SUBTOTAL(103,$A$22:A94)</f>
        <v>73</v>
      </c>
      <c r="C94" s="24" t="s">
        <v>1132</v>
      </c>
      <c r="D94" s="31">
        <f t="shared" si="10"/>
        <v>820883.7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67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8">
        <v>432</v>
      </c>
      <c r="R94" s="38">
        <v>760754.47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0">
        <f>ROUND((E94+F94+G94+H94+I94+J94+N94+P94+R94+T94+U94+V94+W94+X94+Y94+Z94+AA94+AB94)*1.4925%,2)</f>
        <v>11354.26</v>
      </c>
      <c r="AD94" s="38">
        <v>48774.97</v>
      </c>
      <c r="AE94" s="31">
        <v>0</v>
      </c>
      <c r="AF94" s="33">
        <v>2020</v>
      </c>
      <c r="AG94" s="33">
        <v>2020</v>
      </c>
      <c r="AH94" s="34">
        <v>2020</v>
      </c>
      <c r="BZ94" s="64"/>
      <c r="CD94" s="20" t="e">
        <f t="shared" si="9"/>
        <v>#N/A</v>
      </c>
      <c r="CE94" s="88" t="s">
        <v>1221</v>
      </c>
      <c r="CF94" s="88">
        <v>1150.3</v>
      </c>
    </row>
    <row r="95" spans="1:84" ht="61.5" x14ac:dyDescent="0.85">
      <c r="A95" s="20">
        <v>1</v>
      </c>
      <c r="B95" s="60">
        <f>SUBTOTAL(103,$A$22:A95)</f>
        <v>74</v>
      </c>
      <c r="C95" s="24" t="s">
        <v>1541</v>
      </c>
      <c r="D95" s="31">
        <f t="shared" si="10"/>
        <v>1677475.96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67">
        <v>0</v>
      </c>
      <c r="L95" s="31">
        <v>0</v>
      </c>
      <c r="M95" s="195">
        <v>466.12</v>
      </c>
      <c r="N95" s="195">
        <v>1677475.96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0</v>
      </c>
      <c r="AF95" s="33" t="s">
        <v>268</v>
      </c>
      <c r="AG95" s="33">
        <v>2020</v>
      </c>
      <c r="AH95" s="34" t="s">
        <v>268</v>
      </c>
      <c r="BZ95" s="64"/>
      <c r="CD95" s="20">
        <f t="shared" si="9"/>
        <v>466.12</v>
      </c>
      <c r="CE95" s="88" t="s">
        <v>1222</v>
      </c>
      <c r="CF95" s="88">
        <v>763.8</v>
      </c>
    </row>
    <row r="96" spans="1:84" ht="61.5" x14ac:dyDescent="0.85">
      <c r="A96" s="20">
        <v>1</v>
      </c>
      <c r="B96" s="60">
        <f>SUBTOTAL(103,$A$22:A96)</f>
        <v>75</v>
      </c>
      <c r="C96" s="24" t="s">
        <v>1537</v>
      </c>
      <c r="D96" s="31">
        <f t="shared" si="10"/>
        <v>3647517.81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67">
        <v>0</v>
      </c>
      <c r="L96" s="31">
        <v>0</v>
      </c>
      <c r="M96" s="195">
        <v>859</v>
      </c>
      <c r="N96" s="195">
        <v>3593879.16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8">
        <v>53638.65</v>
      </c>
      <c r="AD96" s="31">
        <v>0</v>
      </c>
      <c r="AE96" s="31">
        <v>0</v>
      </c>
      <c r="AF96" s="33" t="s">
        <v>268</v>
      </c>
      <c r="AG96" s="33">
        <v>2020</v>
      </c>
      <c r="AH96" s="34">
        <v>2020</v>
      </c>
      <c r="BZ96" s="64"/>
      <c r="CD96" s="20">
        <f t="shared" si="9"/>
        <v>859</v>
      </c>
      <c r="CE96" s="88" t="s">
        <v>1223</v>
      </c>
      <c r="CF96" s="88">
        <v>461.1</v>
      </c>
    </row>
    <row r="97" spans="1:84" ht="61.5" x14ac:dyDescent="0.85">
      <c r="A97" s="20">
        <v>1</v>
      </c>
      <c r="B97" s="60">
        <f>SUBTOTAL(103,$A$22:A97)</f>
        <v>76</v>
      </c>
      <c r="C97" s="24" t="s">
        <v>1540</v>
      </c>
      <c r="D97" s="31">
        <f t="shared" si="10"/>
        <v>5096776.0799999991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67">
        <v>0</v>
      </c>
      <c r="L97" s="31">
        <v>0</v>
      </c>
      <c r="M97" s="195">
        <v>996</v>
      </c>
      <c r="N97" s="195">
        <v>5021454.2699999996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8">
        <v>75321.81</v>
      </c>
      <c r="AD97" s="31">
        <v>0</v>
      </c>
      <c r="AE97" s="31">
        <v>0</v>
      </c>
      <c r="AF97" s="33" t="s">
        <v>268</v>
      </c>
      <c r="AG97" s="33">
        <v>2020</v>
      </c>
      <c r="AH97" s="34">
        <v>2020</v>
      </c>
      <c r="BZ97" s="64"/>
      <c r="CD97" s="20">
        <f t="shared" si="9"/>
        <v>1004.3</v>
      </c>
      <c r="CE97" s="88" t="s">
        <v>1225</v>
      </c>
      <c r="CF97" s="88">
        <v>1528.9</v>
      </c>
    </row>
    <row r="98" spans="1:84" ht="61.5" x14ac:dyDescent="0.85">
      <c r="A98" s="20">
        <v>1</v>
      </c>
      <c r="B98" s="60">
        <f>SUBTOTAL(103,$A$22:A98)</f>
        <v>77</v>
      </c>
      <c r="C98" s="24" t="s">
        <v>1536</v>
      </c>
      <c r="D98" s="31">
        <f t="shared" si="10"/>
        <v>3789473.9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67">
        <v>0</v>
      </c>
      <c r="L98" s="31">
        <v>0</v>
      </c>
      <c r="M98" s="195">
        <v>1028.5</v>
      </c>
      <c r="N98" s="195">
        <v>3733471.82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195">
        <v>56002.080000000002</v>
      </c>
      <c r="AD98" s="31">
        <v>0</v>
      </c>
      <c r="AE98" s="31">
        <v>0</v>
      </c>
      <c r="AF98" s="33" t="s">
        <v>268</v>
      </c>
      <c r="AG98" s="33">
        <v>2020</v>
      </c>
      <c r="AH98" s="34">
        <v>2020</v>
      </c>
      <c r="BZ98" s="64"/>
      <c r="CD98" s="20">
        <f t="shared" si="9"/>
        <v>1028.5</v>
      </c>
      <c r="CE98" s="88" t="s">
        <v>120</v>
      </c>
      <c r="CF98" s="88">
        <v>541.1</v>
      </c>
    </row>
    <row r="99" spans="1:84" ht="61.5" x14ac:dyDescent="0.85">
      <c r="A99" s="20">
        <v>1</v>
      </c>
      <c r="B99" s="60">
        <f>SUBTOTAL(103,$A$22:A99)</f>
        <v>78</v>
      </c>
      <c r="C99" s="24" t="s">
        <v>1526</v>
      </c>
      <c r="D99" s="31">
        <f t="shared" si="10"/>
        <v>597387.81000000006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67">
        <v>0</v>
      </c>
      <c r="L99" s="31">
        <v>0</v>
      </c>
      <c r="M99" s="195">
        <v>294</v>
      </c>
      <c r="N99" s="195">
        <v>588602.91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8">
        <v>8784.9</v>
      </c>
      <c r="AD99" s="31">
        <v>0</v>
      </c>
      <c r="AE99" s="31">
        <v>0</v>
      </c>
      <c r="AF99" s="33" t="s">
        <v>268</v>
      </c>
      <c r="AG99" s="33">
        <v>2020</v>
      </c>
      <c r="AH99" s="34">
        <v>2020</v>
      </c>
      <c r="BZ99" s="64"/>
      <c r="CD99" s="20">
        <f t="shared" si="9"/>
        <v>334.8</v>
      </c>
      <c r="CE99" s="88" t="s">
        <v>170</v>
      </c>
      <c r="CF99" s="88">
        <v>678.3</v>
      </c>
    </row>
    <row r="100" spans="1:84" ht="61.5" x14ac:dyDescent="0.85">
      <c r="A100" s="20">
        <v>1</v>
      </c>
      <c r="B100" s="60">
        <f>SUBTOTAL(103,$A$22:A100)</f>
        <v>79</v>
      </c>
      <c r="C100" s="24" t="s">
        <v>1538</v>
      </c>
      <c r="D100" s="31">
        <f t="shared" si="10"/>
        <v>4468866.21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67">
        <v>0</v>
      </c>
      <c r="L100" s="31">
        <v>0</v>
      </c>
      <c r="M100" s="38">
        <v>1545</v>
      </c>
      <c r="N100" s="38">
        <v>4403149.21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8">
        <v>65717</v>
      </c>
      <c r="AD100" s="31">
        <v>0</v>
      </c>
      <c r="AE100" s="31">
        <v>0</v>
      </c>
      <c r="AF100" s="33" t="s">
        <v>268</v>
      </c>
      <c r="AG100" s="33">
        <v>2020</v>
      </c>
      <c r="AH100" s="34">
        <v>2020</v>
      </c>
      <c r="BZ100" s="64"/>
      <c r="CD100" s="20">
        <f t="shared" si="9"/>
        <v>1585</v>
      </c>
      <c r="CE100" s="88" t="s">
        <v>1231</v>
      </c>
      <c r="CF100" s="88">
        <v>975.2</v>
      </c>
    </row>
    <row r="101" spans="1:84" ht="61.5" x14ac:dyDescent="0.85">
      <c r="A101" s="20">
        <v>1</v>
      </c>
      <c r="B101" s="60">
        <f>SUBTOTAL(103,$A$22:A101)</f>
        <v>80</v>
      </c>
      <c r="C101" s="24" t="s">
        <v>1539</v>
      </c>
      <c r="D101" s="31">
        <f t="shared" si="10"/>
        <v>6330505.6400000006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67">
        <v>0</v>
      </c>
      <c r="L101" s="31">
        <v>0</v>
      </c>
      <c r="M101" s="195">
        <v>1663.4</v>
      </c>
      <c r="N101" s="195">
        <v>6142341.9000000004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195">
        <v>91674.45</v>
      </c>
      <c r="AD101" s="38">
        <v>96489.29</v>
      </c>
      <c r="AE101" s="31">
        <v>0</v>
      </c>
      <c r="AF101" s="33">
        <v>2020</v>
      </c>
      <c r="AG101" s="33">
        <v>2020</v>
      </c>
      <c r="AH101" s="34">
        <v>2020</v>
      </c>
      <c r="BZ101" s="64"/>
      <c r="CD101" s="20" t="e">
        <f t="shared" si="9"/>
        <v>#N/A</v>
      </c>
      <c r="CE101" s="88" t="s">
        <v>1232</v>
      </c>
      <c r="CF101" s="88">
        <v>600</v>
      </c>
    </row>
    <row r="102" spans="1:84" ht="61.5" x14ac:dyDescent="0.85">
      <c r="A102" s="20">
        <v>1</v>
      </c>
      <c r="B102" s="60">
        <f>SUBTOTAL(103,$A$22:A102)</f>
        <v>81</v>
      </c>
      <c r="C102" s="24" t="s">
        <v>1527</v>
      </c>
      <c r="D102" s="31">
        <f t="shared" si="10"/>
        <v>1913423.73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67">
        <v>0</v>
      </c>
      <c r="L102" s="31">
        <v>0</v>
      </c>
      <c r="M102" s="195">
        <v>508</v>
      </c>
      <c r="N102" s="195">
        <v>1913423.73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3" t="s">
        <v>268</v>
      </c>
      <c r="AG102" s="33">
        <v>2020</v>
      </c>
      <c r="AH102" s="34" t="s">
        <v>268</v>
      </c>
      <c r="BZ102" s="64"/>
      <c r="CD102" s="20">
        <f t="shared" si="9"/>
        <v>543.6</v>
      </c>
      <c r="CE102" s="88" t="s">
        <v>107</v>
      </c>
      <c r="CF102" s="88">
        <v>596.4</v>
      </c>
    </row>
    <row r="103" spans="1:84" ht="61.5" x14ac:dyDescent="0.85">
      <c r="A103" s="20">
        <v>1</v>
      </c>
      <c r="B103" s="60">
        <f>SUBTOTAL(103,$A$22:A103)</f>
        <v>82</v>
      </c>
      <c r="C103" s="24" t="s">
        <v>1581</v>
      </c>
      <c r="D103" s="31">
        <f t="shared" si="10"/>
        <v>1963557.73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67">
        <v>0</v>
      </c>
      <c r="L103" s="31">
        <v>0</v>
      </c>
      <c r="M103" s="86">
        <v>501.3</v>
      </c>
      <c r="N103" s="86">
        <v>1871204.38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0">
        <f>ROUND((E103+F103+G103+H103+I103+J103+N103+P103+R103+T103+U103+V103+W103+X103+Y103+Z103+AA103+AB103)*1.38%,2)</f>
        <v>25822.62</v>
      </c>
      <c r="AD103" s="38">
        <v>66530.73</v>
      </c>
      <c r="AE103" s="31">
        <v>0</v>
      </c>
      <c r="AF103" s="33">
        <v>2020</v>
      </c>
      <c r="AG103" s="33">
        <v>2020</v>
      </c>
      <c r="AH103" s="33">
        <v>2020</v>
      </c>
      <c r="BZ103" s="64"/>
      <c r="CD103" s="20" t="e">
        <f t="shared" si="9"/>
        <v>#N/A</v>
      </c>
      <c r="CE103" s="88" t="s">
        <v>109</v>
      </c>
      <c r="CF103" s="88">
        <v>936.1</v>
      </c>
    </row>
    <row r="104" spans="1:84" ht="61.5" x14ac:dyDescent="0.85">
      <c r="A104" s="20">
        <v>1</v>
      </c>
      <c r="B104" s="60">
        <f>SUBTOTAL(103,$A$22:A104)</f>
        <v>83</v>
      </c>
      <c r="C104" s="24" t="s">
        <v>1583</v>
      </c>
      <c r="D104" s="31">
        <f t="shared" si="10"/>
        <v>86742.97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67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8">
        <v>86742.97</v>
      </c>
      <c r="AE104" s="31">
        <v>0</v>
      </c>
      <c r="AF104" s="33">
        <v>2020</v>
      </c>
      <c r="AG104" s="34" t="s">
        <v>268</v>
      </c>
      <c r="AH104" s="34" t="s">
        <v>268</v>
      </c>
      <c r="BZ104" s="64"/>
      <c r="CD104" s="20" t="e">
        <f t="shared" si="9"/>
        <v>#N/A</v>
      </c>
      <c r="CE104" s="88" t="s">
        <v>1235</v>
      </c>
      <c r="CF104" s="88">
        <v>901.42</v>
      </c>
    </row>
    <row r="105" spans="1:84" ht="61.5" x14ac:dyDescent="0.85">
      <c r="A105" s="20">
        <v>1</v>
      </c>
      <c r="B105" s="60">
        <f>SUBTOTAL(103,$A$22:A105)</f>
        <v>84</v>
      </c>
      <c r="C105" s="24" t="s">
        <v>1585</v>
      </c>
      <c r="D105" s="31">
        <f t="shared" si="10"/>
        <v>70589.929999999993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67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8">
        <v>70589.929999999993</v>
      </c>
      <c r="AE105" s="31">
        <v>0</v>
      </c>
      <c r="AF105" s="33">
        <v>2020</v>
      </c>
      <c r="AG105" s="34" t="s">
        <v>268</v>
      </c>
      <c r="AH105" s="34" t="s">
        <v>268</v>
      </c>
      <c r="BZ105" s="64"/>
      <c r="CD105" s="20" t="e">
        <f t="shared" ref="CD105:CD136" si="11">VLOOKUP(C105,CE:CF,2,FALSE)</f>
        <v>#N/A</v>
      </c>
      <c r="CE105" s="88" t="s">
        <v>43</v>
      </c>
      <c r="CF105" s="88">
        <v>566</v>
      </c>
    </row>
    <row r="106" spans="1:84" ht="61.5" x14ac:dyDescent="0.85">
      <c r="A106" s="20">
        <v>1</v>
      </c>
      <c r="B106" s="60">
        <f>SUBTOTAL(103,$A$22:A106)</f>
        <v>85</v>
      </c>
      <c r="C106" s="24" t="s">
        <v>1586</v>
      </c>
      <c r="D106" s="31">
        <f t="shared" si="10"/>
        <v>2062889.95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67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8">
        <v>780</v>
      </c>
      <c r="R106" s="38">
        <v>1965144.06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8">
        <v>27118.99</v>
      </c>
      <c r="AD106" s="144">
        <v>70626.899999999994</v>
      </c>
      <c r="AE106" s="31">
        <v>0</v>
      </c>
      <c r="AF106" s="33">
        <v>2020</v>
      </c>
      <c r="AG106" s="33">
        <v>2020</v>
      </c>
      <c r="AH106" s="34">
        <v>2020</v>
      </c>
      <c r="BZ106" s="64"/>
      <c r="CD106" s="20" t="e">
        <f t="shared" si="11"/>
        <v>#N/A</v>
      </c>
      <c r="CE106" s="88" t="s">
        <v>45</v>
      </c>
      <c r="CF106" s="88">
        <v>562</v>
      </c>
    </row>
    <row r="107" spans="1:84" ht="61.5" x14ac:dyDescent="0.85">
      <c r="A107" s="20">
        <v>1</v>
      </c>
      <c r="B107" s="60">
        <f>SUBTOTAL(103,$A$22:A107)</f>
        <v>86</v>
      </c>
      <c r="C107" s="24" t="s">
        <v>1608</v>
      </c>
      <c r="D107" s="31">
        <f t="shared" si="10"/>
        <v>1414038.2200000002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67">
        <v>0</v>
      </c>
      <c r="L107" s="31">
        <v>0</v>
      </c>
      <c r="M107" s="38">
        <v>289</v>
      </c>
      <c r="N107" s="38">
        <v>1394790.12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8">
        <v>19248.099999999999</v>
      </c>
      <c r="AD107" s="31">
        <v>0</v>
      </c>
      <c r="AE107" s="31">
        <v>0</v>
      </c>
      <c r="AF107" s="33" t="s">
        <v>268</v>
      </c>
      <c r="AG107" s="33">
        <v>2020</v>
      </c>
      <c r="AH107" s="34">
        <v>2020</v>
      </c>
      <c r="BZ107" s="64"/>
      <c r="CD107" s="20" t="e">
        <f t="shared" si="11"/>
        <v>#N/A</v>
      </c>
      <c r="CE107" s="88" t="s">
        <v>1248</v>
      </c>
      <c r="CF107" s="88">
        <v>454</v>
      </c>
    </row>
    <row r="108" spans="1:84" ht="61.5" x14ac:dyDescent="0.85">
      <c r="A108" s="20">
        <v>1</v>
      </c>
      <c r="B108" s="60">
        <f>SUBTOTAL(103,$A$22:A108)</f>
        <v>87</v>
      </c>
      <c r="C108" s="24" t="s">
        <v>1609</v>
      </c>
      <c r="D108" s="31">
        <f t="shared" si="10"/>
        <v>2070332.01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196">
        <v>1</v>
      </c>
      <c r="L108" s="86">
        <v>1961754.06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86">
        <v>108577.95</v>
      </c>
      <c r="AE108" s="31">
        <v>0</v>
      </c>
      <c r="AF108" s="33">
        <v>2020</v>
      </c>
      <c r="AG108" s="33">
        <v>2020</v>
      </c>
      <c r="AH108" s="34" t="s">
        <v>268</v>
      </c>
      <c r="BZ108" s="64"/>
      <c r="CD108" s="20" t="e">
        <f t="shared" si="11"/>
        <v>#N/A</v>
      </c>
      <c r="CE108" s="88" t="s">
        <v>42</v>
      </c>
      <c r="CF108" s="88">
        <v>595</v>
      </c>
    </row>
    <row r="109" spans="1:84" ht="61.5" x14ac:dyDescent="0.85">
      <c r="A109" s="20">
        <v>1</v>
      </c>
      <c r="B109" s="60">
        <f>SUBTOTAL(103,$A$22:A109)</f>
        <v>88</v>
      </c>
      <c r="C109" s="24" t="s">
        <v>1119</v>
      </c>
      <c r="D109" s="31">
        <f t="shared" si="10"/>
        <v>3278227.2600000002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67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8">
        <v>1778.5</v>
      </c>
      <c r="R109" s="38">
        <f>2245405.85+985539.87</f>
        <v>3230945.72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197">
        <f>33681.09+13600.45</f>
        <v>47281.539999999994</v>
      </c>
      <c r="AD109" s="31">
        <v>0</v>
      </c>
      <c r="AE109" s="31">
        <v>0</v>
      </c>
      <c r="AF109" s="33" t="s">
        <v>268</v>
      </c>
      <c r="AG109" s="33">
        <v>2020</v>
      </c>
      <c r="AH109" s="34">
        <v>2020</v>
      </c>
      <c r="BZ109" s="64"/>
      <c r="CD109" s="20" t="e">
        <f t="shared" si="11"/>
        <v>#N/A</v>
      </c>
    </row>
    <row r="110" spans="1:84" ht="61.5" x14ac:dyDescent="0.85">
      <c r="A110" s="20">
        <v>1</v>
      </c>
      <c r="B110" s="60">
        <f>SUBTOTAL(103,$A$22:A110)</f>
        <v>89</v>
      </c>
      <c r="C110" s="24" t="s">
        <v>532</v>
      </c>
      <c r="D110" s="31">
        <f t="shared" si="10"/>
        <v>1702747.3199999998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67">
        <v>1</v>
      </c>
      <c r="L110" s="31">
        <v>1631846.65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70900.67</v>
      </c>
      <c r="AE110" s="31">
        <v>0</v>
      </c>
      <c r="AF110" s="33">
        <v>2020</v>
      </c>
      <c r="AG110" s="33">
        <v>2020</v>
      </c>
      <c r="AH110" s="34" t="s">
        <v>268</v>
      </c>
      <c r="AT110" s="20" t="e">
        <f>VLOOKUP(C110,AW:AX,2,FALSE)</f>
        <v>#N/A</v>
      </c>
      <c r="BZ110" s="64"/>
      <c r="CD110" s="20" t="e">
        <f t="shared" si="11"/>
        <v>#N/A</v>
      </c>
    </row>
    <row r="111" spans="1:84" ht="61.5" x14ac:dyDescent="0.85">
      <c r="A111" s="20">
        <v>1</v>
      </c>
      <c r="B111" s="60">
        <f>SUBTOTAL(103,$A$22:A111)</f>
        <v>90</v>
      </c>
      <c r="C111" s="24" t="s">
        <v>533</v>
      </c>
      <c r="D111" s="31">
        <f t="shared" si="10"/>
        <v>1698388.8199999998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67">
        <v>1</v>
      </c>
      <c r="L111" s="31">
        <v>1627567.91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70820.91</v>
      </c>
      <c r="AE111" s="31">
        <v>0</v>
      </c>
      <c r="AF111" s="33">
        <v>2020</v>
      </c>
      <c r="AG111" s="33">
        <v>2020</v>
      </c>
      <c r="AH111" s="34" t="s">
        <v>268</v>
      </c>
      <c r="AT111" s="20" t="e">
        <f>VLOOKUP(C111,AW:AX,2,FALSE)</f>
        <v>#N/A</v>
      </c>
      <c r="BZ111" s="64"/>
      <c r="CD111" s="20" t="e">
        <f t="shared" si="11"/>
        <v>#N/A</v>
      </c>
    </row>
    <row r="112" spans="1:84" ht="61.5" x14ac:dyDescent="0.85">
      <c r="A112" s="20">
        <v>1</v>
      </c>
      <c r="B112" s="60">
        <f>SUBTOTAL(103,$A$22:A112)</f>
        <v>91</v>
      </c>
      <c r="C112" s="24" t="s">
        <v>1373</v>
      </c>
      <c r="D112" s="31">
        <f t="shared" si="10"/>
        <v>9902722.7999999989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67">
        <v>6</v>
      </c>
      <c r="L112" s="31">
        <f>1633824.21+1633824.21+1633824.21+1633824.21+1633824.21+1633824.21</f>
        <v>9802945.2599999998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99777.54</v>
      </c>
      <c r="AE112" s="31">
        <v>0</v>
      </c>
      <c r="AF112" s="33">
        <v>2020</v>
      </c>
      <c r="AG112" s="33">
        <v>2020</v>
      </c>
      <c r="AH112" s="34" t="s">
        <v>268</v>
      </c>
      <c r="BZ112" s="64"/>
      <c r="CD112" s="20" t="e">
        <f t="shared" si="11"/>
        <v>#N/A</v>
      </c>
    </row>
    <row r="113" spans="1:84" ht="61.5" x14ac:dyDescent="0.85">
      <c r="A113" s="20">
        <v>1</v>
      </c>
      <c r="B113" s="60">
        <f>SUBTOTAL(103,$A$22:A113)</f>
        <v>92</v>
      </c>
      <c r="C113" s="24" t="s">
        <v>547</v>
      </c>
      <c r="D113" s="31">
        <f t="shared" si="10"/>
        <v>1918155.32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67">
        <v>1</v>
      </c>
      <c r="L113" s="31">
        <v>1845694.58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72460.740000000005</v>
      </c>
      <c r="AE113" s="31">
        <v>0</v>
      </c>
      <c r="AF113" s="33">
        <v>2020</v>
      </c>
      <c r="AG113" s="33">
        <v>2020</v>
      </c>
      <c r="AH113" s="34" t="s">
        <v>268</v>
      </c>
      <c r="AT113" s="20" t="e">
        <f>VLOOKUP(C113,AW:AX,2,FALSE)</f>
        <v>#N/A</v>
      </c>
      <c r="BZ113" s="64"/>
      <c r="CD113" s="20" t="e">
        <f t="shared" si="11"/>
        <v>#N/A</v>
      </c>
    </row>
    <row r="114" spans="1:84" ht="61.5" x14ac:dyDescent="0.85">
      <c r="A114" s="20">
        <v>1</v>
      </c>
      <c r="B114" s="60">
        <f>SUBTOTAL(103,$A$22:A114)</f>
        <v>93</v>
      </c>
      <c r="C114" s="24" t="s">
        <v>1085</v>
      </c>
      <c r="D114" s="31">
        <f t="shared" si="10"/>
        <v>7396376.3500000006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67">
        <v>4</v>
      </c>
      <c r="L114" s="31">
        <f>1826169.04+1826169.04+1826169.04+1826169.04</f>
        <v>7304676.1600000001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91700.19</v>
      </c>
      <c r="AE114" s="31">
        <v>0</v>
      </c>
      <c r="AF114" s="33">
        <v>2020</v>
      </c>
      <c r="AG114" s="33">
        <v>2020</v>
      </c>
      <c r="AH114" s="34" t="s">
        <v>268</v>
      </c>
      <c r="BZ114" s="64"/>
      <c r="CD114" s="20" t="e">
        <f t="shared" si="11"/>
        <v>#N/A</v>
      </c>
    </row>
    <row r="115" spans="1:84" ht="61.5" x14ac:dyDescent="0.85">
      <c r="A115" s="20">
        <v>1</v>
      </c>
      <c r="B115" s="60">
        <f>SUBTOTAL(103,$A$22:A115)</f>
        <v>94</v>
      </c>
      <c r="C115" s="24" t="s">
        <v>555</v>
      </c>
      <c r="D115" s="31">
        <f t="shared" si="10"/>
        <v>1901891.1600000001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67">
        <v>1</v>
      </c>
      <c r="L115" s="31">
        <v>1830984.58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70906.58</v>
      </c>
      <c r="AE115" s="31">
        <v>0</v>
      </c>
      <c r="AF115" s="33">
        <v>2020</v>
      </c>
      <c r="AG115" s="33">
        <v>2020</v>
      </c>
      <c r="AH115" s="34" t="s">
        <v>268</v>
      </c>
      <c r="AT115" s="20" t="e">
        <f>VLOOKUP(C115,AW:AX,2,FALSE)</f>
        <v>#N/A</v>
      </c>
      <c r="BZ115" s="64"/>
      <c r="CD115" s="20" t="e">
        <f t="shared" si="11"/>
        <v>#N/A</v>
      </c>
    </row>
    <row r="116" spans="1:84" ht="61.5" x14ac:dyDescent="0.85">
      <c r="A116" s="20">
        <v>1</v>
      </c>
      <c r="B116" s="60">
        <f>SUBTOTAL(103,$A$22:A116)</f>
        <v>95</v>
      </c>
      <c r="C116" s="24" t="s">
        <v>1116</v>
      </c>
      <c r="D116" s="31">
        <f>E116+F116+G116+H116+I116+J116+L116+N116+P116+R116+T116+U116+V116+W116+X116+Y116+Z116+AA116+AB116+AC116+AD116+AE116</f>
        <v>814287.52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67">
        <v>0</v>
      </c>
      <c r="L116" s="31">
        <v>0</v>
      </c>
      <c r="M116" s="103">
        <v>523.98</v>
      </c>
      <c r="N116" s="103">
        <v>802313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103">
        <v>11974.52</v>
      </c>
      <c r="AD116" s="31">
        <v>0</v>
      </c>
      <c r="AE116" s="31">
        <v>0</v>
      </c>
      <c r="AF116" s="34" t="s">
        <v>268</v>
      </c>
      <c r="AG116" s="33">
        <v>2020</v>
      </c>
      <c r="AH116" s="33">
        <v>2020</v>
      </c>
      <c r="BZ116" s="64"/>
      <c r="CD116" s="20">
        <f t="shared" si="11"/>
        <v>523.98</v>
      </c>
    </row>
    <row r="117" spans="1:84" ht="61.5" x14ac:dyDescent="0.85">
      <c r="A117" s="20">
        <v>1</v>
      </c>
      <c r="B117" s="60">
        <f>SUBTOTAL(103,$A$22:A117)</f>
        <v>96</v>
      </c>
      <c r="C117" s="24" t="s">
        <v>1129</v>
      </c>
      <c r="D117" s="31">
        <f t="shared" ref="D117:D125" si="12">E117+F117+G117+H117+I117+J117+L117+N117+P117+R117+T117+U117+V117+W117+X117+Y117+Z117+AA117+AB117+AC117+AD117+AE117</f>
        <v>52271.7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67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8">
        <v>52271.7</v>
      </c>
      <c r="AE117" s="31">
        <v>0</v>
      </c>
      <c r="AF117" s="33">
        <v>2020</v>
      </c>
      <c r="AG117" s="34" t="s">
        <v>268</v>
      </c>
      <c r="AH117" s="34" t="s">
        <v>268</v>
      </c>
      <c r="BZ117" s="64"/>
      <c r="CD117" s="20" t="e">
        <f t="shared" si="11"/>
        <v>#N/A</v>
      </c>
    </row>
    <row r="118" spans="1:84" ht="61.5" x14ac:dyDescent="0.85">
      <c r="A118" s="20">
        <v>1</v>
      </c>
      <c r="B118" s="60">
        <f>SUBTOTAL(103,$A$22:A118)</f>
        <v>97</v>
      </c>
      <c r="C118" s="24" t="s">
        <v>485</v>
      </c>
      <c r="D118" s="31">
        <f t="shared" si="12"/>
        <v>83051.86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67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83051.86</v>
      </c>
      <c r="AE118" s="31">
        <v>0</v>
      </c>
      <c r="AF118" s="33">
        <v>2020</v>
      </c>
      <c r="AG118" s="34" t="s">
        <v>268</v>
      </c>
      <c r="AH118" s="34" t="s">
        <v>268</v>
      </c>
      <c r="BZ118" s="64"/>
      <c r="CD118" s="20" t="e">
        <f t="shared" si="11"/>
        <v>#N/A</v>
      </c>
    </row>
    <row r="119" spans="1:84" ht="61.5" x14ac:dyDescent="0.85">
      <c r="A119" s="20">
        <v>1</v>
      </c>
      <c r="B119" s="60">
        <f>SUBTOTAL(103,$A$22:A119)</f>
        <v>98</v>
      </c>
      <c r="C119" s="24" t="s">
        <v>1130</v>
      </c>
      <c r="D119" s="31">
        <f t="shared" si="12"/>
        <v>50689.120000000003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67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144">
        <v>50689.120000000003</v>
      </c>
      <c r="AE119" s="31">
        <v>0</v>
      </c>
      <c r="AF119" s="33">
        <v>2020</v>
      </c>
      <c r="AG119" s="34" t="s">
        <v>268</v>
      </c>
      <c r="AH119" s="34" t="s">
        <v>268</v>
      </c>
      <c r="BZ119" s="64"/>
      <c r="CD119" s="20" t="e">
        <f t="shared" si="11"/>
        <v>#N/A</v>
      </c>
    </row>
    <row r="120" spans="1:84" ht="61.5" x14ac:dyDescent="0.85">
      <c r="A120" s="20">
        <v>1</v>
      </c>
      <c r="B120" s="60">
        <f>SUBTOTAL(103,$A$22:A120)</f>
        <v>99</v>
      </c>
      <c r="C120" s="24" t="s">
        <v>499</v>
      </c>
      <c r="D120" s="31">
        <f t="shared" si="12"/>
        <v>95587.09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67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8">
        <v>95587.09</v>
      </c>
      <c r="AE120" s="31">
        <v>0</v>
      </c>
      <c r="AF120" s="33">
        <v>2020</v>
      </c>
      <c r="AG120" s="34" t="s">
        <v>268</v>
      </c>
      <c r="AH120" s="34" t="s">
        <v>268</v>
      </c>
      <c r="BZ120" s="64"/>
      <c r="CD120" s="20" t="e">
        <f t="shared" si="11"/>
        <v>#N/A</v>
      </c>
    </row>
    <row r="121" spans="1:84" ht="61.5" x14ac:dyDescent="0.85">
      <c r="A121" s="20">
        <v>1</v>
      </c>
      <c r="B121" s="60">
        <f>SUBTOTAL(103,$A$22:A121)</f>
        <v>100</v>
      </c>
      <c r="C121" s="24" t="s">
        <v>1064</v>
      </c>
      <c r="D121" s="31">
        <f t="shared" si="12"/>
        <v>79784.160000000003</v>
      </c>
      <c r="E121" s="31">
        <v>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67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79784.160000000003</v>
      </c>
      <c r="AE121" s="31">
        <v>0</v>
      </c>
      <c r="AF121" s="33">
        <v>2020</v>
      </c>
      <c r="AG121" s="34" t="s">
        <v>268</v>
      </c>
      <c r="AH121" s="34" t="s">
        <v>268</v>
      </c>
      <c r="BZ121" s="64"/>
      <c r="CD121" s="20" t="e">
        <f t="shared" si="11"/>
        <v>#N/A</v>
      </c>
    </row>
    <row r="122" spans="1:84" ht="61.5" x14ac:dyDescent="0.85">
      <c r="A122" s="20">
        <v>1</v>
      </c>
      <c r="B122" s="60">
        <f>SUBTOTAL(103,$A$22:A122)</f>
        <v>101</v>
      </c>
      <c r="C122" s="24" t="s">
        <v>1397</v>
      </c>
      <c r="D122" s="31">
        <f t="shared" si="12"/>
        <v>71679.100000000006</v>
      </c>
      <c r="E122" s="31">
        <v>0</v>
      </c>
      <c r="F122" s="31">
        <v>0</v>
      </c>
      <c r="G122" s="31">
        <v>0</v>
      </c>
      <c r="H122" s="31">
        <v>0</v>
      </c>
      <c r="I122" s="31">
        <v>0</v>
      </c>
      <c r="J122" s="31">
        <v>0</v>
      </c>
      <c r="K122" s="67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71679.100000000006</v>
      </c>
      <c r="AE122" s="31">
        <v>0</v>
      </c>
      <c r="AF122" s="33">
        <v>2020</v>
      </c>
      <c r="AG122" s="34" t="s">
        <v>268</v>
      </c>
      <c r="AH122" s="34" t="s">
        <v>268</v>
      </c>
      <c r="BZ122" s="64"/>
      <c r="CD122" s="20" t="e">
        <f t="shared" si="11"/>
        <v>#N/A</v>
      </c>
    </row>
    <row r="123" spans="1:84" ht="61.5" x14ac:dyDescent="0.85">
      <c r="A123" s="20">
        <v>1</v>
      </c>
      <c r="B123" s="60">
        <f>SUBTOTAL(103,$A$22:A123)</f>
        <v>102</v>
      </c>
      <c r="C123" s="24" t="s">
        <v>1370</v>
      </c>
      <c r="D123" s="31">
        <f t="shared" si="12"/>
        <v>55904.38</v>
      </c>
      <c r="E123" s="31">
        <v>0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67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55904.38</v>
      </c>
      <c r="AE123" s="31">
        <v>0</v>
      </c>
      <c r="AF123" s="33">
        <v>2020</v>
      </c>
      <c r="AG123" s="34" t="s">
        <v>268</v>
      </c>
      <c r="AH123" s="34" t="s">
        <v>268</v>
      </c>
      <c r="BZ123" s="64"/>
      <c r="CD123" s="20" t="e">
        <f t="shared" si="11"/>
        <v>#N/A</v>
      </c>
    </row>
    <row r="124" spans="1:84" ht="61.5" x14ac:dyDescent="0.85">
      <c r="A124" s="20">
        <v>1</v>
      </c>
      <c r="B124" s="60">
        <f>SUBTOTAL(103,$A$22:A124)</f>
        <v>103</v>
      </c>
      <c r="C124" s="24" t="s">
        <v>1685</v>
      </c>
      <c r="D124" s="31">
        <f t="shared" si="12"/>
        <v>100382.56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67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86">
        <v>100382.56</v>
      </c>
      <c r="AE124" s="31">
        <v>0</v>
      </c>
      <c r="AF124" s="33">
        <v>2020</v>
      </c>
      <c r="AG124" s="34" t="s">
        <v>268</v>
      </c>
      <c r="AH124" s="34" t="s">
        <v>268</v>
      </c>
      <c r="BZ124" s="64"/>
      <c r="CD124" s="20" t="e">
        <f t="shared" si="11"/>
        <v>#N/A</v>
      </c>
    </row>
    <row r="125" spans="1:84" ht="61.5" x14ac:dyDescent="0.85">
      <c r="A125" s="20">
        <v>1</v>
      </c>
      <c r="B125" s="60">
        <f>SUBTOTAL(103,$A$22:A125)</f>
        <v>104</v>
      </c>
      <c r="C125" s="24" t="s">
        <v>525</v>
      </c>
      <c r="D125" s="31">
        <f t="shared" si="12"/>
        <v>82721.55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67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8">
        <v>82721.55</v>
      </c>
      <c r="AE125" s="31">
        <v>0</v>
      </c>
      <c r="AF125" s="33">
        <v>2020</v>
      </c>
      <c r="AG125" s="33" t="s">
        <v>268</v>
      </c>
      <c r="AH125" s="34" t="s">
        <v>268</v>
      </c>
      <c r="AT125" s="20" t="e">
        <f t="shared" ref="AT125:AT139" si="13">VLOOKUP(C125,AW:AX,2,FALSE)</f>
        <v>#N/A</v>
      </c>
      <c r="BZ125" s="64"/>
      <c r="CD125" s="20">
        <f t="shared" si="11"/>
        <v>904</v>
      </c>
      <c r="CE125" s="88" t="s">
        <v>1283</v>
      </c>
      <c r="CF125" s="88">
        <v>1674.7</v>
      </c>
    </row>
    <row r="126" spans="1:84" ht="61.5" x14ac:dyDescent="0.85">
      <c r="B126" s="24" t="s">
        <v>756</v>
      </c>
      <c r="C126" s="198"/>
      <c r="D126" s="199">
        <f t="shared" ref="D126:AE126" si="14">SUM(D127:D155)</f>
        <v>50842017.530000001</v>
      </c>
      <c r="E126" s="31">
        <f t="shared" si="14"/>
        <v>392971.79</v>
      </c>
      <c r="F126" s="31">
        <f t="shared" si="14"/>
        <v>287233.21999999997</v>
      </c>
      <c r="G126" s="31">
        <f t="shared" si="14"/>
        <v>1294699.6299999999</v>
      </c>
      <c r="H126" s="31">
        <f t="shared" si="14"/>
        <v>643435.68999999994</v>
      </c>
      <c r="I126" s="31">
        <f t="shared" si="14"/>
        <v>4483524.6500000004</v>
      </c>
      <c r="J126" s="31">
        <f t="shared" si="14"/>
        <v>0</v>
      </c>
      <c r="K126" s="67">
        <f t="shared" si="14"/>
        <v>4</v>
      </c>
      <c r="L126" s="31">
        <f t="shared" si="14"/>
        <v>5593558.4000000004</v>
      </c>
      <c r="M126" s="31">
        <f t="shared" si="14"/>
        <v>8193.49</v>
      </c>
      <c r="N126" s="31">
        <f t="shared" si="14"/>
        <v>31283343.900000002</v>
      </c>
      <c r="O126" s="31">
        <f t="shared" si="14"/>
        <v>0</v>
      </c>
      <c r="P126" s="31">
        <f t="shared" si="14"/>
        <v>0</v>
      </c>
      <c r="Q126" s="31">
        <f t="shared" si="14"/>
        <v>2678.1099999999997</v>
      </c>
      <c r="R126" s="31">
        <f t="shared" si="14"/>
        <v>5635955.5300000003</v>
      </c>
      <c r="S126" s="31">
        <f t="shared" si="14"/>
        <v>0</v>
      </c>
      <c r="T126" s="31">
        <f t="shared" si="14"/>
        <v>0</v>
      </c>
      <c r="U126" s="31">
        <f t="shared" si="14"/>
        <v>0</v>
      </c>
      <c r="V126" s="31">
        <f t="shared" si="14"/>
        <v>0</v>
      </c>
      <c r="W126" s="31">
        <f t="shared" si="14"/>
        <v>0</v>
      </c>
      <c r="X126" s="31">
        <f t="shared" si="14"/>
        <v>0</v>
      </c>
      <c r="Y126" s="31">
        <f t="shared" si="14"/>
        <v>0</v>
      </c>
      <c r="Z126" s="31">
        <f t="shared" si="14"/>
        <v>0</v>
      </c>
      <c r="AA126" s="31">
        <f t="shared" si="14"/>
        <v>0</v>
      </c>
      <c r="AB126" s="31">
        <f t="shared" si="14"/>
        <v>0</v>
      </c>
      <c r="AC126" s="31">
        <f t="shared" si="14"/>
        <v>274374.82000000007</v>
      </c>
      <c r="AD126" s="31">
        <f t="shared" si="14"/>
        <v>952919.9</v>
      </c>
      <c r="AE126" s="31">
        <f t="shared" si="14"/>
        <v>0</v>
      </c>
      <c r="AF126" s="65" t="s">
        <v>751</v>
      </c>
      <c r="AG126" s="65" t="s">
        <v>751</v>
      </c>
      <c r="AH126" s="79" t="s">
        <v>751</v>
      </c>
      <c r="AT126" s="20" t="e">
        <f t="shared" si="13"/>
        <v>#N/A</v>
      </c>
      <c r="BZ126" s="31">
        <v>95682574.419999987</v>
      </c>
      <c r="CA126" s="31"/>
      <c r="CB126" s="31">
        <f>BZ126-D126</f>
        <v>44840556.889999986</v>
      </c>
      <c r="CD126" s="20" t="e">
        <f t="shared" si="11"/>
        <v>#N/A</v>
      </c>
      <c r="CE126" s="88" t="s">
        <v>1243</v>
      </c>
      <c r="CF126" s="88">
        <v>1278.8</v>
      </c>
    </row>
    <row r="127" spans="1:84" ht="61.5" x14ac:dyDescent="0.85">
      <c r="A127" s="20">
        <v>1</v>
      </c>
      <c r="B127" s="60">
        <f>SUBTOTAL(103,$A$22:A127)</f>
        <v>105</v>
      </c>
      <c r="C127" s="24" t="s">
        <v>442</v>
      </c>
      <c r="D127" s="31">
        <f t="shared" ref="D127:D155" si="15">E127+F127+G127+H127+I127+J127+L127+N127+P127+R127+T127+U127+V127+W127+X127+Y127+Z127+AA127+AB127+AC127+AD127+AE127</f>
        <v>2291514.0300000003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67">
        <v>0</v>
      </c>
      <c r="L127" s="31">
        <v>0</v>
      </c>
      <c r="M127" s="38">
        <v>636.21</v>
      </c>
      <c r="N127" s="38">
        <v>2242129.4900000002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8">
        <v>14461.74</v>
      </c>
      <c r="AD127" s="38">
        <v>34922.800000000003</v>
      </c>
      <c r="AE127" s="31">
        <v>0</v>
      </c>
      <c r="AF127" s="33">
        <v>2020</v>
      </c>
      <c r="AG127" s="33">
        <v>2020</v>
      </c>
      <c r="AH127" s="34">
        <v>2020</v>
      </c>
      <c r="AT127" s="20" t="e">
        <f t="shared" si="13"/>
        <v>#N/A</v>
      </c>
      <c r="BZ127" s="64"/>
      <c r="CD127" s="20">
        <f t="shared" si="11"/>
        <v>598</v>
      </c>
      <c r="CE127" s="88" t="s">
        <v>1245</v>
      </c>
      <c r="CF127" s="88">
        <v>225.04</v>
      </c>
    </row>
    <row r="128" spans="1:84" ht="61.5" x14ac:dyDescent="0.85">
      <c r="A128" s="20">
        <v>1</v>
      </c>
      <c r="B128" s="60">
        <f>SUBTOTAL(103,$A$22:A128)</f>
        <v>106</v>
      </c>
      <c r="C128" s="24" t="s">
        <v>443</v>
      </c>
      <c r="D128" s="31">
        <f t="shared" si="15"/>
        <v>2189911.6500000004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67">
        <v>0</v>
      </c>
      <c r="L128" s="31">
        <v>0</v>
      </c>
      <c r="M128" s="38">
        <v>585.59</v>
      </c>
      <c r="N128" s="144">
        <v>2122436.64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144">
        <v>13689.72</v>
      </c>
      <c r="AD128" s="38">
        <v>53785.29</v>
      </c>
      <c r="AE128" s="31">
        <v>0</v>
      </c>
      <c r="AF128" s="33">
        <v>2020</v>
      </c>
      <c r="AG128" s="33">
        <v>2020</v>
      </c>
      <c r="AH128" s="34">
        <v>2020</v>
      </c>
      <c r="AT128" s="20" t="e">
        <f t="shared" si="13"/>
        <v>#N/A</v>
      </c>
      <c r="BZ128" s="64"/>
      <c r="CD128" s="20">
        <f t="shared" si="11"/>
        <v>592.20000000000005</v>
      </c>
      <c r="CE128" s="88" t="s">
        <v>1246</v>
      </c>
      <c r="CF128" s="88">
        <v>337</v>
      </c>
    </row>
    <row r="129" spans="1:84" ht="61.5" x14ac:dyDescent="0.85">
      <c r="A129" s="20">
        <v>1</v>
      </c>
      <c r="B129" s="60">
        <f>SUBTOTAL(103,$A$22:A129)</f>
        <v>107</v>
      </c>
      <c r="C129" s="24" t="s">
        <v>444</v>
      </c>
      <c r="D129" s="31">
        <f t="shared" si="15"/>
        <v>2241889.83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67">
        <v>0</v>
      </c>
      <c r="L129" s="31">
        <v>0</v>
      </c>
      <c r="M129" s="31">
        <v>515.38</v>
      </c>
      <c r="N129" s="31">
        <v>2169539.4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22454.73</v>
      </c>
      <c r="AD129" s="38">
        <v>49895.7</v>
      </c>
      <c r="AE129" s="31">
        <v>0</v>
      </c>
      <c r="AF129" s="33">
        <v>2020</v>
      </c>
      <c r="AG129" s="33">
        <v>2020</v>
      </c>
      <c r="AH129" s="33">
        <v>2020</v>
      </c>
      <c r="AT129" s="20" t="e">
        <f t="shared" si="13"/>
        <v>#N/A</v>
      </c>
      <c r="BZ129" s="64"/>
      <c r="CD129" s="20" t="e">
        <f t="shared" si="11"/>
        <v>#N/A</v>
      </c>
      <c r="CE129" s="88" t="s">
        <v>227</v>
      </c>
      <c r="CF129" s="88">
        <v>806.38</v>
      </c>
    </row>
    <row r="130" spans="1:84" ht="61.5" x14ac:dyDescent="0.85">
      <c r="A130" s="20">
        <v>1</v>
      </c>
      <c r="B130" s="60">
        <f>SUBTOTAL(103,$A$22:A130)</f>
        <v>108</v>
      </c>
      <c r="C130" s="24" t="s">
        <v>445</v>
      </c>
      <c r="D130" s="31">
        <f t="shared" si="15"/>
        <v>55080.59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67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f>ROUND(N130*1.5%,2)</f>
        <v>0</v>
      </c>
      <c r="AD130" s="144">
        <v>55080.59</v>
      </c>
      <c r="AE130" s="31">
        <v>0</v>
      </c>
      <c r="AF130" s="33">
        <v>2020</v>
      </c>
      <c r="AG130" s="33" t="s">
        <v>268</v>
      </c>
      <c r="AH130" s="34" t="s">
        <v>268</v>
      </c>
      <c r="AT130" s="20" t="e">
        <f t="shared" si="13"/>
        <v>#N/A</v>
      </c>
      <c r="BZ130" s="64"/>
      <c r="CD130" s="20" t="e">
        <f t="shared" si="11"/>
        <v>#N/A</v>
      </c>
      <c r="CE130" s="88" t="s">
        <v>230</v>
      </c>
      <c r="CF130" s="88">
        <v>308.60000000000002</v>
      </c>
    </row>
    <row r="131" spans="1:84" ht="61.5" x14ac:dyDescent="0.85">
      <c r="A131" s="20">
        <v>1</v>
      </c>
      <c r="B131" s="60">
        <f>SUBTOTAL(103,$A$22:A131)</f>
        <v>109</v>
      </c>
      <c r="C131" s="24" t="s">
        <v>446</v>
      </c>
      <c r="D131" s="31">
        <f t="shared" si="15"/>
        <v>2479536.17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67">
        <v>0</v>
      </c>
      <c r="L131" s="31">
        <v>0</v>
      </c>
      <c r="M131" s="38">
        <v>597.83000000000004</v>
      </c>
      <c r="N131" s="38">
        <v>2411595.7999999998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8">
        <v>15554.79</v>
      </c>
      <c r="AD131" s="38">
        <v>52385.58</v>
      </c>
      <c r="AE131" s="31">
        <v>0</v>
      </c>
      <c r="AF131" s="33">
        <v>2020</v>
      </c>
      <c r="AG131" s="33">
        <v>2020</v>
      </c>
      <c r="AH131" s="34">
        <v>2020</v>
      </c>
      <c r="AT131" s="20" t="e">
        <f t="shared" si="13"/>
        <v>#N/A</v>
      </c>
      <c r="BZ131" s="64"/>
      <c r="CD131" s="20">
        <f t="shared" si="11"/>
        <v>603.71</v>
      </c>
      <c r="CE131" s="88" t="s">
        <v>1260</v>
      </c>
      <c r="CF131" s="88">
        <v>189.8</v>
      </c>
    </row>
    <row r="132" spans="1:84" ht="61.5" x14ac:dyDescent="0.85">
      <c r="A132" s="20">
        <v>1</v>
      </c>
      <c r="B132" s="60">
        <f>SUBTOTAL(103,$A$22:A132)</f>
        <v>110</v>
      </c>
      <c r="C132" s="24" t="s">
        <v>447</v>
      </c>
      <c r="D132" s="31">
        <f t="shared" si="15"/>
        <v>2128855.41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67">
        <v>0</v>
      </c>
      <c r="L132" s="31">
        <v>0</v>
      </c>
      <c r="M132" s="38">
        <v>618.17999999999995</v>
      </c>
      <c r="N132" s="144">
        <v>2062274.75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8">
        <v>13301.67</v>
      </c>
      <c r="AD132" s="38">
        <v>53278.99</v>
      </c>
      <c r="AE132" s="31">
        <v>0</v>
      </c>
      <c r="AF132" s="33">
        <v>2020</v>
      </c>
      <c r="AG132" s="33">
        <v>2020</v>
      </c>
      <c r="AH132" s="34">
        <v>2020</v>
      </c>
      <c r="AT132" s="20" t="e">
        <f t="shared" si="13"/>
        <v>#N/A</v>
      </c>
      <c r="BZ132" s="64"/>
      <c r="CD132" s="20">
        <f t="shared" si="11"/>
        <v>588.4</v>
      </c>
      <c r="CE132" s="88" t="s">
        <v>145</v>
      </c>
      <c r="CF132" s="88">
        <v>1525.2</v>
      </c>
    </row>
    <row r="133" spans="1:84" ht="61.5" x14ac:dyDescent="0.85">
      <c r="A133" s="20">
        <v>1</v>
      </c>
      <c r="B133" s="60">
        <f>SUBTOTAL(103,$A$22:A133)</f>
        <v>111</v>
      </c>
      <c r="C133" s="24" t="s">
        <v>448</v>
      </c>
      <c r="D133" s="31">
        <f t="shared" si="15"/>
        <v>2540318.89</v>
      </c>
      <c r="E133" s="31">
        <v>0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67">
        <v>0</v>
      </c>
      <c r="L133" s="31">
        <v>0</v>
      </c>
      <c r="M133" s="38">
        <v>548.33000000000004</v>
      </c>
      <c r="N133" s="38">
        <v>2453870.5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8">
        <v>15827.46</v>
      </c>
      <c r="AD133" s="38">
        <v>70620.929999999993</v>
      </c>
      <c r="AE133" s="31">
        <v>0</v>
      </c>
      <c r="AF133" s="33">
        <v>2020</v>
      </c>
      <c r="AG133" s="33">
        <v>2020</v>
      </c>
      <c r="AH133" s="34">
        <v>2020</v>
      </c>
      <c r="AT133" s="20" t="e">
        <f t="shared" si="13"/>
        <v>#N/A</v>
      </c>
      <c r="BZ133" s="64"/>
      <c r="CD133" s="20">
        <f t="shared" si="11"/>
        <v>555.39</v>
      </c>
      <c r="CE133" s="88" t="s">
        <v>141</v>
      </c>
      <c r="CF133" s="88">
        <v>1373.6</v>
      </c>
    </row>
    <row r="134" spans="1:84" ht="61.5" x14ac:dyDescent="0.85">
      <c r="A134" s="20">
        <v>1</v>
      </c>
      <c r="B134" s="60">
        <f>SUBTOTAL(103,$A$22:A134)</f>
        <v>112</v>
      </c>
      <c r="C134" s="24" t="s">
        <v>449</v>
      </c>
      <c r="D134" s="31">
        <f t="shared" si="15"/>
        <v>2317566.0299999998</v>
      </c>
      <c r="E134" s="31">
        <v>0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67">
        <v>0</v>
      </c>
      <c r="L134" s="31">
        <v>0</v>
      </c>
      <c r="M134" s="38">
        <v>561.44000000000005</v>
      </c>
      <c r="N134" s="38">
        <v>2249862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8">
        <v>14511.61</v>
      </c>
      <c r="AD134" s="38">
        <v>53192.42</v>
      </c>
      <c r="AE134" s="31">
        <v>0</v>
      </c>
      <c r="AF134" s="33">
        <v>2020</v>
      </c>
      <c r="AG134" s="33">
        <v>2020</v>
      </c>
      <c r="AH134" s="34">
        <v>2020</v>
      </c>
      <c r="AT134" s="20" t="e">
        <f t="shared" si="13"/>
        <v>#N/A</v>
      </c>
      <c r="BZ134" s="64"/>
      <c r="CD134" s="20">
        <f t="shared" si="11"/>
        <v>577</v>
      </c>
      <c r="CE134" s="88" t="s">
        <v>137</v>
      </c>
      <c r="CF134" s="88">
        <v>1062.4000000000001</v>
      </c>
    </row>
    <row r="135" spans="1:84" ht="61.5" x14ac:dyDescent="0.85">
      <c r="A135" s="20">
        <v>1</v>
      </c>
      <c r="B135" s="60">
        <f>SUBTOTAL(103,$A$22:A135)</f>
        <v>113</v>
      </c>
      <c r="C135" s="24" t="s">
        <v>450</v>
      </c>
      <c r="D135" s="31">
        <f t="shared" si="15"/>
        <v>2392182.6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67">
        <v>0</v>
      </c>
      <c r="L135" s="31">
        <v>0</v>
      </c>
      <c r="M135" s="38">
        <v>585.91</v>
      </c>
      <c r="N135" s="38">
        <v>2323884.75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8">
        <v>14989.06</v>
      </c>
      <c r="AD135" s="38">
        <v>53308.79</v>
      </c>
      <c r="AE135" s="31">
        <v>0</v>
      </c>
      <c r="AF135" s="33">
        <v>2020</v>
      </c>
      <c r="AG135" s="33">
        <v>2020</v>
      </c>
      <c r="AH135" s="34">
        <v>2020</v>
      </c>
      <c r="AT135" s="20" t="e">
        <f t="shared" si="13"/>
        <v>#N/A</v>
      </c>
      <c r="BZ135" s="64"/>
      <c r="CD135" s="20">
        <f t="shared" si="11"/>
        <v>567.62</v>
      </c>
      <c r="CE135" s="88" t="s">
        <v>1256</v>
      </c>
      <c r="CF135" s="88">
        <v>1105</v>
      </c>
    </row>
    <row r="136" spans="1:84" ht="61.5" x14ac:dyDescent="0.85">
      <c r="A136" s="20">
        <v>1</v>
      </c>
      <c r="B136" s="60">
        <f>SUBTOTAL(103,$A$22:A136)</f>
        <v>114</v>
      </c>
      <c r="C136" s="24" t="s">
        <v>451</v>
      </c>
      <c r="D136" s="31">
        <f t="shared" si="15"/>
        <v>3299178.75</v>
      </c>
      <c r="E136" s="31">
        <v>0</v>
      </c>
      <c r="F136" s="31">
        <v>0</v>
      </c>
      <c r="G136" s="31">
        <v>0</v>
      </c>
      <c r="H136" s="31">
        <v>0</v>
      </c>
      <c r="I136" s="31">
        <v>0</v>
      </c>
      <c r="J136" s="31">
        <v>0</v>
      </c>
      <c r="K136" s="67">
        <v>0</v>
      </c>
      <c r="L136" s="31">
        <v>0</v>
      </c>
      <c r="M136" s="38">
        <v>847.77</v>
      </c>
      <c r="N136" s="38">
        <v>3158718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8">
        <v>20373.73</v>
      </c>
      <c r="AD136" s="38">
        <v>120087.02</v>
      </c>
      <c r="AE136" s="31">
        <v>0</v>
      </c>
      <c r="AF136" s="33">
        <v>2020</v>
      </c>
      <c r="AG136" s="33">
        <v>2020</v>
      </c>
      <c r="AH136" s="34">
        <v>2020</v>
      </c>
      <c r="AT136" s="20" t="e">
        <f t="shared" si="13"/>
        <v>#N/A</v>
      </c>
      <c r="BZ136" s="64"/>
      <c r="CD136" s="20">
        <f t="shared" si="11"/>
        <v>865.12</v>
      </c>
      <c r="CE136" s="88" t="s">
        <v>1258</v>
      </c>
      <c r="CF136" s="88">
        <v>1401.4</v>
      </c>
    </row>
    <row r="137" spans="1:84" ht="61.5" x14ac:dyDescent="0.85">
      <c r="A137" s="20">
        <v>1</v>
      </c>
      <c r="B137" s="60">
        <f>SUBTOTAL(103,$A$22:A137)</f>
        <v>115</v>
      </c>
      <c r="C137" s="24" t="s">
        <v>452</v>
      </c>
      <c r="D137" s="31">
        <f t="shared" si="15"/>
        <v>2218259.69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67">
        <v>0</v>
      </c>
      <c r="L137" s="31">
        <v>0</v>
      </c>
      <c r="M137" s="38">
        <v>581.07000000000005</v>
      </c>
      <c r="N137" s="38">
        <v>2150786.5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8">
        <v>13872.57</v>
      </c>
      <c r="AD137" s="38">
        <v>53600.62</v>
      </c>
      <c r="AE137" s="31">
        <v>0</v>
      </c>
      <c r="AF137" s="33">
        <v>2020</v>
      </c>
      <c r="AG137" s="33">
        <v>2020</v>
      </c>
      <c r="AH137" s="34">
        <v>2020</v>
      </c>
      <c r="AT137" s="20" t="e">
        <f t="shared" si="13"/>
        <v>#N/A</v>
      </c>
      <c r="BZ137" s="64"/>
      <c r="CD137" s="20">
        <f t="shared" ref="CD137:CD168" si="16">VLOOKUP(C137,CE:CF,2,FALSE)</f>
        <v>556.79999999999995</v>
      </c>
      <c r="CE137" s="88" t="s">
        <v>1255</v>
      </c>
      <c r="CF137" s="88">
        <v>467.74</v>
      </c>
    </row>
    <row r="138" spans="1:84" ht="61.5" x14ac:dyDescent="0.85">
      <c r="A138" s="20">
        <v>1</v>
      </c>
      <c r="B138" s="60">
        <f>SUBTOTAL(103,$A$22:A138)</f>
        <v>116</v>
      </c>
      <c r="C138" s="24" t="s">
        <v>453</v>
      </c>
      <c r="D138" s="31">
        <f t="shared" si="15"/>
        <v>91764.43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67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f>ROUND(N138*1.5%,2)</f>
        <v>0</v>
      </c>
      <c r="AD138" s="38">
        <v>91764.43</v>
      </c>
      <c r="AE138" s="31">
        <v>0</v>
      </c>
      <c r="AF138" s="33">
        <v>2020</v>
      </c>
      <c r="AG138" s="33" t="s">
        <v>268</v>
      </c>
      <c r="AH138" s="33" t="s">
        <v>268</v>
      </c>
      <c r="AT138" s="20" t="e">
        <f t="shared" si="13"/>
        <v>#N/A</v>
      </c>
      <c r="BZ138" s="64"/>
      <c r="CD138" s="20">
        <f t="shared" si="16"/>
        <v>860.91</v>
      </c>
      <c r="CE138" s="88" t="s">
        <v>1263</v>
      </c>
      <c r="CF138" s="88">
        <v>949</v>
      </c>
    </row>
    <row r="139" spans="1:84" ht="61.5" x14ac:dyDescent="0.85">
      <c r="A139" s="20">
        <v>1</v>
      </c>
      <c r="B139" s="60">
        <f>SUBTOTAL(103,$A$22:A139)</f>
        <v>117</v>
      </c>
      <c r="C139" s="24" t="s">
        <v>454</v>
      </c>
      <c r="D139" s="31">
        <f t="shared" si="15"/>
        <v>45369.9</v>
      </c>
      <c r="E139" s="31">
        <v>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67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f>ROUND(R139*1.5%,2)</f>
        <v>0</v>
      </c>
      <c r="AD139" s="31">
        <v>45369.9</v>
      </c>
      <c r="AE139" s="31">
        <v>0</v>
      </c>
      <c r="AF139" s="33">
        <v>2020</v>
      </c>
      <c r="AG139" s="33" t="s">
        <v>268</v>
      </c>
      <c r="AH139" s="33" t="s">
        <v>268</v>
      </c>
      <c r="AT139" s="20" t="e">
        <f t="shared" si="13"/>
        <v>#N/A</v>
      </c>
      <c r="BZ139" s="64"/>
      <c r="CD139" s="20" t="e">
        <f t="shared" si="16"/>
        <v>#N/A</v>
      </c>
      <c r="CE139" s="88" t="s">
        <v>1266</v>
      </c>
      <c r="CF139" s="88">
        <v>437.4</v>
      </c>
    </row>
    <row r="140" spans="1:84" ht="61.5" x14ac:dyDescent="0.85">
      <c r="A140" s="20">
        <v>1</v>
      </c>
      <c r="B140" s="60">
        <f>SUBTOTAL(103,$A$22:A140)</f>
        <v>118</v>
      </c>
      <c r="C140" s="24" t="s">
        <v>1133</v>
      </c>
      <c r="D140" s="31">
        <f t="shared" si="15"/>
        <v>2872501.01</v>
      </c>
      <c r="E140" s="31">
        <v>0</v>
      </c>
      <c r="F140" s="31">
        <v>0</v>
      </c>
      <c r="G140" s="31">
        <v>1294699.6299999999</v>
      </c>
      <c r="H140" s="31">
        <v>0</v>
      </c>
      <c r="I140" s="31">
        <v>1564983.85</v>
      </c>
      <c r="J140" s="31">
        <v>0</v>
      </c>
      <c r="K140" s="67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8">
        <v>12817.53</v>
      </c>
      <c r="AD140" s="31">
        <v>0</v>
      </c>
      <c r="AE140" s="31">
        <v>0</v>
      </c>
      <c r="AF140" s="33" t="s">
        <v>268</v>
      </c>
      <c r="AG140" s="33">
        <v>2020</v>
      </c>
      <c r="AH140" s="34">
        <v>2020</v>
      </c>
      <c r="BZ140" s="64"/>
      <c r="CD140" s="20" t="e">
        <f t="shared" si="16"/>
        <v>#N/A</v>
      </c>
      <c r="CE140" s="88" t="s">
        <v>1267</v>
      </c>
      <c r="CF140" s="88">
        <v>408</v>
      </c>
    </row>
    <row r="141" spans="1:84" ht="61.5" x14ac:dyDescent="0.85">
      <c r="A141" s="20">
        <v>1</v>
      </c>
      <c r="B141" s="60">
        <f>SUBTOTAL(103,$A$22:A141)</f>
        <v>119</v>
      </c>
      <c r="C141" s="24" t="s">
        <v>1134</v>
      </c>
      <c r="D141" s="31">
        <f t="shared" si="15"/>
        <v>985412.63</v>
      </c>
      <c r="E141" s="31">
        <v>0</v>
      </c>
      <c r="F141" s="31">
        <v>0</v>
      </c>
      <c r="G141" s="103">
        <v>0</v>
      </c>
      <c r="H141" s="31">
        <v>0</v>
      </c>
      <c r="I141" s="144">
        <v>980084.46</v>
      </c>
      <c r="J141" s="31">
        <v>0</v>
      </c>
      <c r="K141" s="67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5328.17</v>
      </c>
      <c r="AD141" s="31">
        <v>0</v>
      </c>
      <c r="AE141" s="31">
        <v>0</v>
      </c>
      <c r="AF141" s="33" t="s">
        <v>268</v>
      </c>
      <c r="AG141" s="33">
        <v>2020</v>
      </c>
      <c r="AH141" s="34">
        <v>2020</v>
      </c>
      <c r="BZ141" s="64"/>
      <c r="CD141" s="20" t="e">
        <f t="shared" si="16"/>
        <v>#N/A</v>
      </c>
      <c r="CE141" s="88" t="s">
        <v>187</v>
      </c>
      <c r="CF141" s="88">
        <v>1028.5999999999999</v>
      </c>
    </row>
    <row r="142" spans="1:84" ht="61.5" x14ac:dyDescent="0.85">
      <c r="A142" s="20">
        <v>1</v>
      </c>
      <c r="B142" s="60">
        <f>SUBTOTAL(103,$A$22:A142)</f>
        <v>120</v>
      </c>
      <c r="C142" s="24" t="s">
        <v>1136</v>
      </c>
      <c r="D142" s="31">
        <f t="shared" si="15"/>
        <v>1787071.37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67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8">
        <v>866.16</v>
      </c>
      <c r="R142" s="38">
        <v>1777408.59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9662.7800000000007</v>
      </c>
      <c r="AD142" s="31">
        <v>0</v>
      </c>
      <c r="AE142" s="31">
        <v>0</v>
      </c>
      <c r="AF142" s="33" t="s">
        <v>268</v>
      </c>
      <c r="AG142" s="33">
        <v>2020</v>
      </c>
      <c r="AH142" s="34">
        <v>2020</v>
      </c>
      <c r="BZ142" s="64"/>
      <c r="CD142" s="20" t="e">
        <f t="shared" si="16"/>
        <v>#N/A</v>
      </c>
      <c r="CE142" s="88" t="s">
        <v>185</v>
      </c>
      <c r="CF142" s="88">
        <v>378</v>
      </c>
    </row>
    <row r="143" spans="1:84" ht="61.5" x14ac:dyDescent="0.85">
      <c r="A143" s="20">
        <v>1</v>
      </c>
      <c r="B143" s="60">
        <f>SUBTOTAL(103,$A$22:A143)</f>
        <v>121</v>
      </c>
      <c r="C143" s="24" t="s">
        <v>1137</v>
      </c>
      <c r="D143" s="31">
        <f t="shared" si="15"/>
        <v>121797.55</v>
      </c>
      <c r="E143" s="31">
        <v>0</v>
      </c>
      <c r="F143" s="31">
        <v>0</v>
      </c>
      <c r="G143" s="31">
        <v>0</v>
      </c>
      <c r="H143" s="31">
        <v>0</v>
      </c>
      <c r="I143" s="31">
        <v>121138.98</v>
      </c>
      <c r="J143" s="31">
        <v>0</v>
      </c>
      <c r="K143" s="67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8">
        <v>658.57</v>
      </c>
      <c r="AD143" s="31">
        <v>0</v>
      </c>
      <c r="AE143" s="31">
        <v>0</v>
      </c>
      <c r="AF143" s="33" t="s">
        <v>268</v>
      </c>
      <c r="AG143" s="33">
        <v>2020</v>
      </c>
      <c r="AH143" s="34">
        <v>2020</v>
      </c>
      <c r="BZ143" s="64"/>
      <c r="CD143" s="20" t="e">
        <f t="shared" si="16"/>
        <v>#N/A</v>
      </c>
      <c r="CE143" s="88" t="s">
        <v>216</v>
      </c>
      <c r="CF143" s="88">
        <v>1057.07</v>
      </c>
    </row>
    <row r="144" spans="1:84" ht="61.5" x14ac:dyDescent="0.85">
      <c r="A144" s="20">
        <v>1</v>
      </c>
      <c r="B144" s="60">
        <f>SUBTOTAL(103,$A$22:A144)</f>
        <v>122</v>
      </c>
      <c r="C144" s="24" t="s">
        <v>1138</v>
      </c>
      <c r="D144" s="31">
        <f t="shared" si="15"/>
        <v>940372.45000000007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67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8">
        <v>435.9</v>
      </c>
      <c r="R144" s="144">
        <v>935287.81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0">
        <v>5084.6400000000003</v>
      </c>
      <c r="AD144" s="31">
        <v>0</v>
      </c>
      <c r="AE144" s="31">
        <v>0</v>
      </c>
      <c r="AF144" s="33" t="s">
        <v>268</v>
      </c>
      <c r="AG144" s="33">
        <v>2020</v>
      </c>
      <c r="AH144" s="34">
        <v>2020</v>
      </c>
      <c r="BZ144" s="64"/>
      <c r="CD144" s="20" t="e">
        <f t="shared" si="16"/>
        <v>#N/A</v>
      </c>
      <c r="CE144" s="88" t="s">
        <v>220</v>
      </c>
      <c r="CF144" s="88">
        <v>615.20000000000005</v>
      </c>
    </row>
    <row r="145" spans="1:84" ht="61.5" x14ac:dyDescent="0.85">
      <c r="A145" s="20">
        <v>1</v>
      </c>
      <c r="B145" s="60">
        <f>SUBTOTAL(103,$A$22:A145)</f>
        <v>123</v>
      </c>
      <c r="C145" s="24" t="s">
        <v>1139</v>
      </c>
      <c r="D145" s="31">
        <f t="shared" si="15"/>
        <v>291919.38999999996</v>
      </c>
      <c r="E145" s="31">
        <v>65413.4</v>
      </c>
      <c r="F145" s="31">
        <v>0</v>
      </c>
      <c r="G145" s="31">
        <v>0</v>
      </c>
      <c r="H145" s="31">
        <v>73602.460000000006</v>
      </c>
      <c r="I145" s="31">
        <v>151325.24</v>
      </c>
      <c r="J145" s="31">
        <v>0</v>
      </c>
      <c r="K145" s="67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0">
        <f>ROUND((E145+F145+G145+H145+I145+J145+N145+P145+T145+U145+V145+W145+X145+Y145+Z145+AA145+AB145+R145)*0.5436%,2)</f>
        <v>1578.29</v>
      </c>
      <c r="AD145" s="31">
        <v>0</v>
      </c>
      <c r="AE145" s="31">
        <v>0</v>
      </c>
      <c r="AF145" s="33" t="s">
        <v>268</v>
      </c>
      <c r="AG145" s="33">
        <v>2020</v>
      </c>
      <c r="AH145" s="34">
        <v>2020</v>
      </c>
      <c r="BZ145" s="64"/>
      <c r="CD145" s="20" t="e">
        <f t="shared" si="16"/>
        <v>#N/A</v>
      </c>
      <c r="CE145" s="88" t="s">
        <v>222</v>
      </c>
      <c r="CF145" s="88">
        <v>289.86</v>
      </c>
    </row>
    <row r="146" spans="1:84" ht="61.5" x14ac:dyDescent="0.85">
      <c r="A146" s="20">
        <v>1</v>
      </c>
      <c r="B146" s="60">
        <f>SUBTOTAL(103,$A$22:A146)</f>
        <v>124</v>
      </c>
      <c r="C146" s="24" t="s">
        <v>1140</v>
      </c>
      <c r="D146" s="31">
        <f t="shared" si="15"/>
        <v>1755092.12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67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802.93</v>
      </c>
      <c r="R146" s="30">
        <v>1745602.25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8">
        <v>9489.8700000000008</v>
      </c>
      <c r="AD146" s="31">
        <v>0</v>
      </c>
      <c r="AE146" s="31">
        <v>0</v>
      </c>
      <c r="AF146" s="33" t="s">
        <v>268</v>
      </c>
      <c r="AG146" s="33">
        <v>2020</v>
      </c>
      <c r="AH146" s="34">
        <v>2020</v>
      </c>
      <c r="BZ146" s="64"/>
      <c r="CD146" s="20" t="e">
        <f t="shared" si="16"/>
        <v>#N/A</v>
      </c>
      <c r="CE146" s="88" t="s">
        <v>514</v>
      </c>
      <c r="CF146" s="88">
        <v>952</v>
      </c>
    </row>
    <row r="147" spans="1:84" ht="61.5" x14ac:dyDescent="0.85">
      <c r="A147" s="20">
        <v>1</v>
      </c>
      <c r="B147" s="60">
        <f>SUBTOTAL(103,$A$22:A147)</f>
        <v>125</v>
      </c>
      <c r="C147" s="24" t="s">
        <v>1141</v>
      </c>
      <c r="D147" s="31">
        <f t="shared" si="15"/>
        <v>1184059.1499999999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67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573.12</v>
      </c>
      <c r="R147" s="30">
        <v>1177656.8799999999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144">
        <v>6402.27</v>
      </c>
      <c r="AD147" s="31">
        <v>0</v>
      </c>
      <c r="AE147" s="31">
        <v>0</v>
      </c>
      <c r="AF147" s="33" t="s">
        <v>268</v>
      </c>
      <c r="AG147" s="33">
        <v>2020</v>
      </c>
      <c r="AH147" s="34">
        <v>2020</v>
      </c>
      <c r="BZ147" s="64"/>
      <c r="CD147" s="20" t="e">
        <f t="shared" si="16"/>
        <v>#N/A</v>
      </c>
      <c r="CE147" s="88" t="s">
        <v>525</v>
      </c>
      <c r="CF147" s="88">
        <v>904</v>
      </c>
    </row>
    <row r="148" spans="1:84" ht="61.5" x14ac:dyDescent="0.85">
      <c r="A148" s="20">
        <v>1</v>
      </c>
      <c r="B148" s="60">
        <f>SUBTOTAL(103,$A$22:A148)</f>
        <v>126</v>
      </c>
      <c r="C148" s="24" t="s">
        <v>1143</v>
      </c>
      <c r="D148" s="31">
        <f t="shared" si="15"/>
        <v>5593558.4000000004</v>
      </c>
      <c r="E148" s="31">
        <v>0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67">
        <v>4</v>
      </c>
      <c r="L148" s="31">
        <v>5593558.4000000004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3" t="s">
        <v>268</v>
      </c>
      <c r="AG148" s="33">
        <v>2020</v>
      </c>
      <c r="AH148" s="34" t="s">
        <v>268</v>
      </c>
      <c r="BZ148" s="64"/>
      <c r="CD148" s="20" t="e">
        <f t="shared" si="16"/>
        <v>#N/A</v>
      </c>
      <c r="CE148" s="88" t="s">
        <v>627</v>
      </c>
      <c r="CF148" s="88">
        <v>586.70000000000005</v>
      </c>
    </row>
    <row r="149" spans="1:84" ht="61.5" x14ac:dyDescent="0.85">
      <c r="A149" s="20">
        <v>1</v>
      </c>
      <c r="B149" s="60">
        <f>SUBTOTAL(103,$A$22:A149)</f>
        <v>127</v>
      </c>
      <c r="C149" s="24" t="s">
        <v>1144</v>
      </c>
      <c r="D149" s="31">
        <f t="shared" si="15"/>
        <v>1052135.6300000001</v>
      </c>
      <c r="E149" s="30">
        <v>167591.53</v>
      </c>
      <c r="F149" s="31">
        <v>0</v>
      </c>
      <c r="G149" s="31">
        <v>0</v>
      </c>
      <c r="H149" s="30">
        <v>140858.07999999999</v>
      </c>
      <c r="I149" s="144">
        <v>737997.53</v>
      </c>
      <c r="J149" s="31">
        <v>0</v>
      </c>
      <c r="K149" s="67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0">
        <f>ROUND((E149+F149+G149+H149+I149+J149+N149+P149+T149+U149+V149+W149+X149+Y149+Z149+AA149+AB149+R149)*0.5436%,2)</f>
        <v>5688.49</v>
      </c>
      <c r="AD149" s="31">
        <v>0</v>
      </c>
      <c r="AE149" s="31">
        <v>0</v>
      </c>
      <c r="AF149" s="33" t="s">
        <v>268</v>
      </c>
      <c r="AG149" s="33">
        <v>2020</v>
      </c>
      <c r="AH149" s="34">
        <v>2020</v>
      </c>
      <c r="BZ149" s="64"/>
      <c r="CD149" s="20" t="e">
        <f t="shared" si="16"/>
        <v>#N/A</v>
      </c>
      <c r="CE149" s="88" t="s">
        <v>628</v>
      </c>
      <c r="CF149" s="88">
        <v>384.56</v>
      </c>
    </row>
    <row r="150" spans="1:84" ht="61.5" x14ac:dyDescent="0.85">
      <c r="A150" s="20">
        <v>1</v>
      </c>
      <c r="B150" s="60">
        <f>SUBTOTAL(103,$A$22:A150)</f>
        <v>128</v>
      </c>
      <c r="C150" s="24" t="s">
        <v>1145</v>
      </c>
      <c r="D150" s="31">
        <f t="shared" si="15"/>
        <v>1528398.5699999998</v>
      </c>
      <c r="E150" s="31">
        <v>159966.85999999999</v>
      </c>
      <c r="F150" s="31">
        <v>287233.21999999997</v>
      </c>
      <c r="G150" s="31">
        <v>0</v>
      </c>
      <c r="H150" s="31">
        <v>144939.76999999999</v>
      </c>
      <c r="I150" s="38">
        <v>927994.59</v>
      </c>
      <c r="J150" s="31">
        <v>0</v>
      </c>
      <c r="K150" s="67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0">
        <f>ROUND((E150+F150+G150+H150+I150+J150+N150+P150+T150+U150+V150+W150+X150+Y150+Z150+AA150+AB150+R150)*0.543644462647215%,2)</f>
        <v>8264.1299999999992</v>
      </c>
      <c r="AD150" s="31">
        <v>0</v>
      </c>
      <c r="AE150" s="31">
        <v>0</v>
      </c>
      <c r="AF150" s="33" t="s">
        <v>268</v>
      </c>
      <c r="AG150" s="33">
        <v>2020</v>
      </c>
      <c r="AH150" s="34">
        <v>2020</v>
      </c>
      <c r="BZ150" s="64"/>
      <c r="CD150" s="20" t="e">
        <f t="shared" si="16"/>
        <v>#N/A</v>
      </c>
      <c r="CE150" s="88" t="s">
        <v>1281</v>
      </c>
      <c r="CF150" s="88">
        <v>500</v>
      </c>
    </row>
    <row r="151" spans="1:84" ht="61.5" x14ac:dyDescent="0.85">
      <c r="A151" s="20">
        <v>1</v>
      </c>
      <c r="B151" s="60">
        <f>SUBTOTAL(103,$A$22:A151)</f>
        <v>129</v>
      </c>
      <c r="C151" s="24" t="s">
        <v>1146</v>
      </c>
      <c r="D151" s="31">
        <f t="shared" si="15"/>
        <v>285579.52000000002</v>
      </c>
      <c r="E151" s="31">
        <v>0</v>
      </c>
      <c r="F151" s="31">
        <v>0</v>
      </c>
      <c r="G151" s="31">
        <v>0</v>
      </c>
      <c r="H151" s="30">
        <v>284035.38</v>
      </c>
      <c r="I151" s="31">
        <v>0</v>
      </c>
      <c r="J151" s="31">
        <v>0</v>
      </c>
      <c r="K151" s="67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144">
        <v>1544.14</v>
      </c>
      <c r="AD151" s="31">
        <v>0</v>
      </c>
      <c r="AE151" s="31">
        <v>0</v>
      </c>
      <c r="AF151" s="33" t="s">
        <v>268</v>
      </c>
      <c r="AG151" s="33">
        <v>2020</v>
      </c>
      <c r="AH151" s="34">
        <v>2020</v>
      </c>
      <c r="BZ151" s="64"/>
      <c r="CD151" s="20" t="e">
        <f t="shared" si="16"/>
        <v>#N/A</v>
      </c>
      <c r="CE151" s="88" t="s">
        <v>1107</v>
      </c>
      <c r="CF151" s="88">
        <v>946</v>
      </c>
    </row>
    <row r="152" spans="1:84" ht="61.5" x14ac:dyDescent="0.85">
      <c r="A152" s="20">
        <v>1</v>
      </c>
      <c r="B152" s="60">
        <f>SUBTOTAL(103,$A$22:A152)</f>
        <v>130</v>
      </c>
      <c r="C152" s="24" t="s">
        <v>1147</v>
      </c>
      <c r="D152" s="31">
        <f t="shared" si="15"/>
        <v>2415665.65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67">
        <v>0</v>
      </c>
      <c r="L152" s="31">
        <v>0</v>
      </c>
      <c r="M152" s="31">
        <v>619</v>
      </c>
      <c r="N152" s="31">
        <v>2350957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8">
        <v>12780.85</v>
      </c>
      <c r="AD152" s="31">
        <v>51927.8</v>
      </c>
      <c r="AE152" s="31">
        <v>0</v>
      </c>
      <c r="AF152" s="33">
        <v>2020</v>
      </c>
      <c r="AG152" s="33">
        <v>2020</v>
      </c>
      <c r="AH152" s="34">
        <v>2020</v>
      </c>
      <c r="BZ152" s="64"/>
      <c r="CD152" s="20">
        <f t="shared" si="16"/>
        <v>633.34</v>
      </c>
      <c r="CE152" s="88" t="s">
        <v>1108</v>
      </c>
      <c r="CF152" s="88">
        <v>365.5</v>
      </c>
    </row>
    <row r="153" spans="1:84" ht="61.5" x14ac:dyDescent="0.85">
      <c r="A153" s="20">
        <v>1</v>
      </c>
      <c r="B153" s="60">
        <f>SUBTOTAL(103,$A$22:A153)</f>
        <v>131</v>
      </c>
      <c r="C153" s="24" t="s">
        <v>1283</v>
      </c>
      <c r="D153" s="31">
        <f t="shared" si="15"/>
        <v>5623327.0800000001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67">
        <v>0</v>
      </c>
      <c r="L153" s="31">
        <v>0</v>
      </c>
      <c r="M153" s="31">
        <v>1496.78</v>
      </c>
      <c r="N153" s="31">
        <v>5587289.0700000003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8">
        <v>36038.01</v>
      </c>
      <c r="AD153" s="31">
        <v>0</v>
      </c>
      <c r="AE153" s="31">
        <v>0</v>
      </c>
      <c r="AF153" s="33" t="s">
        <v>268</v>
      </c>
      <c r="AG153" s="33">
        <v>2020</v>
      </c>
      <c r="AH153" s="34">
        <v>2020</v>
      </c>
      <c r="BZ153" s="64"/>
      <c r="CD153" s="20">
        <f t="shared" si="16"/>
        <v>1674.7</v>
      </c>
      <c r="CE153" s="88" t="s">
        <v>1109</v>
      </c>
      <c r="CF153" s="88">
        <v>365.5</v>
      </c>
    </row>
    <row r="154" spans="1:84" ht="61.5" x14ac:dyDescent="0.85">
      <c r="A154" s="20">
        <v>1</v>
      </c>
      <c r="B154" s="60">
        <f>SUBTOTAL(103,$A$22:A154)</f>
        <v>132</v>
      </c>
      <c r="C154" s="24" t="s">
        <v>462</v>
      </c>
      <c r="D154" s="31">
        <f t="shared" si="15"/>
        <v>52567.68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67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f>ROUND(N154*1.5%,2)</f>
        <v>0</v>
      </c>
      <c r="AD154" s="31">
        <v>52567.68</v>
      </c>
      <c r="AE154" s="31">
        <v>0</v>
      </c>
      <c r="AF154" s="33">
        <v>2020</v>
      </c>
      <c r="AG154" s="33" t="s">
        <v>268</v>
      </c>
      <c r="AH154" s="33" t="s">
        <v>268</v>
      </c>
      <c r="BZ154" s="64"/>
      <c r="CD154" s="20" t="e">
        <f t="shared" si="16"/>
        <v>#N/A</v>
      </c>
      <c r="CE154" s="88" t="s">
        <v>442</v>
      </c>
      <c r="CF154" s="88">
        <v>598</v>
      </c>
    </row>
    <row r="155" spans="1:84" ht="61.5" x14ac:dyDescent="0.85">
      <c r="A155" s="20">
        <v>1</v>
      </c>
      <c r="B155" s="60">
        <f>SUBTOTAL(103,$A$22:A155)</f>
        <v>133</v>
      </c>
      <c r="C155" s="24" t="s">
        <v>1284</v>
      </c>
      <c r="D155" s="31">
        <f t="shared" si="15"/>
        <v>61131.360000000001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67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f>ROUND(R155*1.5%,2)</f>
        <v>0</v>
      </c>
      <c r="AD155" s="31">
        <v>61131.360000000001</v>
      </c>
      <c r="AE155" s="31">
        <v>0</v>
      </c>
      <c r="AF155" s="33">
        <v>2020</v>
      </c>
      <c r="AG155" s="33" t="s">
        <v>268</v>
      </c>
      <c r="AH155" s="33" t="s">
        <v>268</v>
      </c>
      <c r="BZ155" s="64"/>
      <c r="CD155" s="20" t="e">
        <f t="shared" si="16"/>
        <v>#N/A</v>
      </c>
      <c r="CE155" s="88" t="s">
        <v>624</v>
      </c>
      <c r="CF155" s="88">
        <v>486.27</v>
      </c>
    </row>
    <row r="156" spans="1:84" ht="61.5" x14ac:dyDescent="0.85">
      <c r="B156" s="24" t="s">
        <v>757</v>
      </c>
      <c r="C156" s="198"/>
      <c r="D156" s="199">
        <f t="shared" ref="D156:AE156" si="17">SUM(D157:D201)</f>
        <v>112751259.44999994</v>
      </c>
      <c r="E156" s="31">
        <f t="shared" si="17"/>
        <v>358075</v>
      </c>
      <c r="F156" s="31">
        <f t="shared" si="17"/>
        <v>609470</v>
      </c>
      <c r="G156" s="31">
        <f t="shared" si="17"/>
        <v>10937113.330000002</v>
      </c>
      <c r="H156" s="31">
        <f t="shared" si="17"/>
        <v>118902</v>
      </c>
      <c r="I156" s="31">
        <f t="shared" si="17"/>
        <v>228228</v>
      </c>
      <c r="J156" s="31">
        <f t="shared" si="17"/>
        <v>0</v>
      </c>
      <c r="K156" s="67">
        <f t="shared" si="17"/>
        <v>17</v>
      </c>
      <c r="L156" s="31">
        <f t="shared" si="17"/>
        <v>26506080.609999996</v>
      </c>
      <c r="M156" s="31">
        <f t="shared" si="17"/>
        <v>16535.420000000002</v>
      </c>
      <c r="N156" s="31">
        <f t="shared" si="17"/>
        <v>68407583.209999993</v>
      </c>
      <c r="O156" s="31">
        <f t="shared" si="17"/>
        <v>725.5</v>
      </c>
      <c r="P156" s="31">
        <f t="shared" si="17"/>
        <v>2136439.1800000002</v>
      </c>
      <c r="Q156" s="31">
        <f t="shared" si="17"/>
        <v>0</v>
      </c>
      <c r="R156" s="31">
        <f t="shared" si="17"/>
        <v>0</v>
      </c>
      <c r="S156" s="31">
        <f t="shared" si="17"/>
        <v>19.07</v>
      </c>
      <c r="T156" s="31">
        <f t="shared" si="17"/>
        <v>210458.31</v>
      </c>
      <c r="U156" s="31">
        <f t="shared" si="17"/>
        <v>0</v>
      </c>
      <c r="V156" s="31">
        <f t="shared" si="17"/>
        <v>0</v>
      </c>
      <c r="W156" s="31">
        <f t="shared" si="17"/>
        <v>0</v>
      </c>
      <c r="X156" s="31">
        <f t="shared" si="17"/>
        <v>0</v>
      </c>
      <c r="Y156" s="31">
        <f t="shared" si="17"/>
        <v>0</v>
      </c>
      <c r="Z156" s="31">
        <f t="shared" si="17"/>
        <v>0</v>
      </c>
      <c r="AA156" s="31">
        <f t="shared" si="17"/>
        <v>0</v>
      </c>
      <c r="AB156" s="31">
        <f t="shared" si="17"/>
        <v>0</v>
      </c>
      <c r="AC156" s="31">
        <f t="shared" si="17"/>
        <v>348764.68999999989</v>
      </c>
      <c r="AD156" s="31">
        <f t="shared" si="17"/>
        <v>2890145.1199999996</v>
      </c>
      <c r="AE156" s="31">
        <f t="shared" si="17"/>
        <v>0</v>
      </c>
      <c r="AF156" s="65" t="s">
        <v>751</v>
      </c>
      <c r="AG156" s="65" t="s">
        <v>751</v>
      </c>
      <c r="AH156" s="79" t="s">
        <v>751</v>
      </c>
      <c r="AT156" s="20" t="e">
        <f t="shared" ref="AT156:AT172" si="18">VLOOKUP(C156,AW:AX,2,FALSE)</f>
        <v>#N/A</v>
      </c>
      <c r="BZ156" s="31">
        <v>157621357.26999998</v>
      </c>
      <c r="CA156" s="31"/>
      <c r="CB156" s="31">
        <f>BZ156-D156</f>
        <v>44870097.820000038</v>
      </c>
      <c r="CD156" s="20" t="e">
        <f t="shared" si="16"/>
        <v>#N/A</v>
      </c>
      <c r="CE156" s="88" t="s">
        <v>167</v>
      </c>
      <c r="CF156" s="88">
        <v>336.14</v>
      </c>
    </row>
    <row r="157" spans="1:84" ht="61.5" x14ac:dyDescent="0.85">
      <c r="A157" s="20">
        <v>1</v>
      </c>
      <c r="B157" s="60">
        <f>SUBTOTAL(103,$A$22:A157)</f>
        <v>134</v>
      </c>
      <c r="C157" s="24" t="s">
        <v>386</v>
      </c>
      <c r="D157" s="31">
        <f t="shared" ref="D157:D192" si="19">E157+F157+G157+H157+I157+J157+L157+N157+P157+R157+T157+U157+V157+W157+X157+Y157+Z157+AA157+AB157+AC157+AD157+AE157</f>
        <v>2649277.08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67">
        <v>0</v>
      </c>
      <c r="L157" s="31">
        <v>0</v>
      </c>
      <c r="M157" s="31">
        <v>1108.98</v>
      </c>
      <c r="N157" s="31">
        <v>2492694.84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8">
        <v>156582.24</v>
      </c>
      <c r="AE157" s="31">
        <v>0</v>
      </c>
      <c r="AF157" s="33">
        <v>2020</v>
      </c>
      <c r="AG157" s="33">
        <v>2020</v>
      </c>
      <c r="AH157" s="34" t="s">
        <v>268</v>
      </c>
      <c r="AT157" s="20" t="e">
        <f t="shared" si="18"/>
        <v>#N/A</v>
      </c>
      <c r="BZ157" s="64"/>
      <c r="CD157" s="20">
        <f t="shared" si="16"/>
        <v>1108.98</v>
      </c>
      <c r="CE157" s="88" t="s">
        <v>1236</v>
      </c>
      <c r="CF157" s="88">
        <v>335</v>
      </c>
    </row>
    <row r="158" spans="1:84" ht="61.5" x14ac:dyDescent="0.85">
      <c r="A158" s="20">
        <v>1</v>
      </c>
      <c r="B158" s="60">
        <f>SUBTOTAL(103,$A$22:A158)</f>
        <v>135</v>
      </c>
      <c r="C158" s="24" t="s">
        <v>387</v>
      </c>
      <c r="D158" s="31">
        <f t="shared" si="19"/>
        <v>2599693.37</v>
      </c>
      <c r="E158" s="31">
        <v>358075</v>
      </c>
      <c r="F158" s="31">
        <v>609470</v>
      </c>
      <c r="G158" s="31">
        <v>1447301</v>
      </c>
      <c r="H158" s="31">
        <v>0</v>
      </c>
      <c r="I158" s="31">
        <v>0</v>
      </c>
      <c r="J158" s="31">
        <v>0</v>
      </c>
      <c r="K158" s="67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8">
        <v>11410.15</v>
      </c>
      <c r="AD158" s="38">
        <v>173437.22</v>
      </c>
      <c r="AE158" s="31">
        <v>0</v>
      </c>
      <c r="AF158" s="33">
        <v>2020</v>
      </c>
      <c r="AG158" s="33">
        <v>2020</v>
      </c>
      <c r="AH158" s="34">
        <v>2020</v>
      </c>
      <c r="AT158" s="20" t="e">
        <f t="shared" si="18"/>
        <v>#N/A</v>
      </c>
      <c r="BZ158" s="64"/>
      <c r="CD158" s="20" t="e">
        <f t="shared" si="16"/>
        <v>#N/A</v>
      </c>
      <c r="CE158" s="88" t="s">
        <v>1242</v>
      </c>
      <c r="CF158" s="88">
        <v>678.5</v>
      </c>
    </row>
    <row r="159" spans="1:84" ht="61.5" x14ac:dyDescent="0.85">
      <c r="A159" s="20">
        <v>1</v>
      </c>
      <c r="B159" s="60">
        <f>SUBTOTAL(103,$A$22:A159)</f>
        <v>136</v>
      </c>
      <c r="C159" s="24" t="s">
        <v>388</v>
      </c>
      <c r="D159" s="31">
        <f t="shared" si="19"/>
        <v>3188621.1</v>
      </c>
      <c r="E159" s="31">
        <v>0</v>
      </c>
      <c r="F159" s="31">
        <v>0</v>
      </c>
      <c r="G159" s="31">
        <v>0</v>
      </c>
      <c r="H159" s="31">
        <v>0</v>
      </c>
      <c r="I159" s="31">
        <v>0</v>
      </c>
      <c r="J159" s="31">
        <v>0</v>
      </c>
      <c r="K159" s="67">
        <v>0</v>
      </c>
      <c r="L159" s="31">
        <v>0</v>
      </c>
      <c r="M159" s="38">
        <v>600</v>
      </c>
      <c r="N159" s="38">
        <v>3110660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8">
        <v>77961.100000000006</v>
      </c>
      <c r="AE159" s="31">
        <v>0</v>
      </c>
      <c r="AF159" s="33">
        <v>2020</v>
      </c>
      <c r="AG159" s="33">
        <v>2020</v>
      </c>
      <c r="AH159" s="34" t="s">
        <v>268</v>
      </c>
      <c r="AT159" s="20" t="e">
        <f t="shared" si="18"/>
        <v>#N/A</v>
      </c>
      <c r="BZ159" s="64"/>
      <c r="CD159" s="20">
        <f t="shared" si="16"/>
        <v>600</v>
      </c>
      <c r="CE159" s="88" t="s">
        <v>1115</v>
      </c>
      <c r="CF159" s="88">
        <v>453.4</v>
      </c>
    </row>
    <row r="160" spans="1:84" ht="61.5" x14ac:dyDescent="0.85">
      <c r="A160" s="20">
        <v>1</v>
      </c>
      <c r="B160" s="60">
        <f>SUBTOTAL(103,$A$22:A160)</f>
        <v>137</v>
      </c>
      <c r="C160" s="24" t="s">
        <v>389</v>
      </c>
      <c r="D160" s="31">
        <f t="shared" si="19"/>
        <v>5265781.6800000006</v>
      </c>
      <c r="E160" s="31">
        <v>0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67">
        <v>0</v>
      </c>
      <c r="L160" s="31">
        <v>0</v>
      </c>
      <c r="M160" s="38">
        <v>1093</v>
      </c>
      <c r="N160" s="144">
        <v>5109413.2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144">
        <v>24141.98</v>
      </c>
      <c r="AD160" s="38">
        <v>132226.5</v>
      </c>
      <c r="AE160" s="31">
        <v>0</v>
      </c>
      <c r="AF160" s="33">
        <v>2020</v>
      </c>
      <c r="AG160" s="33">
        <v>2020</v>
      </c>
      <c r="AH160" s="34">
        <v>2020</v>
      </c>
      <c r="AT160" s="20" t="e">
        <f t="shared" si="18"/>
        <v>#N/A</v>
      </c>
      <c r="BZ160" s="64"/>
      <c r="CD160" s="20" t="e">
        <f t="shared" si="16"/>
        <v>#N/A</v>
      </c>
      <c r="CE160" s="88" t="s">
        <v>1250</v>
      </c>
      <c r="CF160" s="88">
        <v>511.8</v>
      </c>
    </row>
    <row r="161" spans="1:84" ht="61.5" x14ac:dyDescent="0.85">
      <c r="A161" s="20">
        <v>1</v>
      </c>
      <c r="B161" s="60">
        <f>SUBTOTAL(103,$A$22:A161)</f>
        <v>138</v>
      </c>
      <c r="C161" s="24" t="s">
        <v>390</v>
      </c>
      <c r="D161" s="31">
        <f t="shared" si="19"/>
        <v>5393074.9299999997</v>
      </c>
      <c r="E161" s="31">
        <v>0</v>
      </c>
      <c r="F161" s="31">
        <v>0</v>
      </c>
      <c r="G161" s="31">
        <v>0</v>
      </c>
      <c r="H161" s="31">
        <v>0</v>
      </c>
      <c r="I161" s="31">
        <v>0</v>
      </c>
      <c r="J161" s="31">
        <v>0</v>
      </c>
      <c r="K161" s="67">
        <v>0</v>
      </c>
      <c r="L161" s="31">
        <v>0</v>
      </c>
      <c r="M161" s="38">
        <v>1092.54</v>
      </c>
      <c r="N161" s="144">
        <v>5234761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144">
        <v>24734.25</v>
      </c>
      <c r="AD161" s="38">
        <v>133579.68</v>
      </c>
      <c r="AE161" s="31">
        <v>0</v>
      </c>
      <c r="AF161" s="33">
        <v>2020</v>
      </c>
      <c r="AG161" s="33">
        <v>2020</v>
      </c>
      <c r="AH161" s="34">
        <v>2020</v>
      </c>
      <c r="AT161" s="20" t="e">
        <f t="shared" si="18"/>
        <v>#N/A</v>
      </c>
      <c r="BZ161" s="64"/>
      <c r="CD161" s="20" t="e">
        <f t="shared" si="16"/>
        <v>#N/A</v>
      </c>
      <c r="CE161" s="88" t="s">
        <v>1125</v>
      </c>
      <c r="CF161" s="88">
        <v>556.6</v>
      </c>
    </row>
    <row r="162" spans="1:84" ht="61.5" x14ac:dyDescent="0.85">
      <c r="A162" s="20">
        <v>1</v>
      </c>
      <c r="B162" s="60">
        <f>SUBTOTAL(103,$A$22:A162)</f>
        <v>139</v>
      </c>
      <c r="C162" s="24" t="s">
        <v>391</v>
      </c>
      <c r="D162" s="31">
        <f t="shared" si="19"/>
        <v>4873547.67</v>
      </c>
      <c r="E162" s="31">
        <v>0</v>
      </c>
      <c r="F162" s="31">
        <v>0</v>
      </c>
      <c r="G162" s="31">
        <v>0</v>
      </c>
      <c r="H162" s="31">
        <v>0</v>
      </c>
      <c r="I162" s="31">
        <v>0</v>
      </c>
      <c r="J162" s="31">
        <v>0</v>
      </c>
      <c r="K162" s="67">
        <v>3</v>
      </c>
      <c r="L162" s="31">
        <v>4873547.67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3" t="s">
        <v>268</v>
      </c>
      <c r="AG162" s="33">
        <v>2020</v>
      </c>
      <c r="AH162" s="34" t="s">
        <v>268</v>
      </c>
      <c r="AT162" s="20">
        <f t="shared" si="18"/>
        <v>1</v>
      </c>
      <c r="BZ162" s="64"/>
      <c r="CD162" s="20" t="e">
        <f t="shared" si="16"/>
        <v>#N/A</v>
      </c>
      <c r="CE162" s="88" t="s">
        <v>1541</v>
      </c>
      <c r="CF162" s="88">
        <v>466.12</v>
      </c>
    </row>
    <row r="163" spans="1:84" ht="61.5" x14ac:dyDescent="0.85">
      <c r="A163" s="20">
        <v>1</v>
      </c>
      <c r="B163" s="60">
        <f>SUBTOTAL(103,$A$22:A163)</f>
        <v>140</v>
      </c>
      <c r="C163" s="24" t="s">
        <v>392</v>
      </c>
      <c r="D163" s="31">
        <f t="shared" si="19"/>
        <v>2215482.85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67">
        <v>0</v>
      </c>
      <c r="L163" s="31">
        <v>0</v>
      </c>
      <c r="M163" s="31">
        <v>443.8</v>
      </c>
      <c r="N163" s="31">
        <v>2215482.85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3" t="s">
        <v>268</v>
      </c>
      <c r="AG163" s="33">
        <v>2020</v>
      </c>
      <c r="AH163" s="34" t="s">
        <v>268</v>
      </c>
      <c r="AT163" s="20" t="e">
        <f t="shared" si="18"/>
        <v>#N/A</v>
      </c>
      <c r="BZ163" s="64"/>
      <c r="CD163" s="20">
        <f t="shared" si="16"/>
        <v>443.8</v>
      </c>
      <c r="CE163" s="88" t="s">
        <v>1537</v>
      </c>
      <c r="CF163" s="88">
        <v>859</v>
      </c>
    </row>
    <row r="164" spans="1:84" ht="61.5" x14ac:dyDescent="0.85">
      <c r="A164" s="20">
        <v>1</v>
      </c>
      <c r="B164" s="60">
        <f>SUBTOTAL(103,$A$22:A164)</f>
        <v>141</v>
      </c>
      <c r="C164" s="24" t="s">
        <v>393</v>
      </c>
      <c r="D164" s="31">
        <f t="shared" si="19"/>
        <v>4885396.4400000004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67">
        <v>3</v>
      </c>
      <c r="L164" s="31">
        <v>4885396.4400000004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3" t="s">
        <v>268</v>
      </c>
      <c r="AG164" s="33">
        <v>2020</v>
      </c>
      <c r="AH164" s="34" t="s">
        <v>268</v>
      </c>
      <c r="AT164" s="20" t="e">
        <f t="shared" si="18"/>
        <v>#N/A</v>
      </c>
      <c r="BZ164" s="64"/>
      <c r="CD164" s="20" t="e">
        <f t="shared" si="16"/>
        <v>#N/A</v>
      </c>
      <c r="CE164" s="88" t="s">
        <v>1536</v>
      </c>
      <c r="CF164" s="88">
        <v>1028.5</v>
      </c>
    </row>
    <row r="165" spans="1:84" ht="61.5" x14ac:dyDescent="0.85">
      <c r="A165" s="20">
        <v>1</v>
      </c>
      <c r="B165" s="60">
        <f>SUBTOTAL(103,$A$22:A165)</f>
        <v>142</v>
      </c>
      <c r="C165" s="24" t="s">
        <v>394</v>
      </c>
      <c r="D165" s="31">
        <f t="shared" si="19"/>
        <v>7884254.25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67">
        <v>0</v>
      </c>
      <c r="L165" s="31">
        <v>0</v>
      </c>
      <c r="M165" s="102">
        <v>1503.05</v>
      </c>
      <c r="N165" s="102">
        <v>7687845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8">
        <v>36325.07</v>
      </c>
      <c r="AD165" s="38">
        <v>160084.18</v>
      </c>
      <c r="AE165" s="31">
        <v>0</v>
      </c>
      <c r="AF165" s="33">
        <v>2020</v>
      </c>
      <c r="AG165" s="33">
        <v>2020</v>
      </c>
      <c r="AH165" s="34">
        <v>2020</v>
      </c>
      <c r="AT165" s="20" t="e">
        <f t="shared" si="18"/>
        <v>#N/A</v>
      </c>
      <c r="BZ165" s="64"/>
      <c r="CD165" s="20" t="e">
        <f t="shared" si="16"/>
        <v>#N/A</v>
      </c>
      <c r="CE165" s="88" t="s">
        <v>386</v>
      </c>
      <c r="CF165" s="88">
        <v>1108.98</v>
      </c>
    </row>
    <row r="166" spans="1:84" ht="61.5" x14ac:dyDescent="0.85">
      <c r="A166" s="20">
        <v>1</v>
      </c>
      <c r="B166" s="60">
        <f>SUBTOTAL(103,$A$22:A166)</f>
        <v>143</v>
      </c>
      <c r="C166" s="24" t="s">
        <v>395</v>
      </c>
      <c r="D166" s="31">
        <f t="shared" si="19"/>
        <v>2908813.4299999997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67">
        <v>0</v>
      </c>
      <c r="L166" s="31">
        <v>0</v>
      </c>
      <c r="M166" s="102">
        <v>935.22</v>
      </c>
      <c r="N166" s="200">
        <v>2738778.69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8">
        <v>12940.73</v>
      </c>
      <c r="AD166" s="38">
        <v>157094.01</v>
      </c>
      <c r="AE166" s="31">
        <v>0</v>
      </c>
      <c r="AF166" s="33">
        <v>2020</v>
      </c>
      <c r="AG166" s="33">
        <v>2020</v>
      </c>
      <c r="AH166" s="34">
        <v>2020</v>
      </c>
      <c r="AT166" s="20" t="e">
        <f t="shared" si="18"/>
        <v>#N/A</v>
      </c>
      <c r="BZ166" s="64"/>
      <c r="CD166" s="20" t="e">
        <f t="shared" si="16"/>
        <v>#N/A</v>
      </c>
      <c r="CE166" s="88" t="s">
        <v>388</v>
      </c>
      <c r="CF166" s="88">
        <v>600</v>
      </c>
    </row>
    <row r="167" spans="1:84" ht="61.5" x14ac:dyDescent="0.85">
      <c r="A167" s="20">
        <v>1</v>
      </c>
      <c r="B167" s="60">
        <f>SUBTOTAL(103,$A$22:A167)</f>
        <v>144</v>
      </c>
      <c r="C167" s="24" t="s">
        <v>396</v>
      </c>
      <c r="D167" s="31">
        <f t="shared" si="19"/>
        <v>2189551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67">
        <v>0</v>
      </c>
      <c r="L167" s="31">
        <v>0</v>
      </c>
      <c r="M167" s="102">
        <v>473</v>
      </c>
      <c r="N167" s="102">
        <v>2189551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3" t="s">
        <v>268</v>
      </c>
      <c r="AG167" s="33">
        <v>2020</v>
      </c>
      <c r="AH167" s="34" t="s">
        <v>268</v>
      </c>
      <c r="AT167" s="20" t="e">
        <f t="shared" si="18"/>
        <v>#N/A</v>
      </c>
      <c r="BZ167" s="64"/>
      <c r="CD167" s="20">
        <f t="shared" si="16"/>
        <v>473</v>
      </c>
      <c r="CE167" s="88" t="s">
        <v>392</v>
      </c>
      <c r="CF167" s="88">
        <v>443.8</v>
      </c>
    </row>
    <row r="168" spans="1:84" ht="61.5" x14ac:dyDescent="0.85">
      <c r="A168" s="20">
        <v>1</v>
      </c>
      <c r="B168" s="60">
        <f>SUBTOTAL(103,$A$22:A168)</f>
        <v>145</v>
      </c>
      <c r="C168" s="24" t="s">
        <v>397</v>
      </c>
      <c r="D168" s="31">
        <f t="shared" si="19"/>
        <v>2855710.47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67">
        <v>0</v>
      </c>
      <c r="L168" s="31">
        <v>0</v>
      </c>
      <c r="M168" s="102">
        <v>550</v>
      </c>
      <c r="N168" s="102">
        <v>2777462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8">
        <v>78248.47</v>
      </c>
      <c r="AE168" s="31">
        <v>0</v>
      </c>
      <c r="AF168" s="33">
        <v>2020</v>
      </c>
      <c r="AG168" s="33">
        <v>2020</v>
      </c>
      <c r="AH168" s="34" t="s">
        <v>268</v>
      </c>
      <c r="AT168" s="20" t="e">
        <f t="shared" si="18"/>
        <v>#N/A</v>
      </c>
      <c r="BZ168" s="64"/>
      <c r="CD168" s="20">
        <f t="shared" si="16"/>
        <v>550</v>
      </c>
      <c r="CE168" s="88" t="s">
        <v>396</v>
      </c>
      <c r="CF168" s="88">
        <v>473</v>
      </c>
    </row>
    <row r="169" spans="1:84" ht="61.5" x14ac:dyDescent="0.85">
      <c r="A169" s="20">
        <v>1</v>
      </c>
      <c r="B169" s="60">
        <f>SUBTOTAL(103,$A$22:A169)</f>
        <v>146</v>
      </c>
      <c r="C169" s="24" t="s">
        <v>398</v>
      </c>
      <c r="D169" s="31">
        <f t="shared" si="19"/>
        <v>3945816.73</v>
      </c>
      <c r="E169" s="31">
        <v>0</v>
      </c>
      <c r="F169" s="31">
        <v>0</v>
      </c>
      <c r="G169" s="38">
        <v>3842425</v>
      </c>
      <c r="H169" s="31">
        <v>0</v>
      </c>
      <c r="I169" s="31">
        <v>0</v>
      </c>
      <c r="J169" s="31">
        <v>0</v>
      </c>
      <c r="K169" s="67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8">
        <v>18155.46</v>
      </c>
      <c r="AD169" s="38">
        <v>85236.27</v>
      </c>
      <c r="AE169" s="31">
        <v>0</v>
      </c>
      <c r="AF169" s="33">
        <v>2020</v>
      </c>
      <c r="AG169" s="33">
        <v>2020</v>
      </c>
      <c r="AH169" s="34">
        <v>2020</v>
      </c>
      <c r="AT169" s="20" t="e">
        <f t="shared" si="18"/>
        <v>#N/A</v>
      </c>
      <c r="BZ169" s="64"/>
      <c r="CD169" s="20" t="e">
        <f t="shared" ref="CD169:CD200" si="20">VLOOKUP(C169,CE:CF,2,FALSE)</f>
        <v>#N/A</v>
      </c>
      <c r="CE169" s="88" t="s">
        <v>397</v>
      </c>
      <c r="CF169" s="88">
        <v>550</v>
      </c>
    </row>
    <row r="170" spans="1:84" ht="61.5" x14ac:dyDescent="0.85">
      <c r="A170" s="20">
        <v>1</v>
      </c>
      <c r="B170" s="60">
        <f>SUBTOTAL(103,$A$22:A170)</f>
        <v>147</v>
      </c>
      <c r="C170" s="24" t="s">
        <v>197</v>
      </c>
      <c r="D170" s="31">
        <f t="shared" si="19"/>
        <v>2766905.7600000002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67">
        <v>0</v>
      </c>
      <c r="L170" s="31">
        <v>0</v>
      </c>
      <c r="M170" s="38">
        <v>1190.4000000000001</v>
      </c>
      <c r="N170" s="38">
        <v>2598303.89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8">
        <v>12276.99</v>
      </c>
      <c r="AD170" s="38">
        <v>156324.88</v>
      </c>
      <c r="AE170" s="31">
        <v>0</v>
      </c>
      <c r="AF170" s="33">
        <v>2020</v>
      </c>
      <c r="AG170" s="33">
        <v>2020</v>
      </c>
      <c r="AH170" s="34">
        <v>2020</v>
      </c>
      <c r="AT170" s="20" t="e">
        <f t="shared" si="18"/>
        <v>#N/A</v>
      </c>
      <c r="BZ170" s="64"/>
      <c r="CD170" s="20" t="e">
        <f t="shared" si="20"/>
        <v>#N/A</v>
      </c>
      <c r="CE170" s="88" t="s">
        <v>399</v>
      </c>
      <c r="CF170" s="88">
        <v>342</v>
      </c>
    </row>
    <row r="171" spans="1:84" ht="61.5" x14ac:dyDescent="0.85">
      <c r="A171" s="20">
        <v>1</v>
      </c>
      <c r="B171" s="60">
        <f>SUBTOTAL(103,$A$22:A171)</f>
        <v>148</v>
      </c>
      <c r="C171" s="24" t="s">
        <v>399</v>
      </c>
      <c r="D171" s="31">
        <f t="shared" si="19"/>
        <v>1828369.47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67">
        <v>0</v>
      </c>
      <c r="L171" s="31">
        <v>0</v>
      </c>
      <c r="M171" s="38">
        <v>342</v>
      </c>
      <c r="N171" s="38">
        <v>1828369.47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3" t="s">
        <v>268</v>
      </c>
      <c r="AG171" s="33">
        <v>2020</v>
      </c>
      <c r="AH171" s="34" t="s">
        <v>268</v>
      </c>
      <c r="AT171" s="20" t="e">
        <f t="shared" si="18"/>
        <v>#N/A</v>
      </c>
      <c r="BZ171" s="64"/>
      <c r="CD171" s="20">
        <f t="shared" si="20"/>
        <v>342</v>
      </c>
      <c r="CE171" s="88" t="s">
        <v>1149</v>
      </c>
      <c r="CF171" s="88">
        <v>331</v>
      </c>
    </row>
    <row r="172" spans="1:84" ht="61.5" x14ac:dyDescent="0.85">
      <c r="A172" s="20">
        <v>1</v>
      </c>
      <c r="B172" s="60">
        <f>SUBTOTAL(103,$A$22:A172)</f>
        <v>149</v>
      </c>
      <c r="C172" s="24" t="s">
        <v>400</v>
      </c>
      <c r="D172" s="31">
        <f t="shared" si="19"/>
        <v>9316893.9800000004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67">
        <v>0</v>
      </c>
      <c r="L172" s="31">
        <v>0</v>
      </c>
      <c r="M172" s="38">
        <v>2014</v>
      </c>
      <c r="N172" s="38">
        <v>9115520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8">
        <v>43070.83</v>
      </c>
      <c r="AD172" s="38">
        <v>158303.15</v>
      </c>
      <c r="AE172" s="31">
        <v>0</v>
      </c>
      <c r="AF172" s="33">
        <v>2020</v>
      </c>
      <c r="AG172" s="33">
        <v>2020</v>
      </c>
      <c r="AH172" s="34">
        <v>2020</v>
      </c>
      <c r="AT172" s="20" t="e">
        <f t="shared" si="18"/>
        <v>#N/A</v>
      </c>
      <c r="BZ172" s="64"/>
      <c r="CD172" s="20" t="e">
        <f t="shared" si="20"/>
        <v>#N/A</v>
      </c>
      <c r="CE172" s="88" t="s">
        <v>1546</v>
      </c>
      <c r="CF172" s="88">
        <v>792</v>
      </c>
    </row>
    <row r="173" spans="1:84" ht="61.5" x14ac:dyDescent="0.85">
      <c r="A173" s="20">
        <v>1</v>
      </c>
      <c r="B173" s="60">
        <f>SUBTOTAL(103,$A$22:A173)</f>
        <v>150</v>
      </c>
      <c r="C173" s="24" t="s">
        <v>1148</v>
      </c>
      <c r="D173" s="31">
        <f t="shared" si="19"/>
        <v>1472380.11</v>
      </c>
      <c r="E173" s="31">
        <v>0</v>
      </c>
      <c r="F173" s="31">
        <v>0</v>
      </c>
      <c r="G173" s="38">
        <v>1103598</v>
      </c>
      <c r="H173" s="38">
        <v>118902</v>
      </c>
      <c r="I173" s="38">
        <v>228228</v>
      </c>
      <c r="J173" s="31">
        <v>0</v>
      </c>
      <c r="K173" s="67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21652.11</v>
      </c>
      <c r="AD173" s="31">
        <v>0</v>
      </c>
      <c r="AE173" s="31">
        <v>0</v>
      </c>
      <c r="AF173" s="33" t="s">
        <v>268</v>
      </c>
      <c r="AG173" s="33">
        <v>2020</v>
      </c>
      <c r="AH173" s="34">
        <v>2020</v>
      </c>
      <c r="BZ173" s="64"/>
      <c r="CD173" s="20" t="e">
        <f t="shared" si="20"/>
        <v>#N/A</v>
      </c>
      <c r="CE173" s="88" t="s">
        <v>1544</v>
      </c>
      <c r="CF173" s="88">
        <v>592.07000000000005</v>
      </c>
    </row>
    <row r="174" spans="1:84" ht="61.5" x14ac:dyDescent="0.85">
      <c r="A174" s="20">
        <v>1</v>
      </c>
      <c r="B174" s="60">
        <f>SUBTOTAL(103,$A$22:A174)</f>
        <v>151</v>
      </c>
      <c r="C174" s="24" t="s">
        <v>1149</v>
      </c>
      <c r="D174" s="31">
        <f t="shared" si="19"/>
        <v>1557950.91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67">
        <v>0</v>
      </c>
      <c r="L174" s="31">
        <v>0</v>
      </c>
      <c r="M174" s="31">
        <v>331</v>
      </c>
      <c r="N174" s="103">
        <v>1549352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8">
        <v>8598.91</v>
      </c>
      <c r="AD174" s="31">
        <v>0</v>
      </c>
      <c r="AE174" s="31">
        <v>0</v>
      </c>
      <c r="AF174" s="33" t="s">
        <v>268</v>
      </c>
      <c r="AG174" s="33">
        <v>2020</v>
      </c>
      <c r="AH174" s="34">
        <v>2020</v>
      </c>
      <c r="BZ174" s="64"/>
      <c r="CD174" s="20">
        <f t="shared" si="20"/>
        <v>331</v>
      </c>
      <c r="CE174" s="88" t="s">
        <v>0</v>
      </c>
      <c r="CF174" s="88">
        <v>618.1</v>
      </c>
    </row>
    <row r="175" spans="1:84" ht="61.5" x14ac:dyDescent="0.85">
      <c r="A175" s="20">
        <v>1</v>
      </c>
      <c r="B175" s="60">
        <f>SUBTOTAL(103,$A$22:A175)</f>
        <v>152</v>
      </c>
      <c r="C175" s="24" t="s">
        <v>1151</v>
      </c>
      <c r="D175" s="31">
        <f t="shared" si="19"/>
        <v>2712861.94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67">
        <v>2</v>
      </c>
      <c r="L175" s="31">
        <v>2712861.94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3" t="s">
        <v>268</v>
      </c>
      <c r="AG175" s="33">
        <v>2020</v>
      </c>
      <c r="AH175" s="34" t="s">
        <v>268</v>
      </c>
      <c r="BZ175" s="64"/>
      <c r="CD175" s="20" t="e">
        <f t="shared" si="20"/>
        <v>#N/A</v>
      </c>
      <c r="CE175" s="88" t="s">
        <v>1234</v>
      </c>
      <c r="CF175" s="88">
        <v>807.4</v>
      </c>
    </row>
    <row r="176" spans="1:84" ht="61.5" x14ac:dyDescent="0.85">
      <c r="A176" s="20">
        <v>1</v>
      </c>
      <c r="B176" s="60">
        <f>SUBTOTAL(103,$A$22:A176)</f>
        <v>153</v>
      </c>
      <c r="C176" s="24" t="s">
        <v>1152</v>
      </c>
      <c r="D176" s="31">
        <f t="shared" si="19"/>
        <v>211626.35</v>
      </c>
      <c r="E176" s="31">
        <v>0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67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19.07</v>
      </c>
      <c r="T176" s="30">
        <v>210458.31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144">
        <v>1168.04</v>
      </c>
      <c r="AD176" s="31">
        <v>0</v>
      </c>
      <c r="AE176" s="31">
        <v>0</v>
      </c>
      <c r="AF176" s="33" t="s">
        <v>268</v>
      </c>
      <c r="AG176" s="33">
        <v>2020</v>
      </c>
      <c r="AH176" s="34">
        <v>2020</v>
      </c>
      <c r="BZ176" s="64"/>
      <c r="CD176" s="20" t="e">
        <f t="shared" si="20"/>
        <v>#N/A</v>
      </c>
      <c r="CE176" s="88" t="s">
        <v>1548</v>
      </c>
      <c r="CF176" s="88">
        <v>837.3</v>
      </c>
    </row>
    <row r="177" spans="1:84" ht="61.5" x14ac:dyDescent="0.85">
      <c r="A177" s="20">
        <v>1</v>
      </c>
      <c r="B177" s="60">
        <f>SUBTOTAL(103,$A$22:A177)</f>
        <v>154</v>
      </c>
      <c r="C177" s="24" t="s">
        <v>1153</v>
      </c>
      <c r="D177" s="31">
        <f t="shared" si="19"/>
        <v>2148296.4200000004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67">
        <v>0</v>
      </c>
      <c r="L177" s="31">
        <v>0</v>
      </c>
      <c r="M177" s="31">
        <v>0</v>
      </c>
      <c r="N177" s="31">
        <v>0</v>
      </c>
      <c r="O177" s="38">
        <v>725.5</v>
      </c>
      <c r="P177" s="38">
        <v>2136439.1800000002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8">
        <v>11857.24</v>
      </c>
      <c r="AD177" s="31">
        <v>0</v>
      </c>
      <c r="AE177" s="31">
        <v>0</v>
      </c>
      <c r="AF177" s="33" t="s">
        <v>268</v>
      </c>
      <c r="AG177" s="33">
        <v>2020</v>
      </c>
      <c r="AH177" s="34">
        <v>2020</v>
      </c>
      <c r="BZ177" s="64"/>
      <c r="CD177" s="20" t="e">
        <f t="shared" si="20"/>
        <v>#N/A</v>
      </c>
      <c r="CE177" s="88" t="s">
        <v>143</v>
      </c>
      <c r="CF177" s="88">
        <v>317.8</v>
      </c>
    </row>
    <row r="178" spans="1:84" ht="61.5" x14ac:dyDescent="0.85">
      <c r="A178" s="20">
        <v>1</v>
      </c>
      <c r="B178" s="60">
        <f>SUBTOTAL(103,$A$22:A178)</f>
        <v>155</v>
      </c>
      <c r="C178" s="24" t="s">
        <v>1154</v>
      </c>
      <c r="D178" s="31">
        <f t="shared" si="19"/>
        <v>2712861.94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67">
        <v>2</v>
      </c>
      <c r="L178" s="31">
        <v>2712861.94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3" t="s">
        <v>268</v>
      </c>
      <c r="AG178" s="33">
        <v>2020</v>
      </c>
      <c r="AH178" s="34" t="s">
        <v>268</v>
      </c>
      <c r="BZ178" s="64"/>
      <c r="CD178" s="20" t="e">
        <f t="shared" si="20"/>
        <v>#N/A</v>
      </c>
      <c r="CE178" s="88" t="s">
        <v>1257</v>
      </c>
      <c r="CF178" s="88">
        <v>835.43</v>
      </c>
    </row>
    <row r="179" spans="1:84" ht="61.5" x14ac:dyDescent="0.85">
      <c r="A179" s="20">
        <v>1</v>
      </c>
      <c r="B179" s="60">
        <f>SUBTOTAL(103,$A$22:A179)</f>
        <v>156</v>
      </c>
      <c r="C179" s="24" t="s">
        <v>1155</v>
      </c>
      <c r="D179" s="31">
        <f t="shared" si="19"/>
        <v>2237682.5499999998</v>
      </c>
      <c r="E179" s="31">
        <v>0</v>
      </c>
      <c r="F179" s="31">
        <v>0</v>
      </c>
      <c r="G179" s="38">
        <v>2225331.96</v>
      </c>
      <c r="H179" s="31">
        <v>0</v>
      </c>
      <c r="I179" s="31">
        <v>0</v>
      </c>
      <c r="J179" s="31">
        <v>0</v>
      </c>
      <c r="K179" s="67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8">
        <v>12350.59</v>
      </c>
      <c r="AD179" s="31">
        <v>0</v>
      </c>
      <c r="AE179" s="31">
        <v>0</v>
      </c>
      <c r="AF179" s="33" t="s">
        <v>268</v>
      </c>
      <c r="AG179" s="33">
        <v>2020</v>
      </c>
      <c r="AH179" s="34">
        <v>2020</v>
      </c>
      <c r="BZ179" s="64"/>
      <c r="CD179" s="20" t="e">
        <f t="shared" si="20"/>
        <v>#N/A</v>
      </c>
      <c r="CE179" s="88" t="s">
        <v>91</v>
      </c>
      <c r="CF179" s="88">
        <v>613.20000000000005</v>
      </c>
    </row>
    <row r="180" spans="1:84" ht="61.5" x14ac:dyDescent="0.85">
      <c r="A180" s="20">
        <v>1</v>
      </c>
      <c r="B180" s="60">
        <f>SUBTOTAL(103,$A$22:A180)</f>
        <v>157</v>
      </c>
      <c r="C180" s="24" t="s">
        <v>1156</v>
      </c>
      <c r="D180" s="31">
        <f t="shared" si="19"/>
        <v>2418873.6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67">
        <v>0</v>
      </c>
      <c r="L180" s="31">
        <v>0</v>
      </c>
      <c r="M180" s="38">
        <v>494.53</v>
      </c>
      <c r="N180" s="144">
        <v>2337937.12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144">
        <v>12975.55</v>
      </c>
      <c r="AD180" s="38">
        <v>67960.929999999993</v>
      </c>
      <c r="AE180" s="31">
        <v>0</v>
      </c>
      <c r="AF180" s="33">
        <v>2020</v>
      </c>
      <c r="AG180" s="33">
        <v>2020</v>
      </c>
      <c r="AH180" s="34">
        <v>2020</v>
      </c>
      <c r="BZ180" s="64"/>
      <c r="CD180" s="20" t="e">
        <f t="shared" si="20"/>
        <v>#N/A</v>
      </c>
      <c r="CE180" s="88" t="s">
        <v>450</v>
      </c>
      <c r="CF180" s="88">
        <v>567.62</v>
      </c>
    </row>
    <row r="181" spans="1:84" ht="61.5" x14ac:dyDescent="0.85">
      <c r="A181" s="20">
        <v>1</v>
      </c>
      <c r="B181" s="60">
        <f>SUBTOTAL(103,$A$22:A181)</f>
        <v>158</v>
      </c>
      <c r="C181" s="24" t="s">
        <v>1159</v>
      </c>
      <c r="D181" s="31">
        <f t="shared" si="19"/>
        <v>1640571.49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201">
        <v>1</v>
      </c>
      <c r="L181" s="103">
        <v>1640571.49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3" t="s">
        <v>268</v>
      </c>
      <c r="AG181" s="33">
        <v>2020</v>
      </c>
      <c r="AH181" s="34" t="s">
        <v>268</v>
      </c>
      <c r="BZ181" s="64"/>
      <c r="CD181" s="20" t="e">
        <f t="shared" si="20"/>
        <v>#N/A</v>
      </c>
      <c r="CE181" s="88" t="s">
        <v>1282</v>
      </c>
      <c r="CF181" s="88">
        <v>958</v>
      </c>
    </row>
    <row r="182" spans="1:84" ht="61.5" x14ac:dyDescent="0.85">
      <c r="A182" s="20">
        <v>1</v>
      </c>
      <c r="B182" s="60">
        <f>SUBTOTAL(103,$A$22:A182)</f>
        <v>159</v>
      </c>
      <c r="C182" s="24" t="s">
        <v>1160</v>
      </c>
      <c r="D182" s="31">
        <f t="shared" si="19"/>
        <v>1784450.96</v>
      </c>
      <c r="E182" s="31">
        <v>0</v>
      </c>
      <c r="F182" s="31">
        <v>0</v>
      </c>
      <c r="G182" s="31">
        <v>0</v>
      </c>
      <c r="H182" s="31">
        <v>0</v>
      </c>
      <c r="I182" s="31">
        <v>0</v>
      </c>
      <c r="J182" s="31">
        <v>0</v>
      </c>
      <c r="K182" s="201">
        <v>1</v>
      </c>
      <c r="L182" s="103">
        <v>1784450.96</v>
      </c>
      <c r="M182" s="31">
        <v>0</v>
      </c>
      <c r="N182" s="31">
        <v>0</v>
      </c>
      <c r="O182" s="31">
        <v>0</v>
      </c>
      <c r="P182" s="31">
        <v>0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3" t="s">
        <v>268</v>
      </c>
      <c r="AG182" s="33">
        <v>2020</v>
      </c>
      <c r="AH182" s="34" t="s">
        <v>268</v>
      </c>
      <c r="BZ182" s="64"/>
      <c r="CD182" s="20" t="e">
        <f t="shared" si="20"/>
        <v>#N/A</v>
      </c>
      <c r="CE182" s="88" t="s">
        <v>184</v>
      </c>
      <c r="CF182" s="88">
        <v>255.2</v>
      </c>
    </row>
    <row r="183" spans="1:84" ht="61.5" x14ac:dyDescent="0.85">
      <c r="A183" s="20">
        <v>1</v>
      </c>
      <c r="B183" s="60">
        <f>SUBTOTAL(103,$A$22:A183)</f>
        <v>160</v>
      </c>
      <c r="C183" s="24" t="s">
        <v>1161</v>
      </c>
      <c r="D183" s="31">
        <f t="shared" si="19"/>
        <v>6364982.3099999996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67">
        <v>4</v>
      </c>
      <c r="L183" s="31">
        <v>6364982.3099999996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3" t="s">
        <v>268</v>
      </c>
      <c r="AG183" s="33">
        <v>2020</v>
      </c>
      <c r="AH183" s="34" t="s">
        <v>268</v>
      </c>
      <c r="BZ183" s="64"/>
      <c r="CD183" s="20" t="e">
        <f t="shared" si="20"/>
        <v>#N/A</v>
      </c>
      <c r="CE183" s="88" t="s">
        <v>135</v>
      </c>
      <c r="CF183" s="88">
        <v>1229.9000000000001</v>
      </c>
    </row>
    <row r="184" spans="1:84" ht="61.5" x14ac:dyDescent="0.85">
      <c r="A184" s="20">
        <v>1</v>
      </c>
      <c r="B184" s="60">
        <f>SUBTOTAL(103,$A$22:A184)</f>
        <v>161</v>
      </c>
      <c r="C184" s="24" t="s">
        <v>1277</v>
      </c>
      <c r="D184" s="31">
        <f t="shared" si="19"/>
        <v>2331324.81</v>
      </c>
      <c r="E184" s="31">
        <v>0</v>
      </c>
      <c r="F184" s="31">
        <v>0</v>
      </c>
      <c r="G184" s="38">
        <v>2318457.37</v>
      </c>
      <c r="H184" s="31">
        <v>0</v>
      </c>
      <c r="I184" s="31">
        <v>0</v>
      </c>
      <c r="J184" s="31">
        <v>0</v>
      </c>
      <c r="K184" s="67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8">
        <v>12867.44</v>
      </c>
      <c r="AD184" s="31">
        <v>0</v>
      </c>
      <c r="AE184" s="31">
        <v>0</v>
      </c>
      <c r="AF184" s="33" t="s">
        <v>268</v>
      </c>
      <c r="AG184" s="33">
        <v>2020</v>
      </c>
      <c r="AH184" s="34">
        <v>2020</v>
      </c>
      <c r="BZ184" s="64"/>
      <c r="CD184" s="20" t="e">
        <f t="shared" si="20"/>
        <v>#N/A</v>
      </c>
    </row>
    <row r="185" spans="1:84" ht="61.5" x14ac:dyDescent="0.85">
      <c r="A185" s="20">
        <v>1</v>
      </c>
      <c r="B185" s="60">
        <f>SUBTOTAL(103,$A$22:A185)</f>
        <v>162</v>
      </c>
      <c r="C185" s="24" t="s">
        <v>1290</v>
      </c>
      <c r="D185" s="31">
        <f t="shared" si="19"/>
        <v>131828.92000000001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67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f>ROUND(R185*1.5%,2)</f>
        <v>0</v>
      </c>
      <c r="AD185" s="38">
        <v>131828.92000000001</v>
      </c>
      <c r="AE185" s="31">
        <v>0</v>
      </c>
      <c r="AF185" s="33">
        <v>2020</v>
      </c>
      <c r="AG185" s="33" t="s">
        <v>268</v>
      </c>
      <c r="AH185" s="34" t="s">
        <v>268</v>
      </c>
      <c r="AI185" s="33">
        <v>2020</v>
      </c>
      <c r="AJ185" s="33">
        <v>2020</v>
      </c>
      <c r="AK185" s="33">
        <v>2020</v>
      </c>
      <c r="AL185" s="33">
        <v>2020</v>
      </c>
      <c r="AM185" s="33">
        <v>2020</v>
      </c>
      <c r="AN185" s="33">
        <v>2020</v>
      </c>
      <c r="AO185" s="33">
        <v>2020</v>
      </c>
      <c r="AP185" s="33">
        <v>2020</v>
      </c>
      <c r="AQ185" s="33">
        <v>2020</v>
      </c>
      <c r="AR185" s="33">
        <v>2020</v>
      </c>
      <c r="AS185" s="33">
        <v>2020</v>
      </c>
      <c r="AT185" s="33">
        <v>2020</v>
      </c>
      <c r="AU185" s="33">
        <v>2020</v>
      </c>
      <c r="AV185" s="33">
        <v>2020</v>
      </c>
      <c r="AW185" s="33">
        <v>2020</v>
      </c>
      <c r="AX185" s="33">
        <v>2020</v>
      </c>
      <c r="AY185" s="33">
        <v>2020</v>
      </c>
      <c r="AZ185" s="33">
        <v>2020</v>
      </c>
      <c r="BA185" s="33">
        <v>2020</v>
      </c>
      <c r="BB185" s="33">
        <v>2020</v>
      </c>
      <c r="BC185" s="33">
        <v>2020</v>
      </c>
      <c r="BD185" s="33">
        <v>2020</v>
      </c>
      <c r="BE185" s="33">
        <v>2020</v>
      </c>
      <c r="BF185" s="33">
        <v>2020</v>
      </c>
      <c r="BG185" s="33">
        <v>2020</v>
      </c>
      <c r="BH185" s="33">
        <v>2020</v>
      </c>
      <c r="BI185" s="33">
        <v>2020</v>
      </c>
      <c r="BJ185" s="33">
        <v>2020</v>
      </c>
      <c r="BK185" s="33">
        <v>2020</v>
      </c>
      <c r="BL185" s="33">
        <v>2020</v>
      </c>
      <c r="BM185" s="33">
        <v>2020</v>
      </c>
      <c r="BN185" s="33">
        <v>2020</v>
      </c>
      <c r="BO185" s="33">
        <v>2020</v>
      </c>
      <c r="BP185" s="33">
        <v>2020</v>
      </c>
      <c r="BQ185" s="33">
        <v>2020</v>
      </c>
      <c r="BR185" s="33">
        <v>2020</v>
      </c>
      <c r="BS185" s="33">
        <v>2020</v>
      </c>
      <c r="BT185" s="33">
        <v>2020</v>
      </c>
      <c r="BU185" s="33">
        <v>2020</v>
      </c>
      <c r="BV185" s="33">
        <v>2020</v>
      </c>
      <c r="BW185" s="33">
        <v>2020</v>
      </c>
      <c r="BZ185" s="64"/>
      <c r="CD185" s="20" t="e">
        <f t="shared" si="20"/>
        <v>#N/A</v>
      </c>
    </row>
    <row r="186" spans="1:84" ht="61.5" x14ac:dyDescent="0.85">
      <c r="A186" s="20">
        <v>1</v>
      </c>
      <c r="B186" s="60">
        <f>SUBTOTAL(103,$A$22:A186)</f>
        <v>163</v>
      </c>
      <c r="C186" s="24" t="s">
        <v>1291</v>
      </c>
      <c r="D186" s="31">
        <f t="shared" si="19"/>
        <v>2376594.88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67">
        <v>0</v>
      </c>
      <c r="L186" s="31">
        <v>0</v>
      </c>
      <c r="M186" s="38">
        <v>479</v>
      </c>
      <c r="N186" s="38">
        <v>2305669.96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8">
        <v>10894.29</v>
      </c>
      <c r="AD186" s="38">
        <v>60030.63</v>
      </c>
      <c r="AE186" s="31">
        <v>0</v>
      </c>
      <c r="AF186" s="33">
        <v>2020</v>
      </c>
      <c r="AG186" s="33">
        <v>2020</v>
      </c>
      <c r="AH186" s="34">
        <v>2020</v>
      </c>
      <c r="BZ186" s="64"/>
      <c r="CD186" s="20" t="e">
        <f t="shared" si="20"/>
        <v>#N/A</v>
      </c>
    </row>
    <row r="187" spans="1:84" ht="61.5" x14ac:dyDescent="0.85">
      <c r="A187" s="20">
        <v>1</v>
      </c>
      <c r="B187" s="60">
        <f>SUBTOTAL(103,$A$22:A187)</f>
        <v>164</v>
      </c>
      <c r="C187" s="24" t="s">
        <v>1292</v>
      </c>
      <c r="D187" s="31">
        <f t="shared" si="19"/>
        <v>3042838.07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67">
        <v>0</v>
      </c>
      <c r="L187" s="31">
        <v>0</v>
      </c>
      <c r="M187" s="38">
        <v>654.20000000000005</v>
      </c>
      <c r="N187" s="38">
        <v>2946964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0">
        <v>13924.4</v>
      </c>
      <c r="AD187" s="38">
        <v>81949.67</v>
      </c>
      <c r="AE187" s="31">
        <v>0</v>
      </c>
      <c r="AF187" s="33">
        <v>2020</v>
      </c>
      <c r="AG187" s="33">
        <v>2020</v>
      </c>
      <c r="AH187" s="34">
        <v>2020</v>
      </c>
      <c r="BZ187" s="64"/>
      <c r="CD187" s="20" t="e">
        <f t="shared" si="20"/>
        <v>#N/A</v>
      </c>
    </row>
    <row r="188" spans="1:84" ht="61.5" x14ac:dyDescent="0.85">
      <c r="A188" s="20">
        <v>1</v>
      </c>
      <c r="B188" s="60">
        <f>SUBTOTAL(103,$A$22:A188)</f>
        <v>165</v>
      </c>
      <c r="C188" s="24" t="s">
        <v>1293</v>
      </c>
      <c r="D188" s="31">
        <f t="shared" si="19"/>
        <v>1139819.0599999998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67">
        <v>0</v>
      </c>
      <c r="L188" s="31">
        <v>0</v>
      </c>
      <c r="M188" s="38">
        <v>259.76</v>
      </c>
      <c r="N188" s="144">
        <v>1089346.73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144">
        <v>5147.16</v>
      </c>
      <c r="AD188" s="38">
        <v>45325.17</v>
      </c>
      <c r="AE188" s="31">
        <v>0</v>
      </c>
      <c r="AF188" s="33">
        <v>2020</v>
      </c>
      <c r="AG188" s="33">
        <v>2020</v>
      </c>
      <c r="AH188" s="34">
        <v>2020</v>
      </c>
      <c r="BZ188" s="64"/>
      <c r="CD188" s="20" t="e">
        <f t="shared" si="20"/>
        <v>#N/A</v>
      </c>
    </row>
    <row r="189" spans="1:84" ht="61.5" x14ac:dyDescent="0.85">
      <c r="A189" s="20">
        <v>1</v>
      </c>
      <c r="B189" s="60">
        <f>SUBTOTAL(103,$A$22:A189)</f>
        <v>166</v>
      </c>
      <c r="C189" s="24" t="s">
        <v>1294</v>
      </c>
      <c r="D189" s="31">
        <f t="shared" si="19"/>
        <v>1396947.25</v>
      </c>
      <c r="E189" s="31">
        <v>0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67">
        <v>0</v>
      </c>
      <c r="L189" s="31">
        <v>0</v>
      </c>
      <c r="M189" s="38">
        <v>255.1</v>
      </c>
      <c r="N189" s="38">
        <v>1343152.62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0">
        <v>6346.4</v>
      </c>
      <c r="AD189" s="38">
        <v>47448.23</v>
      </c>
      <c r="AE189" s="31">
        <v>0</v>
      </c>
      <c r="AF189" s="33">
        <v>2020</v>
      </c>
      <c r="AG189" s="33">
        <v>2020</v>
      </c>
      <c r="AH189" s="34">
        <v>2020</v>
      </c>
      <c r="BZ189" s="64"/>
      <c r="CD189" s="20" t="e">
        <f t="shared" si="20"/>
        <v>#N/A</v>
      </c>
    </row>
    <row r="190" spans="1:84" ht="61.5" x14ac:dyDescent="0.85">
      <c r="A190" s="20">
        <v>1</v>
      </c>
      <c r="B190" s="60">
        <f>SUBTOTAL(103,$A$22:A190)</f>
        <v>167</v>
      </c>
      <c r="C190" s="24" t="s">
        <v>1546</v>
      </c>
      <c r="D190" s="31">
        <f t="shared" si="19"/>
        <v>2343822.52</v>
      </c>
      <c r="E190" s="31">
        <v>0</v>
      </c>
      <c r="F190" s="31">
        <v>0</v>
      </c>
      <c r="G190" s="31">
        <v>0</v>
      </c>
      <c r="H190" s="31">
        <v>0</v>
      </c>
      <c r="I190" s="31">
        <v>0</v>
      </c>
      <c r="J190" s="31">
        <v>0</v>
      </c>
      <c r="K190" s="67">
        <v>0</v>
      </c>
      <c r="L190" s="31">
        <v>0</v>
      </c>
      <c r="M190" s="31">
        <v>792</v>
      </c>
      <c r="N190" s="31">
        <v>2330886.1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8">
        <v>12936.42</v>
      </c>
      <c r="AD190" s="31">
        <v>0</v>
      </c>
      <c r="AE190" s="31">
        <v>0</v>
      </c>
      <c r="AF190" s="33" t="s">
        <v>268</v>
      </c>
      <c r="AG190" s="33">
        <v>2020</v>
      </c>
      <c r="AH190" s="34">
        <v>2020</v>
      </c>
      <c r="BZ190" s="64"/>
      <c r="CD190" s="20">
        <f t="shared" si="20"/>
        <v>792</v>
      </c>
    </row>
    <row r="191" spans="1:84" ht="61.5" x14ac:dyDescent="0.85">
      <c r="A191" s="20">
        <v>1</v>
      </c>
      <c r="B191" s="60">
        <f>SUBTOTAL(103,$A$22:A191)</f>
        <v>168</v>
      </c>
      <c r="C191" s="24" t="s">
        <v>1558</v>
      </c>
      <c r="D191" s="31">
        <f t="shared" si="19"/>
        <v>2905261.2600000002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67">
        <v>0</v>
      </c>
      <c r="L191" s="31">
        <v>0</v>
      </c>
      <c r="M191" s="38">
        <v>553</v>
      </c>
      <c r="N191" s="38">
        <v>2821489.33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8">
        <v>13331.54</v>
      </c>
      <c r="AD191" s="38">
        <v>70440.39</v>
      </c>
      <c r="AE191" s="31">
        <v>0</v>
      </c>
      <c r="AF191" s="33">
        <v>2020</v>
      </c>
      <c r="AG191" s="33">
        <v>2020</v>
      </c>
      <c r="AH191" s="34">
        <v>2020</v>
      </c>
      <c r="BZ191" s="64"/>
      <c r="CD191" s="20" t="e">
        <f t="shared" si="20"/>
        <v>#N/A</v>
      </c>
    </row>
    <row r="192" spans="1:84" ht="61.5" x14ac:dyDescent="0.85">
      <c r="A192" s="20">
        <v>1</v>
      </c>
      <c r="B192" s="60">
        <f>SUBTOTAL(103,$A$22:A192)</f>
        <v>169</v>
      </c>
      <c r="C192" s="24" t="s">
        <v>1559</v>
      </c>
      <c r="D192" s="31">
        <f t="shared" si="19"/>
        <v>2908972.99</v>
      </c>
      <c r="E192" s="31">
        <v>0</v>
      </c>
      <c r="F192" s="31">
        <v>0</v>
      </c>
      <c r="G192" s="31">
        <v>0</v>
      </c>
      <c r="H192" s="31">
        <v>0</v>
      </c>
      <c r="I192" s="31">
        <v>0</v>
      </c>
      <c r="J192" s="31">
        <v>0</v>
      </c>
      <c r="K192" s="67">
        <v>0</v>
      </c>
      <c r="L192" s="31">
        <v>0</v>
      </c>
      <c r="M192" s="38">
        <v>577.86</v>
      </c>
      <c r="N192" s="38">
        <v>2816936.74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8">
        <v>13310.03</v>
      </c>
      <c r="AD192" s="38">
        <v>78726.22</v>
      </c>
      <c r="AE192" s="31">
        <v>0</v>
      </c>
      <c r="AF192" s="33">
        <v>2020</v>
      </c>
      <c r="AG192" s="33">
        <v>2020</v>
      </c>
      <c r="AH192" s="34">
        <v>2020</v>
      </c>
      <c r="BZ192" s="64"/>
      <c r="CD192" s="20" t="e">
        <f t="shared" si="20"/>
        <v>#N/A</v>
      </c>
    </row>
    <row r="193" spans="1:82" ht="61.5" x14ac:dyDescent="0.85">
      <c r="A193" s="20">
        <v>1</v>
      </c>
      <c r="B193" s="60">
        <f>SUBTOTAL(103,$A$22:A193)</f>
        <v>170</v>
      </c>
      <c r="C193" s="24" t="s">
        <v>1589</v>
      </c>
      <c r="D193" s="31">
        <f>E193+F193+G193+H193+I193+J193+L193+N193+P193+R193+T193+U193+V193+W193+X193+Y193+Z193+AA193+AB193+AC193+AD193+AE193</f>
        <v>2039264.59</v>
      </c>
      <c r="E193" s="31">
        <v>0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67">
        <v>0</v>
      </c>
      <c r="L193" s="31">
        <v>0</v>
      </c>
      <c r="M193" s="31">
        <v>792.98</v>
      </c>
      <c r="N193" s="31">
        <v>1767006.67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8">
        <v>8349.11</v>
      </c>
      <c r="AD193" s="38">
        <v>263908.81</v>
      </c>
      <c r="AE193" s="31">
        <v>0</v>
      </c>
      <c r="AF193" s="33">
        <v>2020</v>
      </c>
      <c r="AG193" s="33">
        <v>2020</v>
      </c>
      <c r="AH193" s="34">
        <v>2020</v>
      </c>
      <c r="BZ193" s="64"/>
      <c r="CD193" s="20" t="e">
        <f t="shared" si="20"/>
        <v>#N/A</v>
      </c>
    </row>
    <row r="194" spans="1:82" ht="61.5" x14ac:dyDescent="0.85">
      <c r="A194" s="20">
        <v>1</v>
      </c>
      <c r="B194" s="60">
        <f>SUBTOTAL(103,$A$22:A194)</f>
        <v>171</v>
      </c>
      <c r="C194" s="24" t="s">
        <v>402</v>
      </c>
      <c r="D194" s="31">
        <f>E194+F194+G194+H194+I194+J194+L194+N194+P194+R194+T194+U194+V194+W194+X194+Y194+Z194+AA194+AB194+AC194+AD194+AE194</f>
        <v>1604039.9000000001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67">
        <v>1</v>
      </c>
      <c r="L194" s="31">
        <v>1531407.86</v>
      </c>
      <c r="M194" s="31">
        <v>0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102">
        <v>72632.039999999994</v>
      </c>
      <c r="AE194" s="31">
        <v>0</v>
      </c>
      <c r="AF194" s="33">
        <v>2020</v>
      </c>
      <c r="AG194" s="33">
        <v>2020</v>
      </c>
      <c r="AH194" s="34" t="s">
        <v>268</v>
      </c>
      <c r="AT194" s="20">
        <f>VLOOKUP(C194,AW:AX,2,FALSE)</f>
        <v>1</v>
      </c>
      <c r="BZ194" s="64"/>
      <c r="CD194" s="20" t="e">
        <f t="shared" si="20"/>
        <v>#N/A</v>
      </c>
    </row>
    <row r="195" spans="1:82" ht="61.5" x14ac:dyDescent="0.85">
      <c r="A195" s="20">
        <v>1</v>
      </c>
      <c r="B195" s="60">
        <f>SUBTOTAL(103,$A$22:A195)</f>
        <v>172</v>
      </c>
      <c r="C195" s="24" t="s">
        <v>438</v>
      </c>
      <c r="D195" s="31">
        <f>E195+F195+G195+H195+I195+J195+L195+N195+P195+R195+T195+U195+V195+W195+X195+Y195+Z195+AA195+AB195+AC195+AD195+AE195</f>
        <v>105635.39</v>
      </c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67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f>ROUND(N195*1.5%,2)</f>
        <v>0</v>
      </c>
      <c r="AD195" s="31">
        <v>105635.39</v>
      </c>
      <c r="AE195" s="31">
        <v>0</v>
      </c>
      <c r="AF195" s="33">
        <v>2020</v>
      </c>
      <c r="AG195" s="34" t="s">
        <v>268</v>
      </c>
      <c r="AH195" s="34" t="s">
        <v>268</v>
      </c>
      <c r="BZ195" s="64"/>
      <c r="CD195" s="20" t="e">
        <f t="shared" si="20"/>
        <v>#N/A</v>
      </c>
    </row>
    <row r="196" spans="1:82" ht="61.5" x14ac:dyDescent="0.85">
      <c r="A196" s="20">
        <v>1</v>
      </c>
      <c r="B196" s="60">
        <f>SUBTOTAL(103,$A$22:A196)</f>
        <v>173</v>
      </c>
      <c r="C196" s="24" t="s">
        <v>406</v>
      </c>
      <c r="D196" s="31">
        <f t="shared" ref="D196:D201" si="21">E196+F196+G196+H196+I196+J196+L196+N196+P196+R196+T196+U196+V196+W196+X196+Y196+Z196+AA196+AB196+AC196+AD196+AE196</f>
        <v>81776.960000000006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67">
        <v>0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f t="shared" ref="AC196:AC201" si="22">ROUND(N196*1.5%,2)</f>
        <v>0</v>
      </c>
      <c r="AD196" s="31">
        <v>81776.960000000006</v>
      </c>
      <c r="AE196" s="31">
        <v>0</v>
      </c>
      <c r="AF196" s="33">
        <v>2020</v>
      </c>
      <c r="AG196" s="34" t="s">
        <v>268</v>
      </c>
      <c r="AH196" s="34" t="s">
        <v>268</v>
      </c>
      <c r="AT196" s="20" t="e">
        <v>#N/A</v>
      </c>
      <c r="BZ196" s="64"/>
      <c r="CD196" s="20" t="e">
        <v>#N/A</v>
      </c>
    </row>
    <row r="197" spans="1:82" ht="61.5" x14ac:dyDescent="0.85">
      <c r="A197" s="20">
        <v>1</v>
      </c>
      <c r="B197" s="60">
        <f>SUBTOTAL(103,$A$22:A197)</f>
        <v>174</v>
      </c>
      <c r="C197" s="24" t="s">
        <v>407</v>
      </c>
      <c r="D197" s="31">
        <f t="shared" si="21"/>
        <v>64771.71</v>
      </c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67">
        <v>0</v>
      </c>
      <c r="L197" s="31">
        <v>0</v>
      </c>
      <c r="M197" s="31">
        <v>0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f t="shared" si="22"/>
        <v>0</v>
      </c>
      <c r="AD197" s="31">
        <v>64771.71</v>
      </c>
      <c r="AE197" s="31">
        <v>0</v>
      </c>
      <c r="AF197" s="33">
        <v>2020</v>
      </c>
      <c r="AG197" s="34" t="s">
        <v>268</v>
      </c>
      <c r="AH197" s="34" t="s">
        <v>268</v>
      </c>
      <c r="AT197" s="20" t="e">
        <v>#N/A</v>
      </c>
      <c r="BZ197" s="64"/>
      <c r="CD197" s="20" t="e">
        <v>#N/A</v>
      </c>
    </row>
    <row r="198" spans="1:82" ht="61.5" x14ac:dyDescent="0.85">
      <c r="A198" s="20">
        <v>1</v>
      </c>
      <c r="B198" s="60">
        <f>SUBTOTAL(103,$A$22:A198)</f>
        <v>175</v>
      </c>
      <c r="C198" s="24" t="s">
        <v>408</v>
      </c>
      <c r="D198" s="31">
        <f t="shared" si="21"/>
        <v>64458.1</v>
      </c>
      <c r="E198" s="31">
        <v>0</v>
      </c>
      <c r="F198" s="31">
        <v>0</v>
      </c>
      <c r="G198" s="31">
        <v>0</v>
      </c>
      <c r="H198" s="31">
        <v>0</v>
      </c>
      <c r="I198" s="31">
        <v>0</v>
      </c>
      <c r="J198" s="31">
        <v>0</v>
      </c>
      <c r="K198" s="67">
        <v>0</v>
      </c>
      <c r="L198" s="31">
        <v>0</v>
      </c>
      <c r="M198" s="31">
        <v>0</v>
      </c>
      <c r="N198" s="31">
        <v>0</v>
      </c>
      <c r="O198" s="31">
        <v>0</v>
      </c>
      <c r="P198" s="31">
        <v>0</v>
      </c>
      <c r="Q198" s="31">
        <v>0</v>
      </c>
      <c r="R198" s="31">
        <v>0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f t="shared" si="22"/>
        <v>0</v>
      </c>
      <c r="AD198" s="31">
        <v>64458.1</v>
      </c>
      <c r="AE198" s="31">
        <v>0</v>
      </c>
      <c r="AF198" s="33">
        <v>2020</v>
      </c>
      <c r="AG198" s="34" t="s">
        <v>268</v>
      </c>
      <c r="AH198" s="34" t="s">
        <v>268</v>
      </c>
      <c r="AT198" s="20" t="e">
        <v>#N/A</v>
      </c>
      <c r="BZ198" s="64"/>
      <c r="CD198" s="20" t="e">
        <v>#N/A</v>
      </c>
    </row>
    <row r="199" spans="1:82" ht="61.5" x14ac:dyDescent="0.85">
      <c r="A199" s="20">
        <v>1</v>
      </c>
      <c r="B199" s="60">
        <f>SUBTOTAL(103,$A$22:A199)</f>
        <v>176</v>
      </c>
      <c r="C199" s="24" t="s">
        <v>413</v>
      </c>
      <c r="D199" s="31">
        <f t="shared" si="21"/>
        <v>68984.12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67">
        <v>0</v>
      </c>
      <c r="L199" s="31">
        <v>0</v>
      </c>
      <c r="M199" s="31">
        <v>0</v>
      </c>
      <c r="N199" s="31">
        <v>0</v>
      </c>
      <c r="O199" s="31">
        <v>0</v>
      </c>
      <c r="P199" s="31">
        <v>0</v>
      </c>
      <c r="Q199" s="31">
        <v>0</v>
      </c>
      <c r="R199" s="31">
        <v>0</v>
      </c>
      <c r="S199" s="31">
        <v>0</v>
      </c>
      <c r="T199" s="31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f t="shared" si="22"/>
        <v>0</v>
      </c>
      <c r="AD199" s="31">
        <v>68984.12</v>
      </c>
      <c r="AE199" s="31">
        <v>0</v>
      </c>
      <c r="AF199" s="33">
        <v>2020</v>
      </c>
      <c r="AG199" s="34" t="s">
        <v>268</v>
      </c>
      <c r="AH199" s="34" t="s">
        <v>268</v>
      </c>
      <c r="AT199" s="20" t="e">
        <v>#N/A</v>
      </c>
      <c r="BZ199" s="64"/>
      <c r="CD199" s="20" t="e">
        <v>#N/A</v>
      </c>
    </row>
    <row r="200" spans="1:82" ht="61.5" x14ac:dyDescent="0.85">
      <c r="A200" s="20">
        <v>1</v>
      </c>
      <c r="B200" s="60">
        <f>SUBTOTAL(103,$A$22:A200)</f>
        <v>177</v>
      </c>
      <c r="C200" s="24" t="s">
        <v>414</v>
      </c>
      <c r="D200" s="31">
        <f t="shared" si="21"/>
        <v>49086.239999999998</v>
      </c>
      <c r="E200" s="31">
        <v>0</v>
      </c>
      <c r="F200" s="31">
        <v>0</v>
      </c>
      <c r="G200" s="31">
        <v>0</v>
      </c>
      <c r="H200" s="31">
        <v>0</v>
      </c>
      <c r="I200" s="31">
        <v>0</v>
      </c>
      <c r="J200" s="31">
        <v>0</v>
      </c>
      <c r="K200" s="67">
        <v>0</v>
      </c>
      <c r="L200" s="31">
        <v>0</v>
      </c>
      <c r="M200" s="31">
        <v>0</v>
      </c>
      <c r="N200" s="31">
        <v>0</v>
      </c>
      <c r="O200" s="31">
        <v>0</v>
      </c>
      <c r="P200" s="31">
        <v>0</v>
      </c>
      <c r="Q200" s="31">
        <v>0</v>
      </c>
      <c r="R200" s="31">
        <v>0</v>
      </c>
      <c r="S200" s="31">
        <v>0</v>
      </c>
      <c r="T200" s="31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f t="shared" si="22"/>
        <v>0</v>
      </c>
      <c r="AD200" s="31">
        <v>49086.239999999998</v>
      </c>
      <c r="AE200" s="31">
        <v>0</v>
      </c>
      <c r="AF200" s="33">
        <v>2020</v>
      </c>
      <c r="AG200" s="34" t="s">
        <v>268</v>
      </c>
      <c r="AH200" s="34" t="s">
        <v>268</v>
      </c>
      <c r="AT200" s="20" t="e">
        <v>#N/A</v>
      </c>
      <c r="BZ200" s="64"/>
      <c r="CD200" s="20" t="e">
        <v>#N/A</v>
      </c>
    </row>
    <row r="201" spans="1:82" ht="61.5" x14ac:dyDescent="0.85">
      <c r="A201" s="20">
        <v>1</v>
      </c>
      <c r="B201" s="60">
        <f>SUBTOTAL(103,$A$22:A201)</f>
        <v>178</v>
      </c>
      <c r="C201" s="24" t="s">
        <v>422</v>
      </c>
      <c r="D201" s="31">
        <f t="shared" si="21"/>
        <v>66103.89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67">
        <v>0</v>
      </c>
      <c r="L201" s="31">
        <v>0</v>
      </c>
      <c r="M201" s="31">
        <v>0</v>
      </c>
      <c r="N201" s="31">
        <v>0</v>
      </c>
      <c r="O201" s="31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f t="shared" si="22"/>
        <v>0</v>
      </c>
      <c r="AD201" s="31">
        <v>66103.89</v>
      </c>
      <c r="AE201" s="31">
        <v>0</v>
      </c>
      <c r="AF201" s="33">
        <v>2020</v>
      </c>
      <c r="AG201" s="34" t="s">
        <v>268</v>
      </c>
      <c r="AH201" s="34" t="s">
        <v>268</v>
      </c>
      <c r="AT201" s="20" t="e">
        <v>#N/A</v>
      </c>
      <c r="BZ201" s="64"/>
      <c r="CD201" s="20" t="e">
        <v>#N/A</v>
      </c>
    </row>
    <row r="202" spans="1:82" ht="61.5" x14ac:dyDescent="0.85">
      <c r="B202" s="24" t="s">
        <v>760</v>
      </c>
      <c r="C202" s="198"/>
      <c r="D202" s="199">
        <f t="shared" ref="D202:AE202" si="23">SUM(D203:D238)</f>
        <v>128937901.11000001</v>
      </c>
      <c r="E202" s="31">
        <f t="shared" si="23"/>
        <v>0</v>
      </c>
      <c r="F202" s="31">
        <f t="shared" si="23"/>
        <v>0</v>
      </c>
      <c r="G202" s="31">
        <f t="shared" si="23"/>
        <v>0</v>
      </c>
      <c r="H202" s="31">
        <f t="shared" si="23"/>
        <v>0</v>
      </c>
      <c r="I202" s="31">
        <f t="shared" si="23"/>
        <v>576161.37</v>
      </c>
      <c r="J202" s="31">
        <f t="shared" si="23"/>
        <v>0</v>
      </c>
      <c r="K202" s="67">
        <f t="shared" si="23"/>
        <v>66</v>
      </c>
      <c r="L202" s="31">
        <f t="shared" si="23"/>
        <v>106298275.30000001</v>
      </c>
      <c r="M202" s="31">
        <f t="shared" si="23"/>
        <v>3279.26</v>
      </c>
      <c r="N202" s="31">
        <f t="shared" si="23"/>
        <v>12410000.699999999</v>
      </c>
      <c r="O202" s="31">
        <f t="shared" si="23"/>
        <v>0</v>
      </c>
      <c r="P202" s="31">
        <f t="shared" si="23"/>
        <v>0</v>
      </c>
      <c r="Q202" s="31">
        <f t="shared" si="23"/>
        <v>2091.2799999999997</v>
      </c>
      <c r="R202" s="31">
        <f t="shared" si="23"/>
        <v>7877592.3200000003</v>
      </c>
      <c r="S202" s="31">
        <f t="shared" si="23"/>
        <v>0</v>
      </c>
      <c r="T202" s="31">
        <f t="shared" si="23"/>
        <v>0</v>
      </c>
      <c r="U202" s="31">
        <f t="shared" si="23"/>
        <v>0</v>
      </c>
      <c r="V202" s="31">
        <f t="shared" si="23"/>
        <v>0</v>
      </c>
      <c r="W202" s="31">
        <f t="shared" si="23"/>
        <v>0</v>
      </c>
      <c r="X202" s="31">
        <f t="shared" si="23"/>
        <v>0</v>
      </c>
      <c r="Y202" s="31">
        <f t="shared" si="23"/>
        <v>0</v>
      </c>
      <c r="Z202" s="31">
        <f t="shared" si="23"/>
        <v>0</v>
      </c>
      <c r="AA202" s="31">
        <f t="shared" si="23"/>
        <v>0</v>
      </c>
      <c r="AB202" s="31">
        <f t="shared" si="23"/>
        <v>0</v>
      </c>
      <c r="AC202" s="31">
        <f t="shared" si="23"/>
        <v>161902.00999999998</v>
      </c>
      <c r="AD202" s="31">
        <f t="shared" si="23"/>
        <v>1613969.4100000004</v>
      </c>
      <c r="AE202" s="31">
        <f t="shared" si="23"/>
        <v>0</v>
      </c>
      <c r="AF202" s="65" t="s">
        <v>751</v>
      </c>
      <c r="AG202" s="65" t="s">
        <v>751</v>
      </c>
      <c r="AH202" s="79" t="s">
        <v>751</v>
      </c>
      <c r="AT202" s="20" t="e">
        <f t="shared" ref="AT202:AT212" si="24">VLOOKUP(C202,AW:AX,2,FALSE)</f>
        <v>#N/A</v>
      </c>
      <c r="BZ202" s="64">
        <v>182923711.81999996</v>
      </c>
      <c r="CB202" s="64">
        <f>BZ202-D202</f>
        <v>53985810.709999949</v>
      </c>
      <c r="CD202" s="20" t="e">
        <f t="shared" ref="CD202:CD265" si="25">VLOOKUP(C202,CE:CF,2,FALSE)</f>
        <v>#N/A</v>
      </c>
    </row>
    <row r="203" spans="1:82" ht="61.5" x14ac:dyDescent="0.85">
      <c r="A203" s="20">
        <v>1</v>
      </c>
      <c r="B203" s="60">
        <f>SUBTOTAL(103,$A$22:A203)</f>
        <v>179</v>
      </c>
      <c r="C203" s="24" t="s">
        <v>761</v>
      </c>
      <c r="D203" s="31">
        <f t="shared" ref="D203:D238" si="26">E203+F203+G203+H203+I203+J203+L203+N203+P203+R203+T203+U203+V203+W203+X203+Y203+Z203+AA203+AB203+AC203+AD203+AE203</f>
        <v>131699.56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67">
        <v>0</v>
      </c>
      <c r="L203" s="31">
        <v>0</v>
      </c>
      <c r="M203" s="31">
        <v>0</v>
      </c>
      <c r="N203" s="31">
        <v>0</v>
      </c>
      <c r="O203" s="31">
        <v>0</v>
      </c>
      <c r="P203" s="31">
        <v>0</v>
      </c>
      <c r="Q203" s="31">
        <v>0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f>ROUND(R203*1.5%,2)</f>
        <v>0</v>
      </c>
      <c r="AD203" s="86">
        <v>131699.56</v>
      </c>
      <c r="AE203" s="31">
        <v>0</v>
      </c>
      <c r="AF203" s="33">
        <v>2020</v>
      </c>
      <c r="AG203" s="34" t="s">
        <v>268</v>
      </c>
      <c r="AH203" s="34" t="s">
        <v>268</v>
      </c>
      <c r="AT203" s="20" t="e">
        <f t="shared" si="24"/>
        <v>#N/A</v>
      </c>
      <c r="BZ203" s="64"/>
      <c r="CD203" s="20" t="e">
        <f t="shared" si="25"/>
        <v>#N/A</v>
      </c>
    </row>
    <row r="204" spans="1:82" ht="61.5" x14ac:dyDescent="0.85">
      <c r="A204" s="20">
        <v>1</v>
      </c>
      <c r="B204" s="60">
        <f>SUBTOTAL(103,$A$22:A204)</f>
        <v>180</v>
      </c>
      <c r="C204" s="24" t="s">
        <v>762</v>
      </c>
      <c r="D204" s="31">
        <f t="shared" si="26"/>
        <v>2194413.6799999997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67">
        <v>0</v>
      </c>
      <c r="L204" s="31">
        <v>0</v>
      </c>
      <c r="M204" s="38">
        <v>540.37</v>
      </c>
      <c r="N204" s="144">
        <v>2078453.13</v>
      </c>
      <c r="O204" s="31">
        <v>0</v>
      </c>
      <c r="P204" s="31">
        <v>0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8">
        <v>26812.05</v>
      </c>
      <c r="AD204" s="38">
        <v>89148.5</v>
      </c>
      <c r="AE204" s="31">
        <v>0</v>
      </c>
      <c r="AF204" s="33">
        <v>2020</v>
      </c>
      <c r="AG204" s="33">
        <v>2020</v>
      </c>
      <c r="AH204" s="34">
        <v>2020</v>
      </c>
      <c r="AT204" s="20" t="e">
        <f t="shared" si="24"/>
        <v>#N/A</v>
      </c>
      <c r="BZ204" s="64"/>
      <c r="CD204" s="20" t="e">
        <f t="shared" si="25"/>
        <v>#N/A</v>
      </c>
    </row>
    <row r="205" spans="1:82" ht="61.5" x14ac:dyDescent="0.85">
      <c r="A205" s="20">
        <v>1</v>
      </c>
      <c r="B205" s="60">
        <f>SUBTOTAL(103,$A$22:A205)</f>
        <v>181</v>
      </c>
      <c r="C205" s="24" t="s">
        <v>763</v>
      </c>
      <c r="D205" s="31">
        <f t="shared" si="26"/>
        <v>62023.07</v>
      </c>
      <c r="E205" s="31">
        <v>0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67">
        <v>0</v>
      </c>
      <c r="L205" s="31">
        <v>0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f>ROUND(N205*1.5%,2)</f>
        <v>0</v>
      </c>
      <c r="AD205" s="144">
        <v>62023.07</v>
      </c>
      <c r="AE205" s="31">
        <v>0</v>
      </c>
      <c r="AF205" s="33">
        <v>2020</v>
      </c>
      <c r="AG205" s="34" t="s">
        <v>268</v>
      </c>
      <c r="AH205" s="34" t="s">
        <v>268</v>
      </c>
      <c r="AT205" s="20" t="e">
        <f t="shared" si="24"/>
        <v>#N/A</v>
      </c>
      <c r="BZ205" s="64"/>
      <c r="CD205" s="20" t="e">
        <f t="shared" si="25"/>
        <v>#N/A</v>
      </c>
    </row>
    <row r="206" spans="1:82" ht="61.5" x14ac:dyDescent="0.85">
      <c r="A206" s="20">
        <v>1</v>
      </c>
      <c r="B206" s="60">
        <f>SUBTOTAL(103,$A$22:A206)</f>
        <v>182</v>
      </c>
      <c r="C206" s="24" t="s">
        <v>764</v>
      </c>
      <c r="D206" s="31">
        <f t="shared" si="26"/>
        <v>4939980.5199999996</v>
      </c>
      <c r="E206" s="31">
        <v>0</v>
      </c>
      <c r="F206" s="31">
        <v>0</v>
      </c>
      <c r="G206" s="31">
        <v>0</v>
      </c>
      <c r="H206" s="31">
        <v>0</v>
      </c>
      <c r="I206" s="31">
        <v>0</v>
      </c>
      <c r="J206" s="31">
        <v>0</v>
      </c>
      <c r="K206" s="194">
        <v>3</v>
      </c>
      <c r="L206" s="38">
        <f>1646660.18+1646660.17+1646660.17</f>
        <v>4939980.5199999996</v>
      </c>
      <c r="M206" s="31">
        <v>0</v>
      </c>
      <c r="N206" s="31">
        <v>0</v>
      </c>
      <c r="O206" s="31">
        <v>0</v>
      </c>
      <c r="P206" s="31">
        <v>0</v>
      </c>
      <c r="Q206" s="31">
        <v>0</v>
      </c>
      <c r="R206" s="31">
        <v>0</v>
      </c>
      <c r="S206" s="31">
        <v>0</v>
      </c>
      <c r="T206" s="31">
        <v>0</v>
      </c>
      <c r="U206" s="31">
        <v>0</v>
      </c>
      <c r="V206" s="31">
        <v>0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3" t="s">
        <v>268</v>
      </c>
      <c r="AG206" s="33">
        <v>2020</v>
      </c>
      <c r="AH206" s="34" t="s">
        <v>268</v>
      </c>
      <c r="AT206" s="20" t="e">
        <f t="shared" si="24"/>
        <v>#N/A</v>
      </c>
      <c r="BZ206" s="64"/>
      <c r="CD206" s="20" t="e">
        <f t="shared" si="25"/>
        <v>#N/A</v>
      </c>
    </row>
    <row r="207" spans="1:82" ht="61.5" x14ac:dyDescent="0.85">
      <c r="A207" s="20">
        <v>1</v>
      </c>
      <c r="B207" s="60">
        <f>SUBTOTAL(103,$A$22:A207)</f>
        <v>183</v>
      </c>
      <c r="C207" s="24" t="s">
        <v>765</v>
      </c>
      <c r="D207" s="31">
        <f t="shared" si="26"/>
        <v>6608023.2199999997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194">
        <v>4</v>
      </c>
      <c r="L207" s="38">
        <v>6608023.2199999997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3" t="s">
        <v>268</v>
      </c>
      <c r="AG207" s="33">
        <v>2020</v>
      </c>
      <c r="AH207" s="34" t="s">
        <v>268</v>
      </c>
      <c r="AT207" s="20" t="e">
        <f t="shared" si="24"/>
        <v>#N/A</v>
      </c>
      <c r="BZ207" s="64"/>
      <c r="CD207" s="20" t="e">
        <f t="shared" si="25"/>
        <v>#N/A</v>
      </c>
    </row>
    <row r="208" spans="1:82" ht="61.5" x14ac:dyDescent="0.85">
      <c r="A208" s="20">
        <v>1</v>
      </c>
      <c r="B208" s="60">
        <f>SUBTOTAL(103,$A$22:A208)</f>
        <v>184</v>
      </c>
      <c r="C208" s="24" t="s">
        <v>766</v>
      </c>
      <c r="D208" s="31">
        <f t="shared" si="26"/>
        <v>8162096.2000000002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194">
        <v>5</v>
      </c>
      <c r="L208" s="38">
        <f>1632419.24+1632419.24+1632419.24+1632419.24+1632419.24</f>
        <v>8162096.2000000002</v>
      </c>
      <c r="M208" s="31">
        <v>0</v>
      </c>
      <c r="N208" s="31">
        <v>0</v>
      </c>
      <c r="O208" s="31">
        <v>0</v>
      </c>
      <c r="P208" s="31">
        <v>0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3" t="s">
        <v>268</v>
      </c>
      <c r="AG208" s="33">
        <v>2020</v>
      </c>
      <c r="AH208" s="34" t="s">
        <v>268</v>
      </c>
      <c r="AT208" s="20" t="e">
        <f t="shared" si="24"/>
        <v>#N/A</v>
      </c>
      <c r="BZ208" s="64"/>
      <c r="CD208" s="20" t="e">
        <f t="shared" si="25"/>
        <v>#N/A</v>
      </c>
    </row>
    <row r="209" spans="1:82" ht="61.5" x14ac:dyDescent="0.85">
      <c r="A209" s="20">
        <v>1</v>
      </c>
      <c r="B209" s="60">
        <f>SUBTOTAL(103,$A$22:A209)</f>
        <v>185</v>
      </c>
      <c r="C209" s="24" t="s">
        <v>767</v>
      </c>
      <c r="D209" s="31">
        <f t="shared" si="26"/>
        <v>7899262.5999999996</v>
      </c>
      <c r="E209" s="31">
        <v>0</v>
      </c>
      <c r="F209" s="31">
        <v>0</v>
      </c>
      <c r="G209" s="31">
        <v>0</v>
      </c>
      <c r="H209" s="31">
        <v>0</v>
      </c>
      <c r="I209" s="31">
        <v>0</v>
      </c>
      <c r="J209" s="31">
        <v>0</v>
      </c>
      <c r="K209" s="194">
        <v>5</v>
      </c>
      <c r="L209" s="38">
        <f>1579852.52+1579852.52+1579852.52+1579852.52+1579852.52</f>
        <v>7899262.5999999996</v>
      </c>
      <c r="M209" s="31">
        <v>0</v>
      </c>
      <c r="N209" s="31">
        <v>0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3" t="s">
        <v>268</v>
      </c>
      <c r="AG209" s="33">
        <v>2020</v>
      </c>
      <c r="AH209" s="34" t="s">
        <v>268</v>
      </c>
      <c r="AT209" s="20" t="e">
        <f t="shared" si="24"/>
        <v>#N/A</v>
      </c>
      <c r="BZ209" s="64"/>
      <c r="CD209" s="20" t="e">
        <f t="shared" si="25"/>
        <v>#N/A</v>
      </c>
    </row>
    <row r="210" spans="1:82" ht="61.5" x14ac:dyDescent="0.85">
      <c r="A210" s="20">
        <v>1</v>
      </c>
      <c r="B210" s="60">
        <f>SUBTOTAL(103,$A$22:A210)</f>
        <v>186</v>
      </c>
      <c r="C210" s="24" t="s">
        <v>769</v>
      </c>
      <c r="D210" s="31">
        <f t="shared" si="26"/>
        <v>1703879.76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67">
        <v>0</v>
      </c>
      <c r="L210" s="31">
        <v>0</v>
      </c>
      <c r="M210" s="38">
        <v>420.77</v>
      </c>
      <c r="N210" s="38">
        <v>1622576.28</v>
      </c>
      <c r="O210" s="31">
        <v>0</v>
      </c>
      <c r="P210" s="31">
        <v>0</v>
      </c>
      <c r="Q210" s="31">
        <v>0</v>
      </c>
      <c r="R210" s="31">
        <v>0</v>
      </c>
      <c r="S210" s="31">
        <v>0</v>
      </c>
      <c r="T210" s="31">
        <v>0</v>
      </c>
      <c r="U210" s="31">
        <v>0</v>
      </c>
      <c r="V210" s="31">
        <v>0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8">
        <v>81303.48</v>
      </c>
      <c r="AE210" s="31">
        <v>0</v>
      </c>
      <c r="AF210" s="33">
        <v>2020</v>
      </c>
      <c r="AG210" s="33">
        <v>2020</v>
      </c>
      <c r="AH210" s="34" t="s">
        <v>268</v>
      </c>
      <c r="AT210" s="20" t="e">
        <f t="shared" si="24"/>
        <v>#N/A</v>
      </c>
      <c r="BZ210" s="64"/>
      <c r="CD210" s="20" t="e">
        <f t="shared" si="25"/>
        <v>#N/A</v>
      </c>
    </row>
    <row r="211" spans="1:82" ht="61.5" x14ac:dyDescent="0.85">
      <c r="A211" s="20">
        <v>1</v>
      </c>
      <c r="B211" s="60">
        <f>SUBTOTAL(103,$A$22:A211)</f>
        <v>187</v>
      </c>
      <c r="C211" s="24" t="s">
        <v>770</v>
      </c>
      <c r="D211" s="31">
        <f t="shared" si="26"/>
        <v>114842.89</v>
      </c>
      <c r="E211" s="31">
        <v>0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67">
        <v>0</v>
      </c>
      <c r="L211" s="31">
        <v>0</v>
      </c>
      <c r="M211" s="31">
        <v>0</v>
      </c>
      <c r="N211" s="31">
        <v>0</v>
      </c>
      <c r="O211" s="31">
        <v>0</v>
      </c>
      <c r="P211" s="31">
        <v>0</v>
      </c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f>ROUND(N211*1.5%,2)</f>
        <v>0</v>
      </c>
      <c r="AD211" s="38">
        <v>114842.89</v>
      </c>
      <c r="AE211" s="31">
        <v>0</v>
      </c>
      <c r="AF211" s="33">
        <v>2020</v>
      </c>
      <c r="AG211" s="33" t="s">
        <v>268</v>
      </c>
      <c r="AH211" s="33" t="s">
        <v>268</v>
      </c>
      <c r="AT211" s="20" t="e">
        <f t="shared" si="24"/>
        <v>#N/A</v>
      </c>
      <c r="BZ211" s="64"/>
      <c r="CD211" s="20">
        <f t="shared" si="25"/>
        <v>1319.27</v>
      </c>
    </row>
    <row r="212" spans="1:82" ht="61.5" x14ac:dyDescent="0.85">
      <c r="A212" s="20">
        <v>1</v>
      </c>
      <c r="B212" s="60">
        <f>SUBTOTAL(103,$A$22:A212)</f>
        <v>188</v>
      </c>
      <c r="C212" s="24" t="s">
        <v>771</v>
      </c>
      <c r="D212" s="31">
        <f t="shared" si="26"/>
        <v>136497.56</v>
      </c>
      <c r="E212" s="31">
        <v>0</v>
      </c>
      <c r="F212" s="31">
        <v>0</v>
      </c>
      <c r="G212" s="31">
        <v>0</v>
      </c>
      <c r="H212" s="31">
        <v>0</v>
      </c>
      <c r="I212" s="31">
        <v>0</v>
      </c>
      <c r="J212" s="31">
        <v>0</v>
      </c>
      <c r="K212" s="67">
        <v>0</v>
      </c>
      <c r="L212" s="31">
        <v>0</v>
      </c>
      <c r="M212" s="31">
        <v>0</v>
      </c>
      <c r="N212" s="31">
        <v>0</v>
      </c>
      <c r="O212" s="31">
        <v>0</v>
      </c>
      <c r="P212" s="31">
        <v>0</v>
      </c>
      <c r="Q212" s="31">
        <v>0</v>
      </c>
      <c r="R212" s="31">
        <v>0</v>
      </c>
      <c r="S212" s="31">
        <v>0</v>
      </c>
      <c r="T212" s="31">
        <v>0</v>
      </c>
      <c r="U212" s="31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f>ROUND(N212*1.5%,2)</f>
        <v>0</v>
      </c>
      <c r="AD212" s="38">
        <v>136497.56</v>
      </c>
      <c r="AE212" s="31">
        <v>0</v>
      </c>
      <c r="AF212" s="33">
        <v>2020</v>
      </c>
      <c r="AG212" s="33" t="s">
        <v>268</v>
      </c>
      <c r="AH212" s="33" t="s">
        <v>268</v>
      </c>
      <c r="AT212" s="20" t="e">
        <f t="shared" si="24"/>
        <v>#N/A</v>
      </c>
      <c r="BZ212" s="64"/>
      <c r="CD212" s="20" t="e">
        <f t="shared" si="25"/>
        <v>#N/A</v>
      </c>
    </row>
    <row r="213" spans="1:82" ht="61.5" x14ac:dyDescent="0.85">
      <c r="A213" s="20">
        <v>1</v>
      </c>
      <c r="B213" s="60">
        <f>SUBTOTAL(103,$A$22:A213)</f>
        <v>189</v>
      </c>
      <c r="C213" s="24" t="s">
        <v>1162</v>
      </c>
      <c r="D213" s="31">
        <f t="shared" si="26"/>
        <v>3517276.18</v>
      </c>
      <c r="E213" s="31">
        <v>0</v>
      </c>
      <c r="F213" s="31">
        <v>0</v>
      </c>
      <c r="G213" s="31">
        <v>0</v>
      </c>
      <c r="H213" s="31">
        <v>0</v>
      </c>
      <c r="I213" s="31">
        <v>0</v>
      </c>
      <c r="J213" s="31">
        <v>0</v>
      </c>
      <c r="K213" s="67">
        <v>0</v>
      </c>
      <c r="L213" s="31">
        <v>0</v>
      </c>
      <c r="M213" s="31">
        <v>0</v>
      </c>
      <c r="N213" s="31">
        <v>0</v>
      </c>
      <c r="O213" s="31">
        <v>0</v>
      </c>
      <c r="P213" s="31">
        <v>0</v>
      </c>
      <c r="Q213" s="195">
        <v>815.66</v>
      </c>
      <c r="R213" s="195">
        <v>3517276.18</v>
      </c>
      <c r="S213" s="31">
        <v>0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3" t="s">
        <v>268</v>
      </c>
      <c r="AG213" s="33">
        <v>2020</v>
      </c>
      <c r="AH213" s="34" t="s">
        <v>268</v>
      </c>
      <c r="BZ213" s="64"/>
      <c r="CD213" s="20" t="e">
        <f t="shared" si="25"/>
        <v>#N/A</v>
      </c>
    </row>
    <row r="214" spans="1:82" ht="61.5" x14ac:dyDescent="0.85">
      <c r="A214" s="20">
        <v>1</v>
      </c>
      <c r="B214" s="60">
        <f>SUBTOTAL(103,$A$22:A214)</f>
        <v>190</v>
      </c>
      <c r="C214" s="24" t="s">
        <v>1163</v>
      </c>
      <c r="D214" s="31">
        <f t="shared" si="26"/>
        <v>581865.37</v>
      </c>
      <c r="E214" s="31">
        <v>0</v>
      </c>
      <c r="F214" s="31">
        <v>0</v>
      </c>
      <c r="G214" s="31">
        <v>0</v>
      </c>
      <c r="H214" s="31">
        <v>0</v>
      </c>
      <c r="I214" s="144">
        <v>576161.37</v>
      </c>
      <c r="J214" s="31">
        <v>0</v>
      </c>
      <c r="K214" s="67">
        <v>0</v>
      </c>
      <c r="L214" s="31">
        <v>0</v>
      </c>
      <c r="M214" s="31">
        <v>0</v>
      </c>
      <c r="N214" s="31">
        <v>0</v>
      </c>
      <c r="O214" s="31">
        <v>0</v>
      </c>
      <c r="P214" s="31">
        <v>0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144">
        <v>5704</v>
      </c>
      <c r="AD214" s="31">
        <v>0</v>
      </c>
      <c r="AE214" s="31">
        <v>0</v>
      </c>
      <c r="AF214" s="33" t="s">
        <v>268</v>
      </c>
      <c r="AG214" s="33">
        <v>2020</v>
      </c>
      <c r="AH214" s="34">
        <v>2020</v>
      </c>
      <c r="BZ214" s="64"/>
      <c r="CD214" s="20" t="e">
        <f t="shared" si="25"/>
        <v>#N/A</v>
      </c>
    </row>
    <row r="215" spans="1:82" ht="61.5" x14ac:dyDescent="0.85">
      <c r="A215" s="20">
        <v>1</v>
      </c>
      <c r="B215" s="60">
        <f>SUBTOTAL(103,$A$22:A215)</f>
        <v>191</v>
      </c>
      <c r="C215" s="24" t="s">
        <v>1164</v>
      </c>
      <c r="D215" s="31">
        <f t="shared" si="26"/>
        <v>4997938.54</v>
      </c>
      <c r="E215" s="31">
        <v>0</v>
      </c>
      <c r="F215" s="31">
        <v>0</v>
      </c>
      <c r="G215" s="31">
        <v>0</v>
      </c>
      <c r="H215" s="31">
        <v>0</v>
      </c>
      <c r="I215" s="31">
        <v>0</v>
      </c>
      <c r="J215" s="31">
        <v>0</v>
      </c>
      <c r="K215" s="67">
        <v>0</v>
      </c>
      <c r="L215" s="31">
        <v>0</v>
      </c>
      <c r="M215" s="195">
        <v>1206.22</v>
      </c>
      <c r="N215" s="195">
        <v>4948943.99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0">
        <v>48994.55</v>
      </c>
      <c r="AD215" s="31">
        <v>0</v>
      </c>
      <c r="AE215" s="31">
        <v>0</v>
      </c>
      <c r="AF215" s="33" t="s">
        <v>268</v>
      </c>
      <c r="AG215" s="33">
        <v>2020</v>
      </c>
      <c r="AH215" s="34">
        <v>2020</v>
      </c>
      <c r="BZ215" s="64"/>
      <c r="CD215" s="20">
        <f t="shared" si="25"/>
        <v>1206.22</v>
      </c>
    </row>
    <row r="216" spans="1:82" ht="61.5" x14ac:dyDescent="0.85">
      <c r="A216" s="20">
        <v>1</v>
      </c>
      <c r="B216" s="60">
        <f>SUBTOTAL(103,$A$22:A216)</f>
        <v>192</v>
      </c>
      <c r="C216" s="24" t="s">
        <v>1167</v>
      </c>
      <c r="D216" s="31">
        <f t="shared" si="26"/>
        <v>3797251.5799999996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67">
        <v>0</v>
      </c>
      <c r="L216" s="31">
        <v>0</v>
      </c>
      <c r="M216" s="38">
        <v>1111.9000000000001</v>
      </c>
      <c r="N216" s="38">
        <v>3760027.3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8">
        <v>37224.28</v>
      </c>
      <c r="AD216" s="31">
        <v>0</v>
      </c>
      <c r="AE216" s="31">
        <v>0</v>
      </c>
      <c r="AF216" s="33" t="s">
        <v>268</v>
      </c>
      <c r="AG216" s="33">
        <v>2020</v>
      </c>
      <c r="AH216" s="34">
        <v>2020</v>
      </c>
      <c r="BZ216" s="64"/>
      <c r="CD216" s="20">
        <f t="shared" si="25"/>
        <v>1137.3</v>
      </c>
    </row>
    <row r="217" spans="1:82" ht="61.5" x14ac:dyDescent="0.85">
      <c r="A217" s="20">
        <v>1</v>
      </c>
      <c r="B217" s="60">
        <f>SUBTOTAL(103,$A$22:A217)</f>
        <v>193</v>
      </c>
      <c r="C217" s="24" t="s">
        <v>1168</v>
      </c>
      <c r="D217" s="31">
        <f t="shared" si="26"/>
        <v>1338677.8699999999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67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8">
        <v>379.48</v>
      </c>
      <c r="R217" s="38">
        <v>1325554.8799999999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8">
        <v>13122.99</v>
      </c>
      <c r="AD217" s="31">
        <v>0</v>
      </c>
      <c r="AE217" s="31">
        <v>0</v>
      </c>
      <c r="AF217" s="33" t="s">
        <v>268</v>
      </c>
      <c r="AG217" s="33">
        <v>2020</v>
      </c>
      <c r="AH217" s="34">
        <v>2020</v>
      </c>
      <c r="BZ217" s="64"/>
      <c r="CD217" s="20" t="e">
        <f t="shared" si="25"/>
        <v>#N/A</v>
      </c>
    </row>
    <row r="218" spans="1:82" ht="61.5" x14ac:dyDescent="0.85">
      <c r="A218" s="20">
        <v>1</v>
      </c>
      <c r="B218" s="60">
        <f>SUBTOTAL(103,$A$22:A218)</f>
        <v>194</v>
      </c>
      <c r="C218" s="24" t="s">
        <v>1169</v>
      </c>
      <c r="D218" s="31">
        <f t="shared" si="26"/>
        <v>4355063.8499999996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194">
        <v>3</v>
      </c>
      <c r="L218" s="38">
        <v>4355063.8499999996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3" t="s">
        <v>268</v>
      </c>
      <c r="AG218" s="33">
        <v>2020</v>
      </c>
      <c r="AH218" s="34" t="s">
        <v>268</v>
      </c>
      <c r="BZ218" s="64"/>
      <c r="CD218" s="20" t="e">
        <f t="shared" si="25"/>
        <v>#N/A</v>
      </c>
    </row>
    <row r="219" spans="1:82" ht="61.5" x14ac:dyDescent="0.85">
      <c r="A219" s="20">
        <v>1</v>
      </c>
      <c r="B219" s="60">
        <f>SUBTOTAL(103,$A$22:A219)</f>
        <v>195</v>
      </c>
      <c r="C219" s="24" t="s">
        <v>1170</v>
      </c>
      <c r="D219" s="31">
        <f t="shared" si="26"/>
        <v>1700754.66</v>
      </c>
      <c r="E219" s="31">
        <v>0</v>
      </c>
      <c r="F219" s="31">
        <v>0</v>
      </c>
      <c r="G219" s="31">
        <v>0</v>
      </c>
      <c r="H219" s="31">
        <v>0</v>
      </c>
      <c r="I219" s="31">
        <v>0</v>
      </c>
      <c r="J219" s="31">
        <v>0</v>
      </c>
      <c r="K219" s="67">
        <v>0</v>
      </c>
      <c r="L219" s="31">
        <v>0</v>
      </c>
      <c r="M219" s="31">
        <v>0</v>
      </c>
      <c r="N219" s="31">
        <v>0</v>
      </c>
      <c r="O219" s="31">
        <v>0</v>
      </c>
      <c r="P219" s="31">
        <v>0</v>
      </c>
      <c r="Q219" s="38">
        <v>503.64</v>
      </c>
      <c r="R219" s="144">
        <v>1684082.24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144">
        <v>16672.419999999998</v>
      </c>
      <c r="AD219" s="31">
        <v>0</v>
      </c>
      <c r="AE219" s="31">
        <v>0</v>
      </c>
      <c r="AF219" s="33" t="s">
        <v>268</v>
      </c>
      <c r="AG219" s="33">
        <v>2020</v>
      </c>
      <c r="AH219" s="34">
        <v>2020</v>
      </c>
      <c r="BZ219" s="64"/>
      <c r="CD219" s="20" t="e">
        <f t="shared" si="25"/>
        <v>#N/A</v>
      </c>
    </row>
    <row r="220" spans="1:82" ht="61.5" x14ac:dyDescent="0.85">
      <c r="A220" s="20">
        <v>1</v>
      </c>
      <c r="B220" s="60">
        <f>SUBTOTAL(103,$A$22:A220)</f>
        <v>196</v>
      </c>
      <c r="C220" s="24" t="s">
        <v>1171</v>
      </c>
      <c r="D220" s="31">
        <f t="shared" si="26"/>
        <v>1402602.78</v>
      </c>
      <c r="E220" s="31">
        <v>0</v>
      </c>
      <c r="F220" s="31">
        <v>0</v>
      </c>
      <c r="G220" s="31">
        <v>0</v>
      </c>
      <c r="H220" s="31">
        <v>0</v>
      </c>
      <c r="I220" s="31">
        <v>0</v>
      </c>
      <c r="J220" s="31">
        <v>0</v>
      </c>
      <c r="K220" s="67">
        <v>0</v>
      </c>
      <c r="L220" s="31">
        <v>0</v>
      </c>
      <c r="M220" s="31">
        <v>0</v>
      </c>
      <c r="N220" s="31">
        <v>0</v>
      </c>
      <c r="O220" s="31">
        <v>0</v>
      </c>
      <c r="P220" s="31">
        <v>0</v>
      </c>
      <c r="Q220" s="38">
        <v>392.5</v>
      </c>
      <c r="R220" s="38">
        <v>1350679.02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8">
        <v>13371.72</v>
      </c>
      <c r="AD220" s="38">
        <v>38552.04</v>
      </c>
      <c r="AE220" s="31">
        <v>0</v>
      </c>
      <c r="AF220" s="33">
        <v>2020</v>
      </c>
      <c r="AG220" s="33">
        <v>2020</v>
      </c>
      <c r="AH220" s="34">
        <v>2020</v>
      </c>
      <c r="BZ220" s="64"/>
      <c r="CD220" s="20" t="e">
        <f t="shared" si="25"/>
        <v>#N/A</v>
      </c>
    </row>
    <row r="221" spans="1:82" ht="61.5" x14ac:dyDescent="0.85">
      <c r="A221" s="20">
        <v>1</v>
      </c>
      <c r="B221" s="60">
        <f>SUBTOTAL(103,$A$22:A221)</f>
        <v>197</v>
      </c>
      <c r="C221" s="24" t="s">
        <v>1172</v>
      </c>
      <c r="D221" s="31">
        <f t="shared" si="26"/>
        <v>6356844.0800000001</v>
      </c>
      <c r="E221" s="31">
        <v>0</v>
      </c>
      <c r="F221" s="31">
        <v>0</v>
      </c>
      <c r="G221" s="31">
        <v>0</v>
      </c>
      <c r="H221" s="31">
        <v>0</v>
      </c>
      <c r="I221" s="31">
        <v>0</v>
      </c>
      <c r="J221" s="31">
        <v>0</v>
      </c>
      <c r="K221" s="194">
        <v>4</v>
      </c>
      <c r="L221" s="38">
        <v>6356844.0800000001</v>
      </c>
      <c r="M221" s="31">
        <v>0</v>
      </c>
      <c r="N221" s="31">
        <v>0</v>
      </c>
      <c r="O221" s="31">
        <v>0</v>
      </c>
      <c r="P221" s="31">
        <v>0</v>
      </c>
      <c r="Q221" s="31">
        <v>0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3" t="s">
        <v>268</v>
      </c>
      <c r="AG221" s="33">
        <v>2020</v>
      </c>
      <c r="AH221" s="34" t="s">
        <v>268</v>
      </c>
      <c r="BZ221" s="64"/>
      <c r="CD221" s="20" t="e">
        <f t="shared" si="25"/>
        <v>#N/A</v>
      </c>
    </row>
    <row r="222" spans="1:82" ht="61.5" x14ac:dyDescent="0.85">
      <c r="A222" s="20">
        <v>1</v>
      </c>
      <c r="B222" s="60">
        <f>SUBTOTAL(103,$A$22:A222)</f>
        <v>198</v>
      </c>
      <c r="C222" s="24" t="s">
        <v>1276</v>
      </c>
      <c r="D222" s="31">
        <f t="shared" si="26"/>
        <v>172775.04000000001</v>
      </c>
      <c r="E222" s="31">
        <v>0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67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f>ROUND(N222*1.5%,2)</f>
        <v>0</v>
      </c>
      <c r="AD222" s="144">
        <v>172775.04000000001</v>
      </c>
      <c r="AE222" s="31">
        <v>0</v>
      </c>
      <c r="AF222" s="33">
        <v>2020</v>
      </c>
      <c r="AG222" s="33" t="s">
        <v>268</v>
      </c>
      <c r="AH222" s="33" t="s">
        <v>268</v>
      </c>
      <c r="BZ222" s="64"/>
      <c r="CD222" s="20" t="e">
        <f t="shared" si="25"/>
        <v>#N/A</v>
      </c>
    </row>
    <row r="223" spans="1:82" ht="61.5" x14ac:dyDescent="0.85">
      <c r="A223" s="20">
        <v>1</v>
      </c>
      <c r="B223" s="60">
        <f>SUBTOTAL(103,$A$22:A223)</f>
        <v>199</v>
      </c>
      <c r="C223" s="24" t="s">
        <v>1368</v>
      </c>
      <c r="D223" s="31">
        <f t="shared" si="26"/>
        <v>13083489.59</v>
      </c>
      <c r="E223" s="31">
        <v>0</v>
      </c>
      <c r="F223" s="31">
        <v>0</v>
      </c>
      <c r="G223" s="31">
        <v>0</v>
      </c>
      <c r="H223" s="31">
        <v>0</v>
      </c>
      <c r="I223" s="31">
        <v>0</v>
      </c>
      <c r="J223" s="31">
        <v>0</v>
      </c>
      <c r="K223" s="194">
        <v>9</v>
      </c>
      <c r="L223" s="38">
        <v>13083489.59</v>
      </c>
      <c r="M223" s="31">
        <v>0</v>
      </c>
      <c r="N223" s="31">
        <v>0</v>
      </c>
      <c r="O223" s="31">
        <v>0</v>
      </c>
      <c r="P223" s="31">
        <v>0</v>
      </c>
      <c r="Q223" s="31">
        <v>0</v>
      </c>
      <c r="R223" s="31">
        <v>0</v>
      </c>
      <c r="S223" s="31">
        <v>0</v>
      </c>
      <c r="T223" s="31">
        <v>0</v>
      </c>
      <c r="U223" s="31">
        <v>0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3" t="s">
        <v>268</v>
      </c>
      <c r="AG223" s="33">
        <v>2020</v>
      </c>
      <c r="AH223" s="34" t="s">
        <v>268</v>
      </c>
      <c r="BZ223" s="64"/>
      <c r="CD223" s="20" t="e">
        <f t="shared" si="25"/>
        <v>#N/A</v>
      </c>
    </row>
    <row r="224" spans="1:82" ht="61.5" x14ac:dyDescent="0.85">
      <c r="A224" s="20">
        <v>1</v>
      </c>
      <c r="B224" s="60">
        <f>SUBTOTAL(103,$A$22:A224)</f>
        <v>200</v>
      </c>
      <c r="C224" s="24" t="s">
        <v>1384</v>
      </c>
      <c r="D224" s="31">
        <f t="shared" si="26"/>
        <v>5478127.7400000002</v>
      </c>
      <c r="E224" s="31">
        <v>0</v>
      </c>
      <c r="F224" s="31">
        <v>0</v>
      </c>
      <c r="G224" s="31">
        <v>0</v>
      </c>
      <c r="H224" s="31">
        <v>0</v>
      </c>
      <c r="I224" s="31">
        <v>0</v>
      </c>
      <c r="J224" s="31">
        <v>0</v>
      </c>
      <c r="K224" s="194">
        <v>3</v>
      </c>
      <c r="L224" s="38">
        <v>5478127.7400000002</v>
      </c>
      <c r="M224" s="31">
        <v>0</v>
      </c>
      <c r="N224" s="31">
        <v>0</v>
      </c>
      <c r="O224" s="31">
        <v>0</v>
      </c>
      <c r="P224" s="31">
        <v>0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3" t="s">
        <v>268</v>
      </c>
      <c r="AG224" s="33">
        <v>2020</v>
      </c>
      <c r="AH224" s="34" t="s">
        <v>268</v>
      </c>
      <c r="BZ224" s="64"/>
      <c r="CD224" s="20" t="e">
        <f t="shared" si="25"/>
        <v>#N/A</v>
      </c>
    </row>
    <row r="225" spans="1:82" ht="61.5" x14ac:dyDescent="0.85">
      <c r="A225" s="20">
        <v>1</v>
      </c>
      <c r="B225" s="60">
        <f>SUBTOTAL(103,$A$22:A225)</f>
        <v>201</v>
      </c>
      <c r="C225" s="24" t="s">
        <v>1385</v>
      </c>
      <c r="D225" s="31">
        <f t="shared" si="26"/>
        <v>7310851.2000000002</v>
      </c>
      <c r="E225" s="31">
        <v>0</v>
      </c>
      <c r="F225" s="31">
        <v>0</v>
      </c>
      <c r="G225" s="31">
        <v>0</v>
      </c>
      <c r="H225" s="31">
        <v>0</v>
      </c>
      <c r="I225" s="31">
        <v>0</v>
      </c>
      <c r="J225" s="31">
        <v>0</v>
      </c>
      <c r="K225" s="194">
        <v>4</v>
      </c>
      <c r="L225" s="38">
        <v>7310851.2000000002</v>
      </c>
      <c r="M225" s="31">
        <v>0</v>
      </c>
      <c r="N225" s="31">
        <v>0</v>
      </c>
      <c r="O225" s="31">
        <v>0</v>
      </c>
      <c r="P225" s="31">
        <v>0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3" t="s">
        <v>268</v>
      </c>
      <c r="AG225" s="33">
        <v>2020</v>
      </c>
      <c r="AH225" s="34" t="s">
        <v>268</v>
      </c>
      <c r="BZ225" s="64"/>
      <c r="CD225" s="20" t="e">
        <f t="shared" si="25"/>
        <v>#N/A</v>
      </c>
    </row>
    <row r="226" spans="1:82" ht="61.5" x14ac:dyDescent="0.85">
      <c r="A226" s="20">
        <v>1</v>
      </c>
      <c r="B226" s="60">
        <f>SUBTOTAL(103,$A$22:A226)</f>
        <v>202</v>
      </c>
      <c r="C226" s="24" t="s">
        <v>1386</v>
      </c>
      <c r="D226" s="31">
        <f t="shared" si="26"/>
        <v>5327196</v>
      </c>
      <c r="E226" s="31">
        <v>0</v>
      </c>
      <c r="F226" s="31">
        <v>0</v>
      </c>
      <c r="G226" s="31">
        <v>0</v>
      </c>
      <c r="H226" s="31">
        <v>0</v>
      </c>
      <c r="I226" s="31">
        <v>0</v>
      </c>
      <c r="J226" s="31">
        <v>0</v>
      </c>
      <c r="K226" s="194">
        <v>3</v>
      </c>
      <c r="L226" s="38">
        <v>5327196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3" t="s">
        <v>268</v>
      </c>
      <c r="AG226" s="33">
        <v>2020</v>
      </c>
      <c r="AH226" s="34" t="s">
        <v>268</v>
      </c>
      <c r="BZ226" s="64"/>
      <c r="CD226" s="20" t="e">
        <f t="shared" si="25"/>
        <v>#N/A</v>
      </c>
    </row>
    <row r="227" spans="1:82" ht="61.5" x14ac:dyDescent="0.85">
      <c r="A227" s="20">
        <v>1</v>
      </c>
      <c r="B227" s="60">
        <f>SUBTOTAL(103,$A$22:A227)</f>
        <v>203</v>
      </c>
      <c r="C227" s="24" t="s">
        <v>1387</v>
      </c>
      <c r="D227" s="31">
        <f t="shared" si="26"/>
        <v>7367915.9199999999</v>
      </c>
      <c r="E227" s="31">
        <v>0</v>
      </c>
      <c r="F227" s="31">
        <v>0</v>
      </c>
      <c r="G227" s="31">
        <v>0</v>
      </c>
      <c r="H227" s="31">
        <v>0</v>
      </c>
      <c r="I227" s="31">
        <v>0</v>
      </c>
      <c r="J227" s="31">
        <v>0</v>
      </c>
      <c r="K227" s="194">
        <v>4</v>
      </c>
      <c r="L227" s="38">
        <v>7367915.9199999999</v>
      </c>
      <c r="M227" s="31">
        <v>0</v>
      </c>
      <c r="N227" s="31">
        <v>0</v>
      </c>
      <c r="O227" s="31">
        <v>0</v>
      </c>
      <c r="P227" s="31">
        <v>0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3" t="s">
        <v>268</v>
      </c>
      <c r="AG227" s="33">
        <v>2020</v>
      </c>
      <c r="AH227" s="34" t="s">
        <v>268</v>
      </c>
      <c r="BZ227" s="64"/>
      <c r="CD227" s="20" t="e">
        <f t="shared" si="25"/>
        <v>#N/A</v>
      </c>
    </row>
    <row r="228" spans="1:82" ht="61.5" x14ac:dyDescent="0.85">
      <c r="A228" s="20">
        <v>1</v>
      </c>
      <c r="B228" s="60">
        <f>SUBTOTAL(103,$A$22:A228)</f>
        <v>204</v>
      </c>
      <c r="C228" s="24" t="s">
        <v>1388</v>
      </c>
      <c r="D228" s="31">
        <f t="shared" si="26"/>
        <v>5462413.6200000001</v>
      </c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0</v>
      </c>
      <c r="K228" s="194">
        <v>3</v>
      </c>
      <c r="L228" s="38">
        <v>5462413.6200000001</v>
      </c>
      <c r="M228" s="31">
        <v>0</v>
      </c>
      <c r="N228" s="31">
        <v>0</v>
      </c>
      <c r="O228" s="31">
        <v>0</v>
      </c>
      <c r="P228" s="31">
        <v>0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3" t="s">
        <v>268</v>
      </c>
      <c r="AG228" s="33">
        <v>2020</v>
      </c>
      <c r="AH228" s="34" t="s">
        <v>268</v>
      </c>
      <c r="BZ228" s="64"/>
      <c r="CD228" s="20" t="e">
        <f t="shared" si="25"/>
        <v>#N/A</v>
      </c>
    </row>
    <row r="229" spans="1:82" ht="61.5" x14ac:dyDescent="0.85">
      <c r="A229" s="20">
        <v>1</v>
      </c>
      <c r="B229" s="60">
        <f>SUBTOTAL(103,$A$22:A229)</f>
        <v>205</v>
      </c>
      <c r="C229" s="24" t="s">
        <v>1532</v>
      </c>
      <c r="D229" s="31">
        <f t="shared" si="26"/>
        <v>1452147.29</v>
      </c>
      <c r="E229" s="31">
        <v>0</v>
      </c>
      <c r="F229" s="31">
        <v>0</v>
      </c>
      <c r="G229" s="31">
        <v>0</v>
      </c>
      <c r="H229" s="31">
        <v>0</v>
      </c>
      <c r="I229" s="31">
        <v>0</v>
      </c>
      <c r="J229" s="31">
        <v>0</v>
      </c>
      <c r="K229" s="194">
        <v>1</v>
      </c>
      <c r="L229" s="38">
        <v>1452147.29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3" t="s">
        <v>268</v>
      </c>
      <c r="AG229" s="33">
        <v>2020</v>
      </c>
      <c r="AH229" s="34" t="s">
        <v>268</v>
      </c>
      <c r="BZ229" s="64"/>
      <c r="CD229" s="20" t="e">
        <f t="shared" si="25"/>
        <v>#N/A</v>
      </c>
    </row>
    <row r="230" spans="1:82" ht="61.5" x14ac:dyDescent="0.85">
      <c r="A230" s="20">
        <v>1</v>
      </c>
      <c r="B230" s="60">
        <f>SUBTOTAL(103,$A$22:A230)</f>
        <v>206</v>
      </c>
      <c r="C230" s="24" t="s">
        <v>1533</v>
      </c>
      <c r="D230" s="31">
        <f t="shared" si="26"/>
        <v>2915220.6</v>
      </c>
      <c r="E230" s="31">
        <v>0</v>
      </c>
      <c r="F230" s="31">
        <v>0</v>
      </c>
      <c r="G230" s="31">
        <v>0</v>
      </c>
      <c r="H230" s="31">
        <v>0</v>
      </c>
      <c r="I230" s="31">
        <v>0</v>
      </c>
      <c r="J230" s="31">
        <v>0</v>
      </c>
      <c r="K230" s="194">
        <v>2</v>
      </c>
      <c r="L230" s="38">
        <v>2915220.6</v>
      </c>
      <c r="M230" s="31">
        <v>0</v>
      </c>
      <c r="N230" s="31">
        <v>0</v>
      </c>
      <c r="O230" s="31">
        <v>0</v>
      </c>
      <c r="P230" s="31">
        <v>0</v>
      </c>
      <c r="Q230" s="31">
        <v>0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3" t="s">
        <v>268</v>
      </c>
      <c r="AG230" s="33">
        <v>2020</v>
      </c>
      <c r="AH230" s="34" t="s">
        <v>268</v>
      </c>
      <c r="BZ230" s="64"/>
      <c r="CD230" s="20" t="e">
        <f t="shared" si="25"/>
        <v>#N/A</v>
      </c>
    </row>
    <row r="231" spans="1:82" ht="61.5" x14ac:dyDescent="0.85">
      <c r="A231" s="20">
        <v>1</v>
      </c>
      <c r="B231" s="60">
        <f>SUBTOTAL(103,$A$22:A231)</f>
        <v>207</v>
      </c>
      <c r="C231" s="24" t="s">
        <v>1534</v>
      </c>
      <c r="D231" s="31">
        <f t="shared" si="26"/>
        <v>4354761.09</v>
      </c>
      <c r="E231" s="31">
        <v>0</v>
      </c>
      <c r="F231" s="31">
        <v>0</v>
      </c>
      <c r="G231" s="31">
        <v>0</v>
      </c>
      <c r="H231" s="31">
        <v>0</v>
      </c>
      <c r="I231" s="31">
        <v>0</v>
      </c>
      <c r="J231" s="31">
        <v>0</v>
      </c>
      <c r="K231" s="194">
        <v>3</v>
      </c>
      <c r="L231" s="38">
        <v>4354761.09</v>
      </c>
      <c r="M231" s="31">
        <v>0</v>
      </c>
      <c r="N231" s="31">
        <v>0</v>
      </c>
      <c r="O231" s="31">
        <v>0</v>
      </c>
      <c r="P231" s="31">
        <v>0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3" t="s">
        <v>268</v>
      </c>
      <c r="AG231" s="33">
        <v>2020</v>
      </c>
      <c r="AH231" s="34" t="s">
        <v>268</v>
      </c>
      <c r="BZ231" s="64"/>
      <c r="CD231" s="20" t="e">
        <f t="shared" si="25"/>
        <v>#N/A</v>
      </c>
    </row>
    <row r="232" spans="1:82" ht="61.5" x14ac:dyDescent="0.85">
      <c r="A232" s="20">
        <v>1</v>
      </c>
      <c r="B232" s="60">
        <f>SUBTOTAL(103,$A$22:A232)</f>
        <v>208</v>
      </c>
      <c r="C232" s="24" t="s">
        <v>774</v>
      </c>
      <c r="D232" s="31">
        <f t="shared" si="26"/>
        <v>4557762.04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67">
        <v>3</v>
      </c>
      <c r="L232" s="31">
        <f>1491526.65+1491526.66+1491526.66</f>
        <v>4474579.97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83182.070000000007</v>
      </c>
      <c r="AE232" s="31">
        <v>0</v>
      </c>
      <c r="AF232" s="33">
        <v>2020</v>
      </c>
      <c r="AG232" s="33">
        <v>2020</v>
      </c>
      <c r="AH232" s="34" t="s">
        <v>268</v>
      </c>
      <c r="AT232" s="20" t="e">
        <f>VLOOKUP(C232,AW:AX,2,FALSE)</f>
        <v>#N/A</v>
      </c>
      <c r="BZ232" s="64"/>
      <c r="CD232" s="20" t="e">
        <f t="shared" si="25"/>
        <v>#N/A</v>
      </c>
    </row>
    <row r="233" spans="1:82" ht="61.5" x14ac:dyDescent="0.85">
      <c r="A233" s="20">
        <v>1</v>
      </c>
      <c r="B233" s="60">
        <f>SUBTOTAL(103,$A$22:A233)</f>
        <v>209</v>
      </c>
      <c r="C233" s="24" t="s">
        <v>777</v>
      </c>
      <c r="D233" s="31">
        <f t="shared" si="26"/>
        <v>3054448.7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0</v>
      </c>
      <c r="K233" s="67">
        <v>2</v>
      </c>
      <c r="L233" s="31">
        <f>1489026.29+1489026.29</f>
        <v>2978052.58</v>
      </c>
      <c r="M233" s="31">
        <v>0</v>
      </c>
      <c r="N233" s="31">
        <v>0</v>
      </c>
      <c r="O233" s="31">
        <v>0</v>
      </c>
      <c r="P233" s="31">
        <v>0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76396.12</v>
      </c>
      <c r="AE233" s="31">
        <v>0</v>
      </c>
      <c r="AF233" s="33">
        <v>2020</v>
      </c>
      <c r="AG233" s="33">
        <v>2020</v>
      </c>
      <c r="AH233" s="34" t="s">
        <v>268</v>
      </c>
      <c r="AT233" s="20" t="e">
        <f>VLOOKUP(C233,AW:AX,2,FALSE)</f>
        <v>#N/A</v>
      </c>
      <c r="BZ233" s="64"/>
      <c r="CD233" s="20" t="e">
        <f t="shared" si="25"/>
        <v>#N/A</v>
      </c>
    </row>
    <row r="234" spans="1:82" ht="61.5" x14ac:dyDescent="0.85">
      <c r="A234" s="20">
        <v>1</v>
      </c>
      <c r="B234" s="60">
        <f>SUBTOTAL(103,$A$22:A234)</f>
        <v>210</v>
      </c>
      <c r="C234" s="24" t="s">
        <v>779</v>
      </c>
      <c r="D234" s="31">
        <f t="shared" si="26"/>
        <v>3051298.6999999997</v>
      </c>
      <c r="E234" s="31">
        <v>0</v>
      </c>
      <c r="F234" s="31">
        <v>0</v>
      </c>
      <c r="G234" s="31">
        <v>0</v>
      </c>
      <c r="H234" s="31">
        <v>0</v>
      </c>
      <c r="I234" s="31">
        <v>0</v>
      </c>
      <c r="J234" s="31">
        <v>0</v>
      </c>
      <c r="K234" s="67">
        <v>2</v>
      </c>
      <c r="L234" s="31">
        <f>1487377.4+1487377.4</f>
        <v>2974754.8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76543.899999999994</v>
      </c>
      <c r="AE234" s="31">
        <v>0</v>
      </c>
      <c r="AF234" s="33">
        <v>2020</v>
      </c>
      <c r="AG234" s="33">
        <v>2020</v>
      </c>
      <c r="AH234" s="34" t="s">
        <v>268</v>
      </c>
      <c r="AT234" s="20" t="e">
        <f>VLOOKUP(C234,AW:AX,2,FALSE)</f>
        <v>#N/A</v>
      </c>
      <c r="BZ234" s="64"/>
      <c r="CD234" s="20" t="e">
        <f t="shared" si="25"/>
        <v>#N/A</v>
      </c>
    </row>
    <row r="235" spans="1:82" ht="61.5" x14ac:dyDescent="0.85">
      <c r="A235" s="20">
        <v>1</v>
      </c>
      <c r="B235" s="60">
        <f>SUBTOTAL(103,$A$22:A235)</f>
        <v>211</v>
      </c>
      <c r="C235" s="24" t="s">
        <v>775</v>
      </c>
      <c r="D235" s="31">
        <f t="shared" si="26"/>
        <v>123350.33</v>
      </c>
      <c r="E235" s="31">
        <v>0</v>
      </c>
      <c r="F235" s="31">
        <v>0</v>
      </c>
      <c r="G235" s="31">
        <v>0</v>
      </c>
      <c r="H235" s="31">
        <v>0</v>
      </c>
      <c r="I235" s="31">
        <v>0</v>
      </c>
      <c r="J235" s="31">
        <v>0</v>
      </c>
      <c r="K235" s="67">
        <v>0</v>
      </c>
      <c r="L235" s="31">
        <v>0</v>
      </c>
      <c r="M235" s="31">
        <v>0</v>
      </c>
      <c r="N235" s="31">
        <v>0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123350.33</v>
      </c>
      <c r="AE235" s="31">
        <v>0</v>
      </c>
      <c r="AF235" s="33">
        <v>2020</v>
      </c>
      <c r="AG235" s="33" t="s">
        <v>268</v>
      </c>
      <c r="AH235" s="34" t="s">
        <v>268</v>
      </c>
      <c r="AT235" s="20" t="e">
        <f>VLOOKUP(C235,AW:AX,2,FALSE)</f>
        <v>#N/A</v>
      </c>
      <c r="BZ235" s="64"/>
      <c r="CD235" s="20" t="e">
        <f t="shared" si="25"/>
        <v>#N/A</v>
      </c>
    </row>
    <row r="236" spans="1:82" ht="61.5" x14ac:dyDescent="0.85">
      <c r="A236" s="20">
        <v>1</v>
      </c>
      <c r="B236" s="60">
        <f>SUBTOTAL(103,$A$22:A236)</f>
        <v>212</v>
      </c>
      <c r="C236" s="24" t="s">
        <v>780</v>
      </c>
      <c r="D236" s="31">
        <f t="shared" si="26"/>
        <v>1765429.7</v>
      </c>
      <c r="E236" s="31">
        <v>0</v>
      </c>
      <c r="F236" s="31">
        <v>0</v>
      </c>
      <c r="G236" s="31">
        <v>0</v>
      </c>
      <c r="H236" s="31">
        <v>0</v>
      </c>
      <c r="I236" s="31">
        <v>0</v>
      </c>
      <c r="J236" s="31">
        <v>0</v>
      </c>
      <c r="K236" s="67">
        <v>1</v>
      </c>
      <c r="L236" s="31">
        <v>1653491.95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8">
        <v>111937.75</v>
      </c>
      <c r="AE236" s="31">
        <v>0</v>
      </c>
      <c r="AF236" s="33">
        <v>2020</v>
      </c>
      <c r="AG236" s="33">
        <v>2020</v>
      </c>
      <c r="AH236" s="34" t="s">
        <v>268</v>
      </c>
      <c r="AT236" s="20" t="e">
        <f>VLOOKUP(C236,AW:AX,2,FALSE)</f>
        <v>#N/A</v>
      </c>
      <c r="BZ236" s="64"/>
      <c r="CD236" s="20" t="e">
        <f t="shared" si="25"/>
        <v>#N/A</v>
      </c>
    </row>
    <row r="237" spans="1:82" ht="61.5" x14ac:dyDescent="0.85">
      <c r="A237" s="20">
        <v>1</v>
      </c>
      <c r="B237" s="60">
        <f>SUBTOTAL(103,$A$22:A237)</f>
        <v>213</v>
      </c>
      <c r="C237" s="24" t="s">
        <v>1673</v>
      </c>
      <c r="D237" s="31">
        <f t="shared" si="26"/>
        <v>3250173.78</v>
      </c>
      <c r="E237" s="31">
        <v>0</v>
      </c>
      <c r="F237" s="31">
        <v>0</v>
      </c>
      <c r="G237" s="31">
        <v>0</v>
      </c>
      <c r="H237" s="31">
        <v>0</v>
      </c>
      <c r="I237" s="31">
        <v>0</v>
      </c>
      <c r="J237" s="31">
        <v>0</v>
      </c>
      <c r="K237" s="67">
        <v>2</v>
      </c>
      <c r="L237" s="31">
        <f>1570767.74+1573234.74</f>
        <v>3144002.48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8">
        <v>106171.3</v>
      </c>
      <c r="AE237" s="31">
        <v>0</v>
      </c>
      <c r="AF237" s="33">
        <v>2020</v>
      </c>
      <c r="AG237" s="33">
        <v>2020</v>
      </c>
      <c r="AH237" s="34" t="s">
        <v>268</v>
      </c>
      <c r="BZ237" s="64"/>
      <c r="CD237" s="20" t="e">
        <f t="shared" si="25"/>
        <v>#N/A</v>
      </c>
    </row>
    <row r="238" spans="1:82" ht="61.5" x14ac:dyDescent="0.85">
      <c r="A238" s="20">
        <v>1</v>
      </c>
      <c r="B238" s="60">
        <f>SUBTOTAL(103,$A$22:A238)</f>
        <v>214</v>
      </c>
      <c r="C238" s="24" t="s">
        <v>1166</v>
      </c>
      <c r="D238" s="31">
        <f t="shared" si="26"/>
        <v>209545.8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67">
        <v>0</v>
      </c>
      <c r="L238" s="31">
        <v>0</v>
      </c>
      <c r="M238" s="31">
        <v>0</v>
      </c>
      <c r="N238" s="31">
        <v>0</v>
      </c>
      <c r="O238" s="31">
        <v>0</v>
      </c>
      <c r="P238" s="31">
        <v>0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f>ROUND(R238*1.5%,2)</f>
        <v>0</v>
      </c>
      <c r="AD238" s="31">
        <v>209545.8</v>
      </c>
      <c r="AE238" s="31">
        <v>0</v>
      </c>
      <c r="AF238" s="33">
        <v>2020</v>
      </c>
      <c r="AG238" s="33" t="s">
        <v>268</v>
      </c>
      <c r="AH238" s="33" t="s">
        <v>268</v>
      </c>
      <c r="BZ238" s="64"/>
      <c r="CD238" s="20" t="e">
        <f t="shared" si="25"/>
        <v>#N/A</v>
      </c>
    </row>
    <row r="239" spans="1:82" ht="61.5" x14ac:dyDescent="0.85">
      <c r="B239" s="24" t="s">
        <v>758</v>
      </c>
      <c r="C239" s="198"/>
      <c r="D239" s="199">
        <f t="shared" ref="D239:AE239" si="27">SUM(D240:D244)</f>
        <v>11570369.789999999</v>
      </c>
      <c r="E239" s="31">
        <f t="shared" si="27"/>
        <v>0</v>
      </c>
      <c r="F239" s="31">
        <f t="shared" si="27"/>
        <v>0</v>
      </c>
      <c r="G239" s="31">
        <f t="shared" si="27"/>
        <v>0</v>
      </c>
      <c r="H239" s="31">
        <f t="shared" si="27"/>
        <v>0</v>
      </c>
      <c r="I239" s="31">
        <f t="shared" si="27"/>
        <v>0</v>
      </c>
      <c r="J239" s="31">
        <f t="shared" si="27"/>
        <v>0</v>
      </c>
      <c r="K239" s="67">
        <f t="shared" si="27"/>
        <v>4</v>
      </c>
      <c r="L239" s="31">
        <f t="shared" si="27"/>
        <v>6300657.04</v>
      </c>
      <c r="M239" s="31">
        <f t="shared" si="27"/>
        <v>346.6</v>
      </c>
      <c r="N239" s="31">
        <f t="shared" si="27"/>
        <v>1209598.77</v>
      </c>
      <c r="O239" s="31">
        <f t="shared" si="27"/>
        <v>0</v>
      </c>
      <c r="P239" s="31">
        <f t="shared" si="27"/>
        <v>0</v>
      </c>
      <c r="Q239" s="31">
        <f t="shared" si="27"/>
        <v>2995.9</v>
      </c>
      <c r="R239" s="31">
        <f t="shared" si="27"/>
        <v>3560240.43</v>
      </c>
      <c r="S239" s="31">
        <f t="shared" si="27"/>
        <v>0</v>
      </c>
      <c r="T239" s="31">
        <f t="shared" si="27"/>
        <v>0</v>
      </c>
      <c r="U239" s="31">
        <f t="shared" si="27"/>
        <v>0</v>
      </c>
      <c r="V239" s="31">
        <f t="shared" si="27"/>
        <v>0</v>
      </c>
      <c r="W239" s="31">
        <f t="shared" si="27"/>
        <v>0</v>
      </c>
      <c r="X239" s="31">
        <f t="shared" si="27"/>
        <v>0</v>
      </c>
      <c r="Y239" s="31">
        <f t="shared" si="27"/>
        <v>0</v>
      </c>
      <c r="Z239" s="31">
        <f t="shared" si="27"/>
        <v>0</v>
      </c>
      <c r="AA239" s="31">
        <f t="shared" si="27"/>
        <v>0</v>
      </c>
      <c r="AB239" s="31">
        <f t="shared" si="27"/>
        <v>0</v>
      </c>
      <c r="AC239" s="31">
        <f t="shared" si="27"/>
        <v>30765.46</v>
      </c>
      <c r="AD239" s="31">
        <f t="shared" si="27"/>
        <v>469108.09</v>
      </c>
      <c r="AE239" s="31">
        <f t="shared" si="27"/>
        <v>0</v>
      </c>
      <c r="AF239" s="65" t="s">
        <v>751</v>
      </c>
      <c r="AG239" s="65" t="s">
        <v>751</v>
      </c>
      <c r="AH239" s="79" t="s">
        <v>751</v>
      </c>
      <c r="AT239" s="20" t="e">
        <f>VLOOKUP(C239,AW:AX,2,FALSE)</f>
        <v>#N/A</v>
      </c>
      <c r="BZ239" s="64">
        <v>51784138.459999993</v>
      </c>
      <c r="CB239" s="64">
        <f>BZ239-D239</f>
        <v>40213768.669999994</v>
      </c>
      <c r="CD239" s="20" t="e">
        <f t="shared" si="25"/>
        <v>#N/A</v>
      </c>
    </row>
    <row r="240" spans="1:82" ht="61.5" x14ac:dyDescent="0.85">
      <c r="A240" s="20">
        <v>1</v>
      </c>
      <c r="B240" s="60">
        <f>SUBTOTAL(103,$A$22:A240)</f>
        <v>215</v>
      </c>
      <c r="C240" s="24" t="s">
        <v>379</v>
      </c>
      <c r="D240" s="31">
        <f>E240+F240+G240+H240+I240+J240+L240+N240+P240+R240+T240+U240+V240+W240+X240+Y240+Z240+AA240+AB240+AC240+AD240+AE240</f>
        <v>1217400.68</v>
      </c>
      <c r="E240" s="31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67">
        <v>0</v>
      </c>
      <c r="L240" s="31">
        <v>0</v>
      </c>
      <c r="M240" s="38">
        <v>346.6</v>
      </c>
      <c r="N240" s="38">
        <v>1209598.77</v>
      </c>
      <c r="O240" s="31">
        <v>0</v>
      </c>
      <c r="P240" s="31">
        <v>0</v>
      </c>
      <c r="Q240" s="31">
        <v>0</v>
      </c>
      <c r="R240" s="31">
        <v>0</v>
      </c>
      <c r="S240" s="31">
        <v>0</v>
      </c>
      <c r="T240" s="31">
        <v>0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8">
        <v>7801.91</v>
      </c>
      <c r="AD240" s="31">
        <v>0</v>
      </c>
      <c r="AE240" s="31">
        <v>0</v>
      </c>
      <c r="AF240" s="33" t="s">
        <v>268</v>
      </c>
      <c r="AG240" s="33">
        <v>2020</v>
      </c>
      <c r="AH240" s="34">
        <v>2020</v>
      </c>
      <c r="AT240" s="20" t="e">
        <f>VLOOKUP(C240,AW:AX,2,FALSE)</f>
        <v>#N/A</v>
      </c>
      <c r="BZ240" s="64"/>
      <c r="CB240" s="64"/>
      <c r="CD240" s="20">
        <f t="shared" si="25"/>
        <v>386.2</v>
      </c>
    </row>
    <row r="241" spans="1:82" ht="61.5" x14ac:dyDescent="0.85">
      <c r="A241" s="20">
        <v>1</v>
      </c>
      <c r="B241" s="60">
        <f>SUBTOTAL(103,$A$22:A241)</f>
        <v>216</v>
      </c>
      <c r="C241" s="24" t="s">
        <v>380</v>
      </c>
      <c r="D241" s="31">
        <f>E241+F241+G241+H241+I241+J241+L241+N241+P241+R241+T241+U241+V241+W241+X241+Y241+Z241+AA241+AB241+AC241+AD241+AE241</f>
        <v>3757493.57</v>
      </c>
      <c r="E241" s="31">
        <v>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67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8">
        <v>2995.9</v>
      </c>
      <c r="R241" s="144">
        <v>3560240.43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144">
        <v>22963.55</v>
      </c>
      <c r="AD241" s="38">
        <v>174289.59</v>
      </c>
      <c r="AE241" s="31">
        <v>0</v>
      </c>
      <c r="AF241" s="33">
        <v>2020</v>
      </c>
      <c r="AG241" s="33">
        <v>2020</v>
      </c>
      <c r="AH241" s="34">
        <v>2020</v>
      </c>
      <c r="AT241" s="20" t="e">
        <f>VLOOKUP(C241,AW:AX,2,FALSE)</f>
        <v>#N/A</v>
      </c>
      <c r="BZ241" s="64"/>
      <c r="CD241" s="20" t="e">
        <f t="shared" si="25"/>
        <v>#N/A</v>
      </c>
    </row>
    <row r="242" spans="1:82" ht="61.5" x14ac:dyDescent="0.85">
      <c r="A242" s="20">
        <v>1</v>
      </c>
      <c r="B242" s="60">
        <f>SUBTOTAL(103,$A$22:A242)</f>
        <v>217</v>
      </c>
      <c r="C242" s="24" t="s">
        <v>381</v>
      </c>
      <c r="D242" s="31">
        <f>E242+F242+G242+H242+I242+J242+L242+N242+P242+R242+T242+U242+V242+W242+X242+Y242+Z242+AA242+AB242+AC242+AD242+AE242</f>
        <v>174120.8</v>
      </c>
      <c r="E242" s="31">
        <v>0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67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0</v>
      </c>
      <c r="S242" s="31">
        <v>0</v>
      </c>
      <c r="T242" s="31">
        <v>0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f>ROUND(R242*1.5%,2)</f>
        <v>0</v>
      </c>
      <c r="AD242" s="144">
        <v>174120.8</v>
      </c>
      <c r="AE242" s="31">
        <v>0</v>
      </c>
      <c r="AF242" s="33">
        <v>2020</v>
      </c>
      <c r="AG242" s="34" t="s">
        <v>268</v>
      </c>
      <c r="AH242" s="34" t="s">
        <v>268</v>
      </c>
      <c r="AT242" s="20" t="e">
        <f>VLOOKUP(C242,AW:AX,2,FALSE)</f>
        <v>#N/A</v>
      </c>
      <c r="BZ242" s="64"/>
      <c r="CD242" s="20" t="e">
        <f t="shared" si="25"/>
        <v>#N/A</v>
      </c>
    </row>
    <row r="243" spans="1:82" ht="61.5" x14ac:dyDescent="0.85">
      <c r="A243" s="20">
        <v>1</v>
      </c>
      <c r="B243" s="60">
        <f>SUBTOTAL(103,$A$22:A243)</f>
        <v>218</v>
      </c>
      <c r="C243" s="24" t="s">
        <v>1551</v>
      </c>
      <c r="D243" s="31">
        <f>E243+F243+G243+H243+I243+J243+L243+N243+P243+R243+T243+U243+V243+W243+X243+Y243+Z243+AA243+AB243+AC243+AD243+AE243</f>
        <v>6300657.04</v>
      </c>
      <c r="E243" s="31">
        <v>0</v>
      </c>
      <c r="F243" s="31">
        <v>0</v>
      </c>
      <c r="G243" s="31">
        <v>0</v>
      </c>
      <c r="H243" s="31">
        <v>0</v>
      </c>
      <c r="I243" s="31">
        <v>0</v>
      </c>
      <c r="J243" s="31">
        <v>0</v>
      </c>
      <c r="K243" s="194">
        <v>4</v>
      </c>
      <c r="L243" s="38">
        <v>6300657.04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3" t="s">
        <v>268</v>
      </c>
      <c r="AG243" s="33">
        <v>2020</v>
      </c>
      <c r="AH243" s="34" t="s">
        <v>268</v>
      </c>
      <c r="BZ243" s="64"/>
      <c r="CD243" s="20" t="e">
        <f t="shared" si="25"/>
        <v>#N/A</v>
      </c>
    </row>
    <row r="244" spans="1:82" ht="61.5" x14ac:dyDescent="0.85">
      <c r="A244" s="20">
        <v>1</v>
      </c>
      <c r="B244" s="60">
        <f>SUBTOTAL(103,$A$22:A244)</f>
        <v>219</v>
      </c>
      <c r="C244" s="24" t="s">
        <v>382</v>
      </c>
      <c r="D244" s="31">
        <f>E244+F244+G244+H244+I244+J244+L244+N244+P244+R244+T244+U244+V244+W244+X244+Y244+Z244+AA244+AB244+AC244+AD244+AE244</f>
        <v>120697.7</v>
      </c>
      <c r="E244" s="31">
        <v>0</v>
      </c>
      <c r="F244" s="31">
        <v>0</v>
      </c>
      <c r="G244" s="31">
        <v>0</v>
      </c>
      <c r="H244" s="31">
        <v>0</v>
      </c>
      <c r="I244" s="31">
        <v>0</v>
      </c>
      <c r="J244" s="31">
        <v>0</v>
      </c>
      <c r="K244" s="67">
        <v>0</v>
      </c>
      <c r="L244" s="31">
        <v>0</v>
      </c>
      <c r="M244" s="31">
        <v>0</v>
      </c>
      <c r="N244" s="31">
        <v>0</v>
      </c>
      <c r="O244" s="31">
        <v>0</v>
      </c>
      <c r="P244" s="31">
        <v>0</v>
      </c>
      <c r="Q244" s="31">
        <v>0</v>
      </c>
      <c r="R244" s="31">
        <v>0</v>
      </c>
      <c r="S244" s="31">
        <v>0</v>
      </c>
      <c r="T244" s="31">
        <v>0</v>
      </c>
      <c r="U244" s="31">
        <v>0</v>
      </c>
      <c r="V244" s="31">
        <v>0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120697.7</v>
      </c>
      <c r="AE244" s="31">
        <v>0</v>
      </c>
      <c r="AF244" s="33">
        <v>2020</v>
      </c>
      <c r="AG244" s="34" t="s">
        <v>268</v>
      </c>
      <c r="AH244" s="34" t="s">
        <v>268</v>
      </c>
      <c r="AT244" s="20" t="e">
        <f t="shared" ref="AT244:AT255" si="28">VLOOKUP(C244,AW:AX,2,FALSE)</f>
        <v>#N/A</v>
      </c>
      <c r="BZ244" s="64"/>
      <c r="CD244" s="20" t="e">
        <f t="shared" si="25"/>
        <v>#N/A</v>
      </c>
    </row>
    <row r="245" spans="1:82" ht="61.5" x14ac:dyDescent="0.85">
      <c r="B245" s="24" t="s">
        <v>815</v>
      </c>
      <c r="C245" s="198"/>
      <c r="D245" s="199">
        <f t="shared" ref="D245:AE245" si="29">SUM(D246:D271)</f>
        <v>65365711.729999989</v>
      </c>
      <c r="E245" s="31">
        <f t="shared" si="29"/>
        <v>682532.23</v>
      </c>
      <c r="F245" s="31">
        <f t="shared" si="29"/>
        <v>1291083.82</v>
      </c>
      <c r="G245" s="31">
        <f t="shared" si="29"/>
        <v>0</v>
      </c>
      <c r="H245" s="31">
        <f t="shared" si="29"/>
        <v>288852.59999999998</v>
      </c>
      <c r="I245" s="31">
        <f t="shared" si="29"/>
        <v>0</v>
      </c>
      <c r="J245" s="31">
        <f t="shared" si="29"/>
        <v>0</v>
      </c>
      <c r="K245" s="67">
        <f t="shared" si="29"/>
        <v>5</v>
      </c>
      <c r="L245" s="31">
        <f t="shared" si="29"/>
        <v>8620900.5199999996</v>
      </c>
      <c r="M245" s="31">
        <f t="shared" si="29"/>
        <v>15160.69</v>
      </c>
      <c r="N245" s="31">
        <f t="shared" si="29"/>
        <v>51287574.990000002</v>
      </c>
      <c r="O245" s="31">
        <f t="shared" si="29"/>
        <v>0</v>
      </c>
      <c r="P245" s="31">
        <f t="shared" si="29"/>
        <v>0</v>
      </c>
      <c r="Q245" s="31">
        <f t="shared" si="29"/>
        <v>639.89</v>
      </c>
      <c r="R245" s="31">
        <f t="shared" si="29"/>
        <v>1660924.18</v>
      </c>
      <c r="S245" s="31">
        <f t="shared" si="29"/>
        <v>0</v>
      </c>
      <c r="T245" s="31">
        <f t="shared" si="29"/>
        <v>0</v>
      </c>
      <c r="U245" s="31">
        <f t="shared" si="29"/>
        <v>0</v>
      </c>
      <c r="V245" s="31">
        <f t="shared" si="29"/>
        <v>0</v>
      </c>
      <c r="W245" s="31">
        <f t="shared" si="29"/>
        <v>0</v>
      </c>
      <c r="X245" s="31">
        <f t="shared" si="29"/>
        <v>0</v>
      </c>
      <c r="Y245" s="31">
        <f t="shared" si="29"/>
        <v>0</v>
      </c>
      <c r="Z245" s="31">
        <f t="shared" si="29"/>
        <v>0</v>
      </c>
      <c r="AA245" s="31">
        <f t="shared" si="29"/>
        <v>0</v>
      </c>
      <c r="AB245" s="31">
        <f t="shared" si="29"/>
        <v>0</v>
      </c>
      <c r="AC245" s="31">
        <f t="shared" si="29"/>
        <v>474788.58</v>
      </c>
      <c r="AD245" s="31">
        <f t="shared" si="29"/>
        <v>1059054.8099999998</v>
      </c>
      <c r="AE245" s="31">
        <f t="shared" si="29"/>
        <v>0</v>
      </c>
      <c r="AF245" s="65" t="s">
        <v>751</v>
      </c>
      <c r="AG245" s="65" t="s">
        <v>751</v>
      </c>
      <c r="AH245" s="79" t="s">
        <v>751</v>
      </c>
      <c r="AT245" s="20" t="e">
        <f t="shared" si="28"/>
        <v>#N/A</v>
      </c>
      <c r="BZ245" s="31">
        <v>113740245.04000002</v>
      </c>
      <c r="CA245" s="31"/>
      <c r="CB245" s="31">
        <f>BZ245-D245</f>
        <v>48374533.310000032</v>
      </c>
      <c r="CD245" s="20" t="e">
        <f t="shared" si="25"/>
        <v>#N/A</v>
      </c>
    </row>
    <row r="246" spans="1:82" ht="61.5" x14ac:dyDescent="0.85">
      <c r="A246" s="20">
        <v>1</v>
      </c>
      <c r="B246" s="60">
        <f>SUBTOTAL(103,$A$22:A246)</f>
        <v>220</v>
      </c>
      <c r="C246" s="24" t="s">
        <v>614</v>
      </c>
      <c r="D246" s="31">
        <f t="shared" ref="D246:D269" si="30">E246+F246+G246+H246+I246+J246+L246+N246+P246+R246+T246+U246+V246+W246+X246+Y246+Z246+AA246+AB246+AC246+AD246+AE246</f>
        <v>3589738.75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194">
        <v>2</v>
      </c>
      <c r="L246" s="38">
        <f>1884703.03+1705035.72</f>
        <v>3589738.75</v>
      </c>
      <c r="M246" s="31">
        <v>0</v>
      </c>
      <c r="N246" s="31">
        <v>0</v>
      </c>
      <c r="O246" s="35">
        <v>0</v>
      </c>
      <c r="P246" s="35">
        <v>0</v>
      </c>
      <c r="Q246" s="35">
        <v>0</v>
      </c>
      <c r="R246" s="35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3" t="s">
        <v>268</v>
      </c>
      <c r="AG246" s="33">
        <v>2020</v>
      </c>
      <c r="AH246" s="34" t="s">
        <v>268</v>
      </c>
      <c r="AT246" s="20" t="e">
        <f t="shared" si="28"/>
        <v>#N/A</v>
      </c>
      <c r="BZ246" s="64"/>
      <c r="CD246" s="20" t="e">
        <f t="shared" si="25"/>
        <v>#N/A</v>
      </c>
    </row>
    <row r="247" spans="1:82" ht="61.5" x14ac:dyDescent="0.85">
      <c r="A247" s="20">
        <v>1</v>
      </c>
      <c r="B247" s="60">
        <f>SUBTOTAL(103,$A$22:A247)</f>
        <v>221</v>
      </c>
      <c r="C247" s="24" t="s">
        <v>618</v>
      </c>
      <c r="D247" s="31">
        <f t="shared" si="30"/>
        <v>130936.07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67">
        <v>0</v>
      </c>
      <c r="L247" s="31">
        <v>0</v>
      </c>
      <c r="M247" s="31">
        <v>0</v>
      </c>
      <c r="N247" s="31">
        <v>0</v>
      </c>
      <c r="O247" s="35">
        <v>0</v>
      </c>
      <c r="P247" s="35">
        <v>0</v>
      </c>
      <c r="Q247" s="35">
        <v>0</v>
      </c>
      <c r="R247" s="35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f>ROUND(U247*1.5%,2)</f>
        <v>0</v>
      </c>
      <c r="AD247" s="38">
        <v>130936.07</v>
      </c>
      <c r="AE247" s="31">
        <v>0</v>
      </c>
      <c r="AF247" s="33">
        <v>2020</v>
      </c>
      <c r="AG247" s="34" t="s">
        <v>268</v>
      </c>
      <c r="AH247" s="34" t="s">
        <v>268</v>
      </c>
      <c r="AT247" s="20" t="e">
        <f t="shared" si="28"/>
        <v>#N/A</v>
      </c>
      <c r="BZ247" s="64"/>
      <c r="CD247" s="20" t="e">
        <f t="shared" si="25"/>
        <v>#N/A</v>
      </c>
    </row>
    <row r="248" spans="1:82" ht="61.5" x14ac:dyDescent="0.85">
      <c r="A248" s="20">
        <v>1</v>
      </c>
      <c r="B248" s="60">
        <f>SUBTOTAL(103,$A$22:A248)</f>
        <v>222</v>
      </c>
      <c r="C248" s="24" t="s">
        <v>619</v>
      </c>
      <c r="D248" s="31">
        <f t="shared" si="30"/>
        <v>143632.79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67">
        <v>0</v>
      </c>
      <c r="L248" s="31">
        <v>0</v>
      </c>
      <c r="M248" s="31">
        <v>0</v>
      </c>
      <c r="N248" s="31">
        <v>0</v>
      </c>
      <c r="O248" s="35">
        <v>0</v>
      </c>
      <c r="P248" s="35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f>ROUND((R248+T248)*1.5%,2)</f>
        <v>0</v>
      </c>
      <c r="AD248" s="144">
        <v>143632.79</v>
      </c>
      <c r="AE248" s="31">
        <v>0</v>
      </c>
      <c r="AF248" s="33">
        <v>2020</v>
      </c>
      <c r="AG248" s="34" t="s">
        <v>268</v>
      </c>
      <c r="AH248" s="34" t="s">
        <v>268</v>
      </c>
      <c r="AT248" s="20" t="e">
        <f t="shared" si="28"/>
        <v>#N/A</v>
      </c>
      <c r="BZ248" s="64"/>
      <c r="CD248" s="20" t="e">
        <f t="shared" si="25"/>
        <v>#N/A</v>
      </c>
    </row>
    <row r="249" spans="1:82" ht="61.5" x14ac:dyDescent="0.85">
      <c r="A249" s="20">
        <v>1</v>
      </c>
      <c r="B249" s="60">
        <f>SUBTOTAL(103,$A$22:A249)</f>
        <v>223</v>
      </c>
      <c r="C249" s="24" t="s">
        <v>622</v>
      </c>
      <c r="D249" s="31">
        <f t="shared" si="30"/>
        <v>3407945.42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194">
        <v>2</v>
      </c>
      <c r="L249" s="38">
        <v>3407945.42</v>
      </c>
      <c r="M249" s="31">
        <v>0</v>
      </c>
      <c r="N249" s="31">
        <v>0</v>
      </c>
      <c r="O249" s="35">
        <v>0</v>
      </c>
      <c r="P249" s="35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3" t="s">
        <v>268</v>
      </c>
      <c r="AG249" s="33">
        <v>2020</v>
      </c>
      <c r="AH249" s="34" t="s">
        <v>268</v>
      </c>
      <c r="AT249" s="20">
        <f t="shared" si="28"/>
        <v>1</v>
      </c>
      <c r="BZ249" s="64"/>
      <c r="CD249" s="20" t="e">
        <f t="shared" si="25"/>
        <v>#N/A</v>
      </c>
    </row>
    <row r="250" spans="1:82" ht="61.5" x14ac:dyDescent="0.85">
      <c r="A250" s="20">
        <v>1</v>
      </c>
      <c r="B250" s="60">
        <f>SUBTOTAL(103,$A$22:A250)</f>
        <v>224</v>
      </c>
      <c r="C250" s="24" t="s">
        <v>624</v>
      </c>
      <c r="D250" s="31">
        <f t="shared" si="30"/>
        <v>1860691.51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67">
        <v>0</v>
      </c>
      <c r="L250" s="31">
        <v>0</v>
      </c>
      <c r="M250" s="38">
        <v>500</v>
      </c>
      <c r="N250" s="38">
        <v>1799039.95</v>
      </c>
      <c r="O250" s="35">
        <v>0</v>
      </c>
      <c r="P250" s="35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8">
        <v>10794.24</v>
      </c>
      <c r="AD250" s="38">
        <v>50857.32</v>
      </c>
      <c r="AE250" s="31">
        <v>0</v>
      </c>
      <c r="AF250" s="33">
        <v>2020</v>
      </c>
      <c r="AG250" s="33">
        <v>2020</v>
      </c>
      <c r="AH250" s="34">
        <v>2020</v>
      </c>
      <c r="AT250" s="20" t="e">
        <f t="shared" si="28"/>
        <v>#N/A</v>
      </c>
      <c r="BZ250" s="64"/>
      <c r="CD250" s="20">
        <f t="shared" si="25"/>
        <v>486.27</v>
      </c>
    </row>
    <row r="251" spans="1:82" ht="61.5" x14ac:dyDescent="0.85">
      <c r="A251" s="20">
        <v>1</v>
      </c>
      <c r="B251" s="60">
        <f>SUBTOTAL(103,$A$22:A251)</f>
        <v>225</v>
      </c>
      <c r="C251" s="24" t="s">
        <v>627</v>
      </c>
      <c r="D251" s="31">
        <f t="shared" si="30"/>
        <v>2404378.48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67">
        <v>0</v>
      </c>
      <c r="L251" s="31">
        <v>0</v>
      </c>
      <c r="M251" s="38">
        <v>541.6</v>
      </c>
      <c r="N251" s="38">
        <v>2283128.7999999998</v>
      </c>
      <c r="O251" s="35">
        <v>0</v>
      </c>
      <c r="P251" s="35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144">
        <v>13698.77</v>
      </c>
      <c r="AD251" s="144">
        <v>107550.91</v>
      </c>
      <c r="AE251" s="31">
        <v>0</v>
      </c>
      <c r="AF251" s="33">
        <v>2020</v>
      </c>
      <c r="AG251" s="33">
        <v>2020</v>
      </c>
      <c r="AH251" s="34">
        <v>2020</v>
      </c>
      <c r="AT251" s="20" t="e">
        <f t="shared" si="28"/>
        <v>#N/A</v>
      </c>
      <c r="BZ251" s="64"/>
      <c r="CD251" s="20">
        <f t="shared" si="25"/>
        <v>586.70000000000005</v>
      </c>
    </row>
    <row r="252" spans="1:82" ht="61.5" x14ac:dyDescent="0.85">
      <c r="A252" s="20">
        <v>1</v>
      </c>
      <c r="B252" s="60">
        <f>SUBTOTAL(103,$A$22:A252)</f>
        <v>226</v>
      </c>
      <c r="C252" s="24" t="s">
        <v>628</v>
      </c>
      <c r="D252" s="31">
        <f t="shared" si="30"/>
        <v>1323171.2200000002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67">
        <v>0</v>
      </c>
      <c r="L252" s="31">
        <v>0</v>
      </c>
      <c r="M252" s="38">
        <v>391.2</v>
      </c>
      <c r="N252" s="38">
        <v>1270891.82</v>
      </c>
      <c r="O252" s="35">
        <v>0</v>
      </c>
      <c r="P252" s="35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8">
        <v>7625.35</v>
      </c>
      <c r="AD252" s="38">
        <v>44654.05</v>
      </c>
      <c r="AE252" s="31">
        <v>0</v>
      </c>
      <c r="AF252" s="33">
        <v>2020</v>
      </c>
      <c r="AG252" s="33">
        <v>2020</v>
      </c>
      <c r="AH252" s="34">
        <v>2020</v>
      </c>
      <c r="AT252" s="20" t="e">
        <f t="shared" si="28"/>
        <v>#N/A</v>
      </c>
      <c r="BZ252" s="64"/>
      <c r="CD252" s="20">
        <f t="shared" si="25"/>
        <v>384.56</v>
      </c>
    </row>
    <row r="253" spans="1:82" ht="61.5" x14ac:dyDescent="0.85">
      <c r="A253" s="20">
        <v>1</v>
      </c>
      <c r="B253" s="60">
        <f>SUBTOTAL(103,$A$22:A253)</f>
        <v>227</v>
      </c>
      <c r="C253" s="24" t="s">
        <v>629</v>
      </c>
      <c r="D253" s="31">
        <f t="shared" si="30"/>
        <v>1623216.35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194">
        <v>1</v>
      </c>
      <c r="L253" s="38">
        <v>1623216.35</v>
      </c>
      <c r="M253" s="31">
        <v>0</v>
      </c>
      <c r="N253" s="31">
        <v>0</v>
      </c>
      <c r="O253" s="35">
        <v>0</v>
      </c>
      <c r="P253" s="35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3" t="s">
        <v>268</v>
      </c>
      <c r="AG253" s="33">
        <v>2020</v>
      </c>
      <c r="AH253" s="34" t="s">
        <v>268</v>
      </c>
      <c r="AT253" s="20" t="e">
        <f t="shared" si="28"/>
        <v>#N/A</v>
      </c>
      <c r="BZ253" s="64"/>
      <c r="CD253" s="20" t="e">
        <f t="shared" si="25"/>
        <v>#N/A</v>
      </c>
    </row>
    <row r="254" spans="1:82" ht="61.5" x14ac:dyDescent="0.85">
      <c r="A254" s="20">
        <v>1</v>
      </c>
      <c r="B254" s="60">
        <f>SUBTOTAL(103,$A$22:A254)</f>
        <v>228</v>
      </c>
      <c r="C254" s="24" t="s">
        <v>631</v>
      </c>
      <c r="D254" s="31">
        <f t="shared" si="30"/>
        <v>833755.4800000001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67">
        <v>0</v>
      </c>
      <c r="L254" s="31">
        <v>0</v>
      </c>
      <c r="M254" s="38">
        <v>215.9</v>
      </c>
      <c r="N254" s="38">
        <v>785551.29</v>
      </c>
      <c r="O254" s="35">
        <v>0</v>
      </c>
      <c r="P254" s="35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8">
        <v>4713.3100000000004</v>
      </c>
      <c r="AD254" s="144">
        <v>43490.879999999997</v>
      </c>
      <c r="AE254" s="31">
        <v>0</v>
      </c>
      <c r="AF254" s="33">
        <v>2020</v>
      </c>
      <c r="AG254" s="33">
        <v>2020</v>
      </c>
      <c r="AH254" s="34">
        <v>2020</v>
      </c>
      <c r="AT254" s="20" t="e">
        <f t="shared" si="28"/>
        <v>#N/A</v>
      </c>
      <c r="BZ254" s="64"/>
      <c r="CD254" s="20" t="e">
        <f t="shared" si="25"/>
        <v>#N/A</v>
      </c>
    </row>
    <row r="255" spans="1:82" ht="61.5" x14ac:dyDescent="0.85">
      <c r="A255" s="20">
        <v>1</v>
      </c>
      <c r="B255" s="60">
        <f>SUBTOTAL(103,$A$22:A255)</f>
        <v>229</v>
      </c>
      <c r="C255" s="24" t="s">
        <v>635</v>
      </c>
      <c r="D255" s="31">
        <f t="shared" si="30"/>
        <v>1500690.63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67">
        <v>0</v>
      </c>
      <c r="L255" s="31">
        <v>0</v>
      </c>
      <c r="M255" s="38">
        <v>565</v>
      </c>
      <c r="N255" s="38">
        <v>1491740.19</v>
      </c>
      <c r="O255" s="35">
        <v>0</v>
      </c>
      <c r="P255" s="35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8">
        <v>8950.44</v>
      </c>
      <c r="AD255" s="31">
        <v>0</v>
      </c>
      <c r="AE255" s="31">
        <v>0</v>
      </c>
      <c r="AF255" s="33" t="s">
        <v>268</v>
      </c>
      <c r="AG255" s="33">
        <v>2020</v>
      </c>
      <c r="AH255" s="34">
        <v>2020</v>
      </c>
      <c r="AT255" s="20" t="e">
        <f t="shared" si="28"/>
        <v>#N/A</v>
      </c>
      <c r="BZ255" s="64"/>
      <c r="CD255" s="20">
        <f t="shared" si="25"/>
        <v>563.1</v>
      </c>
    </row>
    <row r="256" spans="1:82" ht="61.5" x14ac:dyDescent="0.85">
      <c r="A256" s="20">
        <v>1</v>
      </c>
      <c r="B256" s="60">
        <f>SUBTOTAL(103,$A$22:A256)</f>
        <v>230</v>
      </c>
      <c r="C256" s="24" t="s">
        <v>1089</v>
      </c>
      <c r="D256" s="31">
        <f t="shared" si="30"/>
        <v>4876210.959999999</v>
      </c>
      <c r="E256" s="31">
        <v>0</v>
      </c>
      <c r="F256" s="31">
        <v>0</v>
      </c>
      <c r="G256" s="31">
        <v>0</v>
      </c>
      <c r="H256" s="31">
        <v>0</v>
      </c>
      <c r="I256" s="31">
        <v>0</v>
      </c>
      <c r="J256" s="31">
        <v>0</v>
      </c>
      <c r="K256" s="67">
        <v>0</v>
      </c>
      <c r="L256" s="31">
        <v>0</v>
      </c>
      <c r="M256" s="38">
        <v>1093</v>
      </c>
      <c r="N256" s="38">
        <v>4724224.93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38">
        <v>28345.35</v>
      </c>
      <c r="AD256" s="38">
        <v>123640.68</v>
      </c>
      <c r="AE256" s="31">
        <v>0</v>
      </c>
      <c r="AF256" s="33">
        <v>2020</v>
      </c>
      <c r="AG256" s="33">
        <v>2020</v>
      </c>
      <c r="AH256" s="34">
        <v>2020</v>
      </c>
      <c r="BZ256" s="64"/>
      <c r="CD256" s="20" t="e">
        <f t="shared" si="25"/>
        <v>#N/A</v>
      </c>
    </row>
    <row r="257" spans="1:82" ht="61.5" x14ac:dyDescent="0.85">
      <c r="A257" s="20">
        <v>1</v>
      </c>
      <c r="B257" s="60">
        <f>SUBTOTAL(103,$A$22:A257)</f>
        <v>231</v>
      </c>
      <c r="C257" s="24" t="s">
        <v>1175</v>
      </c>
      <c r="D257" s="31">
        <f t="shared" si="30"/>
        <v>978702.2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67">
        <v>0</v>
      </c>
      <c r="L257" s="31">
        <v>0</v>
      </c>
      <c r="M257" s="38">
        <v>540.5</v>
      </c>
      <c r="N257" s="38">
        <v>964309.88</v>
      </c>
      <c r="O257" s="35">
        <v>0</v>
      </c>
      <c r="P257" s="35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8">
        <v>14392.32</v>
      </c>
      <c r="AD257" s="31">
        <v>0</v>
      </c>
      <c r="AE257" s="31">
        <v>0</v>
      </c>
      <c r="AF257" s="33" t="s">
        <v>268</v>
      </c>
      <c r="AG257" s="33">
        <v>2020</v>
      </c>
      <c r="AH257" s="34">
        <v>2020</v>
      </c>
      <c r="BZ257" s="64"/>
      <c r="CD257" s="20">
        <f t="shared" si="25"/>
        <v>540.5</v>
      </c>
    </row>
    <row r="258" spans="1:82" ht="61.5" x14ac:dyDescent="0.85">
      <c r="A258" s="20">
        <v>1</v>
      </c>
      <c r="B258" s="60">
        <f>SUBTOTAL(103,$A$22:A258)</f>
        <v>232</v>
      </c>
      <c r="C258" s="24" t="s">
        <v>1176</v>
      </c>
      <c r="D258" s="31">
        <f t="shared" si="30"/>
        <v>3006507.7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67">
        <v>0</v>
      </c>
      <c r="L258" s="31">
        <v>0</v>
      </c>
      <c r="M258" s="38">
        <v>612.78</v>
      </c>
      <c r="N258" s="38">
        <v>2885569.14</v>
      </c>
      <c r="O258" s="35">
        <v>0</v>
      </c>
      <c r="P258" s="35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43067.12</v>
      </c>
      <c r="AD258" s="38">
        <v>77871.44</v>
      </c>
      <c r="AE258" s="31">
        <v>0</v>
      </c>
      <c r="AF258" s="33">
        <v>2020</v>
      </c>
      <c r="AG258" s="33">
        <v>2020</v>
      </c>
      <c r="AH258" s="33">
        <v>2020</v>
      </c>
      <c r="BZ258" s="64"/>
      <c r="CD258" s="20">
        <f t="shared" si="25"/>
        <v>603.5</v>
      </c>
    </row>
    <row r="259" spans="1:82" ht="61.5" x14ac:dyDescent="0.85">
      <c r="A259" s="20">
        <v>1</v>
      </c>
      <c r="B259" s="60">
        <f>SUBTOTAL(103,$A$22:A259)</f>
        <v>233</v>
      </c>
      <c r="C259" s="24" t="s">
        <v>1177</v>
      </c>
      <c r="D259" s="31">
        <f t="shared" si="30"/>
        <v>8000402.0100000007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67">
        <v>0</v>
      </c>
      <c r="L259" s="31">
        <v>0</v>
      </c>
      <c r="M259" s="195">
        <v>1580.66</v>
      </c>
      <c r="N259" s="195">
        <v>7882751.9400000004</v>
      </c>
      <c r="O259" s="35">
        <v>0</v>
      </c>
      <c r="P259" s="35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195">
        <v>117650.07</v>
      </c>
      <c r="AD259" s="31">
        <v>0</v>
      </c>
      <c r="AE259" s="31">
        <v>0</v>
      </c>
      <c r="AF259" s="33" t="s">
        <v>268</v>
      </c>
      <c r="AG259" s="33">
        <v>2020</v>
      </c>
      <c r="AH259" s="34">
        <v>2020</v>
      </c>
      <c r="BZ259" s="64"/>
      <c r="CD259" s="20">
        <f t="shared" si="25"/>
        <v>1650</v>
      </c>
    </row>
    <row r="260" spans="1:82" ht="61.5" x14ac:dyDescent="0.85">
      <c r="A260" s="20">
        <v>1</v>
      </c>
      <c r="B260" s="60">
        <f>SUBTOTAL(103,$A$22:A260)</f>
        <v>234</v>
      </c>
      <c r="C260" s="24" t="s">
        <v>1178</v>
      </c>
      <c r="D260" s="31">
        <f t="shared" si="30"/>
        <v>1685713.47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67">
        <v>0</v>
      </c>
      <c r="L260" s="31">
        <v>0</v>
      </c>
      <c r="M260" s="31">
        <v>0</v>
      </c>
      <c r="N260" s="31">
        <v>0</v>
      </c>
      <c r="O260" s="35">
        <v>0</v>
      </c>
      <c r="P260" s="35">
        <v>0</v>
      </c>
      <c r="Q260" s="38">
        <v>639.89</v>
      </c>
      <c r="R260" s="38">
        <v>1660924.18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  <c r="AC260" s="38">
        <v>24789.29</v>
      </c>
      <c r="AD260" s="31">
        <v>0</v>
      </c>
      <c r="AE260" s="31">
        <v>0</v>
      </c>
      <c r="AF260" s="33" t="s">
        <v>268</v>
      </c>
      <c r="AG260" s="33">
        <v>2020</v>
      </c>
      <c r="AH260" s="34">
        <v>2020</v>
      </c>
      <c r="BZ260" s="64"/>
      <c r="CD260" s="20" t="e">
        <f t="shared" si="25"/>
        <v>#N/A</v>
      </c>
    </row>
    <row r="261" spans="1:82" ht="61.5" x14ac:dyDescent="0.85">
      <c r="A261" s="20">
        <v>1</v>
      </c>
      <c r="B261" s="60">
        <f>SUBTOTAL(103,$A$22:A261)</f>
        <v>235</v>
      </c>
      <c r="C261" s="24" t="s">
        <v>1179</v>
      </c>
      <c r="D261" s="31">
        <f t="shared" si="30"/>
        <v>3785233.7800000003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67">
        <v>0</v>
      </c>
      <c r="L261" s="31">
        <v>0</v>
      </c>
      <c r="M261" s="38">
        <v>1913</v>
      </c>
      <c r="N261" s="38">
        <v>3729569.95</v>
      </c>
      <c r="O261" s="35">
        <v>0</v>
      </c>
      <c r="P261" s="35">
        <v>0</v>
      </c>
      <c r="Q261" s="31">
        <v>0</v>
      </c>
      <c r="R261" s="31">
        <v>0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8">
        <v>55663.83</v>
      </c>
      <c r="AD261" s="31">
        <v>0</v>
      </c>
      <c r="AE261" s="31">
        <v>0</v>
      </c>
      <c r="AF261" s="33" t="s">
        <v>268</v>
      </c>
      <c r="AG261" s="33">
        <v>2020</v>
      </c>
      <c r="AH261" s="34">
        <v>2020</v>
      </c>
      <c r="BZ261" s="64"/>
      <c r="CD261" s="20">
        <f t="shared" si="25"/>
        <v>1906.5</v>
      </c>
    </row>
    <row r="262" spans="1:82" ht="61.5" x14ac:dyDescent="0.85">
      <c r="A262" s="20">
        <v>1</v>
      </c>
      <c r="B262" s="60">
        <f>SUBTOTAL(103,$A$22:A262)</f>
        <v>236</v>
      </c>
      <c r="C262" s="24" t="s">
        <v>1183</v>
      </c>
      <c r="D262" s="31">
        <f t="shared" si="30"/>
        <v>2272822.6599999997</v>
      </c>
      <c r="E262" s="38">
        <v>682532.23</v>
      </c>
      <c r="F262" s="38">
        <v>1291083.82</v>
      </c>
      <c r="G262" s="35">
        <v>0</v>
      </c>
      <c r="H262" s="38">
        <v>288852.59999999998</v>
      </c>
      <c r="I262" s="35">
        <v>0</v>
      </c>
      <c r="J262" s="35">
        <v>0</v>
      </c>
      <c r="K262" s="67">
        <v>0</v>
      </c>
      <c r="L262" s="31">
        <v>0</v>
      </c>
      <c r="M262" s="31">
        <v>0</v>
      </c>
      <c r="N262" s="31">
        <v>0</v>
      </c>
      <c r="O262" s="35">
        <v>0</v>
      </c>
      <c r="P262" s="35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8">
        <v>10354.01</v>
      </c>
      <c r="AD262" s="31">
        <v>0</v>
      </c>
      <c r="AE262" s="31">
        <v>0</v>
      </c>
      <c r="AF262" s="33" t="s">
        <v>268</v>
      </c>
      <c r="AG262" s="33">
        <v>2020</v>
      </c>
      <c r="AH262" s="34">
        <v>2020</v>
      </c>
      <c r="BZ262" s="64"/>
      <c r="CD262" s="20" t="e">
        <f t="shared" si="25"/>
        <v>#N/A</v>
      </c>
    </row>
    <row r="263" spans="1:82" ht="61.5" x14ac:dyDescent="0.85">
      <c r="A263" s="20">
        <v>1</v>
      </c>
      <c r="B263" s="60">
        <f>SUBTOTAL(103,$A$22:A263)</f>
        <v>237</v>
      </c>
      <c r="C263" s="24" t="s">
        <v>1184</v>
      </c>
      <c r="D263" s="31">
        <f t="shared" si="30"/>
        <v>4444796.6100000003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67">
        <v>0</v>
      </c>
      <c r="L263" s="31">
        <v>0</v>
      </c>
      <c r="M263" s="38">
        <v>1284.6300000000001</v>
      </c>
      <c r="N263" s="38">
        <v>4419604.91</v>
      </c>
      <c r="O263" s="35">
        <v>0</v>
      </c>
      <c r="P263" s="35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  <c r="AC263" s="38">
        <v>25191.7</v>
      </c>
      <c r="AD263" s="31">
        <v>0</v>
      </c>
      <c r="AE263" s="31">
        <v>0</v>
      </c>
      <c r="AF263" s="33" t="s">
        <v>268</v>
      </c>
      <c r="AG263" s="33">
        <v>2020</v>
      </c>
      <c r="AH263" s="34">
        <v>2020</v>
      </c>
      <c r="BZ263" s="64"/>
      <c r="CD263" s="20">
        <f t="shared" si="25"/>
        <v>1264.96</v>
      </c>
    </row>
    <row r="264" spans="1:82" ht="61.5" x14ac:dyDescent="0.85">
      <c r="A264" s="20">
        <v>1</v>
      </c>
      <c r="B264" s="60">
        <f>SUBTOTAL(103,$A$22:A264)</f>
        <v>238</v>
      </c>
      <c r="C264" s="24" t="s">
        <v>1186</v>
      </c>
      <c r="D264" s="31">
        <f t="shared" si="30"/>
        <v>3526049.4499999997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67">
        <v>0</v>
      </c>
      <c r="L264" s="31">
        <v>0</v>
      </c>
      <c r="M264" s="31">
        <v>838.77</v>
      </c>
      <c r="N264" s="103">
        <v>3506064.92</v>
      </c>
      <c r="O264" s="35">
        <v>0</v>
      </c>
      <c r="P264" s="35">
        <v>0</v>
      </c>
      <c r="Q264" s="31">
        <v>0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  <c r="AC264" s="195">
        <v>19984.53</v>
      </c>
      <c r="AD264" s="31">
        <v>0</v>
      </c>
      <c r="AE264" s="31">
        <v>0</v>
      </c>
      <c r="AF264" s="33" t="s">
        <v>268</v>
      </c>
      <c r="AG264" s="33">
        <v>2020</v>
      </c>
      <c r="AH264" s="34">
        <v>2020</v>
      </c>
      <c r="BZ264" s="64"/>
      <c r="CD264" s="20">
        <f t="shared" si="25"/>
        <v>781</v>
      </c>
    </row>
    <row r="265" spans="1:82" ht="61.5" x14ac:dyDescent="0.85">
      <c r="A265" s="20">
        <v>1</v>
      </c>
      <c r="B265" s="60">
        <f>SUBTOTAL(103,$A$22:A265)</f>
        <v>239</v>
      </c>
      <c r="C265" s="24" t="s">
        <v>1187</v>
      </c>
      <c r="D265" s="31">
        <f t="shared" si="30"/>
        <v>5490389.4400000004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67">
        <v>0</v>
      </c>
      <c r="L265" s="31">
        <v>0</v>
      </c>
      <c r="M265" s="38">
        <v>2418</v>
      </c>
      <c r="N265" s="38">
        <v>5459271.6500000004</v>
      </c>
      <c r="O265" s="35">
        <v>0</v>
      </c>
      <c r="P265" s="35">
        <v>0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8">
        <v>31117.79</v>
      </c>
      <c r="AD265" s="31">
        <v>0</v>
      </c>
      <c r="AE265" s="31">
        <v>0</v>
      </c>
      <c r="AF265" s="33" t="s">
        <v>268</v>
      </c>
      <c r="AG265" s="33">
        <v>2020</v>
      </c>
      <c r="AH265" s="34">
        <v>2020</v>
      </c>
      <c r="BZ265" s="64"/>
      <c r="CD265" s="20">
        <f t="shared" si="25"/>
        <v>2073.9</v>
      </c>
    </row>
    <row r="266" spans="1:82" ht="61.5" x14ac:dyDescent="0.85">
      <c r="A266" s="20">
        <v>1</v>
      </c>
      <c r="B266" s="60">
        <f>SUBTOTAL(103,$A$22:A266)</f>
        <v>240</v>
      </c>
      <c r="C266" s="24" t="s">
        <v>1189</v>
      </c>
      <c r="D266" s="31">
        <f t="shared" si="30"/>
        <v>4738452.92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67">
        <v>0</v>
      </c>
      <c r="L266" s="31">
        <v>0</v>
      </c>
      <c r="M266" s="38">
        <v>1174.5999999999999</v>
      </c>
      <c r="N266" s="195">
        <v>4711596.87</v>
      </c>
      <c r="O266" s="35">
        <v>0</v>
      </c>
      <c r="P266" s="35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195">
        <v>26856.05</v>
      </c>
      <c r="AD266" s="31">
        <v>0</v>
      </c>
      <c r="AE266" s="31">
        <v>0</v>
      </c>
      <c r="AF266" s="33" t="s">
        <v>268</v>
      </c>
      <c r="AG266" s="33">
        <v>2020</v>
      </c>
      <c r="AH266" s="34">
        <v>2020</v>
      </c>
      <c r="BZ266" s="64"/>
      <c r="CD266" s="20">
        <f t="shared" ref="CD266:CD329" si="31">VLOOKUP(C266,CE:CF,2,FALSE)</f>
        <v>1174.18</v>
      </c>
    </row>
    <row r="267" spans="1:82" ht="61.5" x14ac:dyDescent="0.85">
      <c r="A267" s="20">
        <v>1</v>
      </c>
      <c r="B267" s="60">
        <f>SUBTOTAL(103,$A$22:A267)</f>
        <v>241</v>
      </c>
      <c r="C267" s="24" t="s">
        <v>1190</v>
      </c>
      <c r="D267" s="31">
        <f t="shared" si="30"/>
        <v>2182746.96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67">
        <v>0</v>
      </c>
      <c r="L267" s="31">
        <v>0</v>
      </c>
      <c r="M267" s="38">
        <v>484.14</v>
      </c>
      <c r="N267" s="195">
        <v>2170375.84</v>
      </c>
      <c r="O267" s="35">
        <v>0</v>
      </c>
      <c r="P267" s="35">
        <v>0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195">
        <v>12371.12</v>
      </c>
      <c r="AD267" s="31">
        <v>0</v>
      </c>
      <c r="AE267" s="31">
        <v>0</v>
      </c>
      <c r="AF267" s="33" t="s">
        <v>268</v>
      </c>
      <c r="AG267" s="33">
        <v>2020</v>
      </c>
      <c r="AH267" s="34">
        <v>2020</v>
      </c>
      <c r="BZ267" s="64"/>
      <c r="CD267" s="20">
        <f t="shared" si="31"/>
        <v>484</v>
      </c>
    </row>
    <row r="268" spans="1:82" ht="61.5" x14ac:dyDescent="0.85">
      <c r="A268" s="20">
        <v>1</v>
      </c>
      <c r="B268" s="60">
        <f>SUBTOTAL(103,$A$22:A268)</f>
        <v>242</v>
      </c>
      <c r="C268" s="24" t="s">
        <v>1350</v>
      </c>
      <c r="D268" s="31">
        <f t="shared" si="30"/>
        <v>1724602.98</v>
      </c>
      <c r="E268" s="31">
        <v>0</v>
      </c>
      <c r="F268" s="31">
        <v>0</v>
      </c>
      <c r="G268" s="31">
        <v>0</v>
      </c>
      <c r="H268" s="31">
        <v>0</v>
      </c>
      <c r="I268" s="31">
        <v>0</v>
      </c>
      <c r="J268" s="31">
        <v>0</v>
      </c>
      <c r="K268" s="67">
        <v>0</v>
      </c>
      <c r="L268" s="31">
        <v>0</v>
      </c>
      <c r="M268" s="38">
        <v>527.41999999999996</v>
      </c>
      <c r="N268" s="195">
        <v>1663637.88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195">
        <v>9981.82</v>
      </c>
      <c r="AD268" s="38">
        <v>50983.28</v>
      </c>
      <c r="AE268" s="31">
        <v>0</v>
      </c>
      <c r="AF268" s="33">
        <v>2020</v>
      </c>
      <c r="AG268" s="33">
        <v>2020</v>
      </c>
      <c r="AH268" s="34">
        <v>2020</v>
      </c>
      <c r="BZ268" s="64"/>
      <c r="CD268" s="20" t="e">
        <f t="shared" si="31"/>
        <v>#N/A</v>
      </c>
    </row>
    <row r="269" spans="1:82" ht="61.5" x14ac:dyDescent="0.85">
      <c r="A269" s="20">
        <v>1</v>
      </c>
      <c r="B269" s="60">
        <f>SUBTOTAL(103,$A$22:A269)</f>
        <v>243</v>
      </c>
      <c r="C269" s="24" t="s">
        <v>1349</v>
      </c>
      <c r="D269" s="31">
        <f t="shared" si="30"/>
        <v>1598078</v>
      </c>
      <c r="E269" s="31">
        <v>0</v>
      </c>
      <c r="F269" s="31">
        <v>0</v>
      </c>
      <c r="G269" s="31">
        <v>0</v>
      </c>
      <c r="H269" s="31">
        <v>0</v>
      </c>
      <c r="I269" s="31">
        <v>0</v>
      </c>
      <c r="J269" s="31">
        <v>0</v>
      </c>
      <c r="K269" s="67">
        <v>0</v>
      </c>
      <c r="L269" s="31">
        <v>0</v>
      </c>
      <c r="M269" s="38">
        <v>479.49</v>
      </c>
      <c r="N269" s="195">
        <v>1540245.03</v>
      </c>
      <c r="O269" s="31">
        <v>0</v>
      </c>
      <c r="P269" s="31">
        <v>0</v>
      </c>
      <c r="Q269" s="31">
        <v>0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  <c r="AC269" s="195">
        <v>9241.4699999999993</v>
      </c>
      <c r="AD269" s="38">
        <v>48591.5</v>
      </c>
      <c r="AE269" s="31">
        <v>0</v>
      </c>
      <c r="AF269" s="33">
        <v>2020</v>
      </c>
      <c r="AG269" s="33">
        <v>2020</v>
      </c>
      <c r="AH269" s="34">
        <v>2020</v>
      </c>
      <c r="BZ269" s="64"/>
      <c r="CD269" s="20" t="e">
        <f t="shared" si="31"/>
        <v>#N/A</v>
      </c>
    </row>
    <row r="270" spans="1:82" ht="61.5" x14ac:dyDescent="0.85">
      <c r="A270" s="20">
        <v>1</v>
      </c>
      <c r="B270" s="60">
        <f>SUBTOTAL(103,$A$22:A270)</f>
        <v>244</v>
      </c>
      <c r="C270" s="24" t="s">
        <v>1552</v>
      </c>
      <c r="D270" s="31">
        <f>E270+F270+G270+H270+I270+J270+L270+N270+P270+R270+T270+U270+V270+W270+X270+Y270+Z270+AA270+AB270+AC270+AD270+AE270</f>
        <v>130960.35</v>
      </c>
      <c r="E270" s="31">
        <v>0</v>
      </c>
      <c r="F270" s="31">
        <v>0</v>
      </c>
      <c r="G270" s="31">
        <v>0</v>
      </c>
      <c r="H270" s="31">
        <v>0</v>
      </c>
      <c r="I270" s="31">
        <v>0</v>
      </c>
      <c r="J270" s="31">
        <v>0</v>
      </c>
      <c r="K270" s="67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</v>
      </c>
      <c r="Q270" s="31">
        <v>0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f>ROUND(N270*1.5%,2)</f>
        <v>0</v>
      </c>
      <c r="AD270" s="144">
        <v>130960.35</v>
      </c>
      <c r="AE270" s="31">
        <v>0</v>
      </c>
      <c r="AF270" s="33">
        <v>2020</v>
      </c>
      <c r="AG270" s="33" t="s">
        <v>268</v>
      </c>
      <c r="AH270" s="33" t="s">
        <v>268</v>
      </c>
      <c r="BZ270" s="64"/>
      <c r="CD270" s="20" t="e">
        <f t="shared" si="31"/>
        <v>#N/A</v>
      </c>
    </row>
    <row r="271" spans="1:82" ht="61.5" x14ac:dyDescent="0.85">
      <c r="A271" s="20">
        <v>1</v>
      </c>
      <c r="B271" s="60">
        <f>SUBTOTAL(103,$A$22:A271)</f>
        <v>245</v>
      </c>
      <c r="C271" s="24" t="s">
        <v>625</v>
      </c>
      <c r="D271" s="31">
        <f>E271+F271+G271+H271+I271+J271+L271+N271+P271+R271+T271+U271+V271+W271+X271+Y271+Z271+AA271+AB271+AC271+AD271+AE271</f>
        <v>105885.54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67">
        <v>0</v>
      </c>
      <c r="L271" s="31">
        <v>0</v>
      </c>
      <c r="M271" s="31">
        <v>0</v>
      </c>
      <c r="N271" s="31">
        <v>0</v>
      </c>
      <c r="O271" s="31">
        <v>0</v>
      </c>
      <c r="P271" s="31">
        <v>0</v>
      </c>
      <c r="Q271" s="31">
        <v>0</v>
      </c>
      <c r="R271" s="31">
        <v>0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105885.54</v>
      </c>
      <c r="AE271" s="31">
        <v>0</v>
      </c>
      <c r="AF271" s="33">
        <v>2020</v>
      </c>
      <c r="AG271" s="33" t="s">
        <v>268</v>
      </c>
      <c r="AH271" s="33" t="s">
        <v>268</v>
      </c>
      <c r="AT271" s="20" t="e">
        <f>VLOOKUP(C271,AW:AX,2,FALSE)</f>
        <v>#N/A</v>
      </c>
      <c r="BZ271" s="64"/>
      <c r="CD271" s="20" t="e">
        <f t="shared" si="31"/>
        <v>#N/A</v>
      </c>
    </row>
    <row r="272" spans="1:82" ht="61.5" x14ac:dyDescent="0.85">
      <c r="B272" s="24" t="s">
        <v>816</v>
      </c>
      <c r="C272" s="24"/>
      <c r="D272" s="199">
        <f t="shared" ref="D272:AE272" si="32">SUM(D273:D277)</f>
        <v>14114868.93</v>
      </c>
      <c r="E272" s="31">
        <f t="shared" si="32"/>
        <v>0</v>
      </c>
      <c r="F272" s="31">
        <f t="shared" si="32"/>
        <v>0</v>
      </c>
      <c r="G272" s="31">
        <f t="shared" si="32"/>
        <v>0</v>
      </c>
      <c r="H272" s="31">
        <f t="shared" si="32"/>
        <v>0</v>
      </c>
      <c r="I272" s="31">
        <f t="shared" si="32"/>
        <v>0</v>
      </c>
      <c r="J272" s="31">
        <f t="shared" si="32"/>
        <v>0</v>
      </c>
      <c r="K272" s="67">
        <f t="shared" si="32"/>
        <v>0</v>
      </c>
      <c r="L272" s="31">
        <f t="shared" si="32"/>
        <v>0</v>
      </c>
      <c r="M272" s="31">
        <f t="shared" si="32"/>
        <v>4487.16</v>
      </c>
      <c r="N272" s="31">
        <f t="shared" si="32"/>
        <v>13726303.279999999</v>
      </c>
      <c r="O272" s="31">
        <f t="shared" si="32"/>
        <v>0</v>
      </c>
      <c r="P272" s="31">
        <f t="shared" si="32"/>
        <v>0</v>
      </c>
      <c r="Q272" s="31">
        <f t="shared" si="32"/>
        <v>0</v>
      </c>
      <c r="R272" s="31">
        <f t="shared" si="32"/>
        <v>0</v>
      </c>
      <c r="S272" s="31">
        <f t="shared" si="32"/>
        <v>0</v>
      </c>
      <c r="T272" s="31">
        <f t="shared" si="32"/>
        <v>0</v>
      </c>
      <c r="U272" s="31">
        <f t="shared" si="32"/>
        <v>0</v>
      </c>
      <c r="V272" s="31">
        <f t="shared" si="32"/>
        <v>0</v>
      </c>
      <c r="W272" s="31">
        <f t="shared" si="32"/>
        <v>0</v>
      </c>
      <c r="X272" s="31">
        <f t="shared" si="32"/>
        <v>0</v>
      </c>
      <c r="Y272" s="31">
        <f t="shared" si="32"/>
        <v>0</v>
      </c>
      <c r="Z272" s="31">
        <f t="shared" si="32"/>
        <v>0</v>
      </c>
      <c r="AA272" s="31">
        <f t="shared" si="32"/>
        <v>0</v>
      </c>
      <c r="AB272" s="31">
        <f t="shared" si="32"/>
        <v>0</v>
      </c>
      <c r="AC272" s="31">
        <f t="shared" si="32"/>
        <v>80305.45</v>
      </c>
      <c r="AD272" s="31">
        <f t="shared" si="32"/>
        <v>308260.2</v>
      </c>
      <c r="AE272" s="31">
        <f t="shared" si="32"/>
        <v>0</v>
      </c>
      <c r="AF272" s="65" t="s">
        <v>751</v>
      </c>
      <c r="AG272" s="65" t="s">
        <v>751</v>
      </c>
      <c r="AH272" s="79" t="s">
        <v>751</v>
      </c>
      <c r="AT272" s="20" t="e">
        <f>VLOOKUP(C272,AW:AX,2,FALSE)</f>
        <v>#N/A</v>
      </c>
      <c r="BZ272" s="64">
        <v>31393292.599999998</v>
      </c>
      <c r="CD272" s="20" t="e">
        <f t="shared" si="31"/>
        <v>#N/A</v>
      </c>
    </row>
    <row r="273" spans="1:82" ht="61.5" x14ac:dyDescent="0.85">
      <c r="A273" s="20">
        <v>1</v>
      </c>
      <c r="B273" s="60">
        <f>SUBTOTAL(103,$A$22:A273)</f>
        <v>246</v>
      </c>
      <c r="C273" s="24" t="s">
        <v>636</v>
      </c>
      <c r="D273" s="31">
        <f>E273+F273+G273+H273+I273+J273+L273+N273+P273+R273+T273+U273+V273+W273+X273+Y273+Z273+AA273+AB273+AC273+AD273+AE273</f>
        <v>3927547.9699999997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67">
        <v>0</v>
      </c>
      <c r="L273" s="31">
        <v>0</v>
      </c>
      <c r="M273" s="38">
        <v>1278.5</v>
      </c>
      <c r="N273" s="38">
        <v>3747445.51</v>
      </c>
      <c r="O273" s="35">
        <v>0</v>
      </c>
      <c r="P273" s="35">
        <v>0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8">
        <v>22484.67</v>
      </c>
      <c r="AD273" s="38">
        <v>157617.79</v>
      </c>
      <c r="AE273" s="31">
        <v>0</v>
      </c>
      <c r="AF273" s="33">
        <v>2020</v>
      </c>
      <c r="AG273" s="33">
        <v>2020</v>
      </c>
      <c r="AH273" s="34">
        <v>2020</v>
      </c>
      <c r="AT273" s="20" t="e">
        <f>VLOOKUP(C273,AW:AX,2,FALSE)</f>
        <v>#N/A</v>
      </c>
      <c r="BZ273" s="64"/>
      <c r="CD273" s="20" t="e">
        <f t="shared" si="31"/>
        <v>#N/A</v>
      </c>
    </row>
    <row r="274" spans="1:82" ht="61.5" x14ac:dyDescent="0.85">
      <c r="A274" s="20">
        <v>1</v>
      </c>
      <c r="B274" s="60">
        <f>SUBTOTAL(103,$A$22:A274)</f>
        <v>247</v>
      </c>
      <c r="C274" s="24" t="s">
        <v>642</v>
      </c>
      <c r="D274" s="31">
        <f>E274+F274+G274+H274+I274+J274+L274+N274+P274+R274+T274+U274+V274+W274+X274+Y274+Z274+AA274+AB274+AC274+AD274+AE274</f>
        <v>3307384.7800000003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67">
        <v>0</v>
      </c>
      <c r="L274" s="31">
        <v>0</v>
      </c>
      <c r="M274" s="38">
        <v>1021.96</v>
      </c>
      <c r="N274" s="38">
        <v>3137914.89</v>
      </c>
      <c r="O274" s="35">
        <v>0</v>
      </c>
      <c r="P274" s="35">
        <v>0</v>
      </c>
      <c r="Q274" s="31">
        <v>0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8">
        <v>18827.48</v>
      </c>
      <c r="AD274" s="38">
        <v>150642.41</v>
      </c>
      <c r="AE274" s="31">
        <v>0</v>
      </c>
      <c r="AF274" s="33">
        <v>2020</v>
      </c>
      <c r="AG274" s="33">
        <v>2020</v>
      </c>
      <c r="AH274" s="34">
        <v>2020</v>
      </c>
      <c r="AT274" s="20" t="e">
        <f>VLOOKUP(C274,AW:AX,2,FALSE)</f>
        <v>#N/A</v>
      </c>
      <c r="BZ274" s="64"/>
      <c r="CD274" s="20" t="e">
        <f t="shared" si="31"/>
        <v>#N/A</v>
      </c>
    </row>
    <row r="275" spans="1:82" ht="61.5" x14ac:dyDescent="0.85">
      <c r="A275" s="20">
        <v>1</v>
      </c>
      <c r="B275" s="60">
        <f>SUBTOTAL(103,$A$22:A275)</f>
        <v>248</v>
      </c>
      <c r="C275" s="24" t="s">
        <v>1193</v>
      </c>
      <c r="D275" s="31">
        <f>E275+F275+G275+H275+I275+J275+L275+N275+P275+R275+T275+U275+V275+W275+X275+Y275+Z275+AA275+AB275+AC275+AD275+AE275</f>
        <v>1446069.26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67">
        <v>0</v>
      </c>
      <c r="L275" s="31">
        <v>0</v>
      </c>
      <c r="M275" s="38">
        <v>438.9</v>
      </c>
      <c r="N275" s="38">
        <v>1437873.4</v>
      </c>
      <c r="O275" s="35">
        <v>0</v>
      </c>
      <c r="P275" s="35">
        <v>0</v>
      </c>
      <c r="Q275" s="31">
        <v>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144">
        <v>8195.86</v>
      </c>
      <c r="AD275" s="31">
        <v>0</v>
      </c>
      <c r="AE275" s="31">
        <v>0</v>
      </c>
      <c r="AF275" s="33" t="s">
        <v>268</v>
      </c>
      <c r="AG275" s="33">
        <v>2020</v>
      </c>
      <c r="AH275" s="34">
        <v>2020</v>
      </c>
      <c r="BZ275" s="64"/>
      <c r="CD275" s="20">
        <f t="shared" si="31"/>
        <v>452.1</v>
      </c>
    </row>
    <row r="276" spans="1:82" ht="61.5" x14ac:dyDescent="0.85">
      <c r="A276" s="20">
        <v>1</v>
      </c>
      <c r="B276" s="60">
        <f>SUBTOTAL(103,$A$22:A276)</f>
        <v>249</v>
      </c>
      <c r="C276" s="24" t="s">
        <v>1194</v>
      </c>
      <c r="D276" s="31">
        <f>E276+F276+G276+H276+I276+J276+L276+N276+P276+R276+T276+U276+V276+W276+X276+Y276+Z276+AA276+AB276+AC276+AD276+AE276</f>
        <v>2997039.15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67">
        <v>0</v>
      </c>
      <c r="L276" s="31">
        <v>0</v>
      </c>
      <c r="M276" s="38">
        <v>970</v>
      </c>
      <c r="N276" s="38">
        <v>2980052.88</v>
      </c>
      <c r="O276" s="35">
        <v>0</v>
      </c>
      <c r="P276" s="35">
        <v>0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  <c r="AC276" s="38">
        <v>16986.27</v>
      </c>
      <c r="AD276" s="31">
        <v>0</v>
      </c>
      <c r="AE276" s="31">
        <v>0</v>
      </c>
      <c r="AF276" s="33" t="s">
        <v>268</v>
      </c>
      <c r="AG276" s="33">
        <v>2020</v>
      </c>
      <c r="AH276" s="34">
        <v>2020</v>
      </c>
      <c r="BZ276" s="64"/>
      <c r="CD276" s="20">
        <f t="shared" si="31"/>
        <v>992</v>
      </c>
    </row>
    <row r="277" spans="1:82" ht="61.5" x14ac:dyDescent="0.85">
      <c r="A277" s="20">
        <v>1</v>
      </c>
      <c r="B277" s="60">
        <f>SUBTOTAL(103,$A$22:A277)</f>
        <v>250</v>
      </c>
      <c r="C277" s="24" t="s">
        <v>640</v>
      </c>
      <c r="D277" s="31">
        <f>E277+F277+G277+H277+I277+J277+L277+N277+P277+R277+T277+U277+V277+W277+X277+Y277+Z277+AA277+AB277+AC277+AD277+AE277</f>
        <v>2436827.77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67">
        <v>0</v>
      </c>
      <c r="L277" s="31">
        <v>0</v>
      </c>
      <c r="M277" s="38">
        <v>777.8</v>
      </c>
      <c r="N277" s="38">
        <v>2423016.6</v>
      </c>
      <c r="O277" s="35">
        <v>0</v>
      </c>
      <c r="P277" s="35">
        <v>0</v>
      </c>
      <c r="Q277" s="31">
        <v>0</v>
      </c>
      <c r="R277" s="31">
        <v>0</v>
      </c>
      <c r="S277" s="31">
        <v>0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0</v>
      </c>
      <c r="AC277" s="38">
        <v>13811.17</v>
      </c>
      <c r="AD277" s="31">
        <v>0</v>
      </c>
      <c r="AE277" s="31">
        <v>0</v>
      </c>
      <c r="AF277" s="33" t="s">
        <v>268</v>
      </c>
      <c r="AG277" s="33">
        <v>2020</v>
      </c>
      <c r="AH277" s="34">
        <v>2020</v>
      </c>
      <c r="BZ277" s="64"/>
      <c r="CD277" s="20">
        <f t="shared" si="31"/>
        <v>796.1</v>
      </c>
    </row>
    <row r="278" spans="1:82" ht="61.5" x14ac:dyDescent="0.85">
      <c r="B278" s="24" t="s">
        <v>817</v>
      </c>
      <c r="C278" s="24"/>
      <c r="D278" s="199">
        <f>SUM(D279:D284)</f>
        <v>30964559.009999998</v>
      </c>
      <c r="E278" s="31">
        <f t="shared" ref="E278:AE278" si="33">SUM(E279:E284)</f>
        <v>0</v>
      </c>
      <c r="F278" s="31">
        <f t="shared" si="33"/>
        <v>0</v>
      </c>
      <c r="G278" s="31">
        <f t="shared" si="33"/>
        <v>0</v>
      </c>
      <c r="H278" s="31">
        <f t="shared" si="33"/>
        <v>0</v>
      </c>
      <c r="I278" s="31">
        <f t="shared" si="33"/>
        <v>0</v>
      </c>
      <c r="J278" s="31">
        <f t="shared" si="33"/>
        <v>0</v>
      </c>
      <c r="K278" s="67">
        <f t="shared" si="33"/>
        <v>0</v>
      </c>
      <c r="L278" s="31">
        <f t="shared" si="33"/>
        <v>0</v>
      </c>
      <c r="M278" s="31">
        <f t="shared" si="33"/>
        <v>4568.6000000000004</v>
      </c>
      <c r="N278" s="31">
        <f t="shared" si="33"/>
        <v>22101832.469999999</v>
      </c>
      <c r="O278" s="31">
        <f t="shared" si="33"/>
        <v>0</v>
      </c>
      <c r="P278" s="31">
        <f t="shared" si="33"/>
        <v>0</v>
      </c>
      <c r="Q278" s="31">
        <f t="shared" si="33"/>
        <v>2556.4</v>
      </c>
      <c r="R278" s="31">
        <f t="shared" si="33"/>
        <v>8126707.1399999997</v>
      </c>
      <c r="S278" s="31">
        <f t="shared" si="33"/>
        <v>0</v>
      </c>
      <c r="T278" s="31">
        <f t="shared" si="33"/>
        <v>0</v>
      </c>
      <c r="U278" s="31">
        <f t="shared" si="33"/>
        <v>0</v>
      </c>
      <c r="V278" s="31">
        <f t="shared" si="33"/>
        <v>0</v>
      </c>
      <c r="W278" s="31">
        <f t="shared" si="33"/>
        <v>0</v>
      </c>
      <c r="X278" s="31">
        <f t="shared" si="33"/>
        <v>0</v>
      </c>
      <c r="Y278" s="31">
        <f t="shared" si="33"/>
        <v>0</v>
      </c>
      <c r="Z278" s="31">
        <f t="shared" si="33"/>
        <v>0</v>
      </c>
      <c r="AA278" s="31">
        <f t="shared" si="33"/>
        <v>0</v>
      </c>
      <c r="AB278" s="31">
        <f t="shared" si="33"/>
        <v>0</v>
      </c>
      <c r="AC278" s="31">
        <f t="shared" si="33"/>
        <v>268137.47000000003</v>
      </c>
      <c r="AD278" s="31">
        <f t="shared" si="33"/>
        <v>467881.93</v>
      </c>
      <c r="AE278" s="31">
        <f t="shared" si="33"/>
        <v>0</v>
      </c>
      <c r="AF278" s="65" t="s">
        <v>751</v>
      </c>
      <c r="AG278" s="65" t="s">
        <v>751</v>
      </c>
      <c r="AH278" s="79" t="s">
        <v>751</v>
      </c>
      <c r="AT278" s="20" t="e">
        <f>VLOOKUP(C278,AW:AX,2,FALSE)</f>
        <v>#N/A</v>
      </c>
      <c r="BZ278" s="64">
        <v>35599350.520000003</v>
      </c>
      <c r="CD278" s="20" t="e">
        <f t="shared" si="31"/>
        <v>#N/A</v>
      </c>
    </row>
    <row r="279" spans="1:82" ht="61.5" x14ac:dyDescent="0.85">
      <c r="A279" s="20">
        <v>1</v>
      </c>
      <c r="B279" s="60">
        <f>SUBTOTAL(103,$A$22:A279)</f>
        <v>251</v>
      </c>
      <c r="C279" s="24" t="s">
        <v>649</v>
      </c>
      <c r="D279" s="31">
        <f t="shared" ref="D279:D284" si="34">E279+F279+G279+H279+I279+J279+L279+N279+P279+R279+T279+U279+V279+W279+X279+Y279+Z279+AA279+AB279+AC279+AD279+AE279</f>
        <v>3101907.63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67">
        <v>0</v>
      </c>
      <c r="L279" s="31">
        <v>0</v>
      </c>
      <c r="M279" s="38">
        <v>318.42</v>
      </c>
      <c r="N279" s="38">
        <v>1354124</v>
      </c>
      <c r="O279" s="36">
        <v>0</v>
      </c>
      <c r="P279" s="36">
        <v>0</v>
      </c>
      <c r="Q279" s="38">
        <v>617</v>
      </c>
      <c r="R279" s="38">
        <v>1623290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17864.48</v>
      </c>
      <c r="AD279" s="38">
        <v>106629.15</v>
      </c>
      <c r="AE279" s="31">
        <v>0</v>
      </c>
      <c r="AF279" s="33">
        <v>2020</v>
      </c>
      <c r="AG279" s="33">
        <v>2020</v>
      </c>
      <c r="AH279" s="34">
        <v>2020</v>
      </c>
      <c r="AT279" s="20" t="e">
        <f>VLOOKUP(C279,AW:AX,2,FALSE)</f>
        <v>#N/A</v>
      </c>
      <c r="BZ279" s="64"/>
      <c r="CD279" s="20" t="e">
        <f t="shared" si="31"/>
        <v>#N/A</v>
      </c>
    </row>
    <row r="280" spans="1:82" ht="61.5" x14ac:dyDescent="0.85">
      <c r="A280" s="20">
        <v>1</v>
      </c>
      <c r="B280" s="60">
        <f>SUBTOTAL(103,$A$22:A280)</f>
        <v>252</v>
      </c>
      <c r="C280" s="24" t="s">
        <v>644</v>
      </c>
      <c r="D280" s="31">
        <f t="shared" si="34"/>
        <v>3151307.31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67">
        <v>0</v>
      </c>
      <c r="L280" s="31">
        <v>0</v>
      </c>
      <c r="M280" s="38">
        <v>623</v>
      </c>
      <c r="N280" s="38">
        <v>3013159.02</v>
      </c>
      <c r="O280" s="35">
        <v>0</v>
      </c>
      <c r="P280" s="35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8">
        <v>18078.95</v>
      </c>
      <c r="AD280" s="38">
        <v>120069.34</v>
      </c>
      <c r="AE280" s="31">
        <v>0</v>
      </c>
      <c r="AF280" s="33">
        <v>2020</v>
      </c>
      <c r="AG280" s="33">
        <v>2020</v>
      </c>
      <c r="AH280" s="34">
        <v>2020</v>
      </c>
      <c r="AT280" s="20" t="e">
        <f>VLOOKUP(C280,AW:AX,2,FALSE)</f>
        <v>#N/A</v>
      </c>
      <c r="BZ280" s="64"/>
      <c r="CD280" s="20" t="e">
        <f t="shared" si="31"/>
        <v>#N/A</v>
      </c>
    </row>
    <row r="281" spans="1:82" ht="61.5" x14ac:dyDescent="0.85">
      <c r="A281" s="20">
        <v>1</v>
      </c>
      <c r="B281" s="60">
        <f>SUBTOTAL(103,$A$22:A281)</f>
        <v>253</v>
      </c>
      <c r="C281" s="24" t="s">
        <v>648</v>
      </c>
      <c r="D281" s="31">
        <f t="shared" si="34"/>
        <v>4866736.68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67">
        <v>0</v>
      </c>
      <c r="L281" s="31">
        <v>0</v>
      </c>
      <c r="M281" s="38">
        <v>1038.72</v>
      </c>
      <c r="N281" s="144">
        <v>4711362.12</v>
      </c>
      <c r="O281" s="35">
        <v>0</v>
      </c>
      <c r="P281" s="35">
        <v>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144">
        <v>28268.17</v>
      </c>
      <c r="AD281" s="38">
        <v>127106.39</v>
      </c>
      <c r="AE281" s="31">
        <v>0</v>
      </c>
      <c r="AF281" s="33">
        <v>2020</v>
      </c>
      <c r="AG281" s="33">
        <v>2020</v>
      </c>
      <c r="AH281" s="34">
        <v>2020</v>
      </c>
      <c r="AT281" s="20" t="e">
        <f>VLOOKUP(C281,AW:AX,2,FALSE)</f>
        <v>#N/A</v>
      </c>
      <c r="BZ281" s="64"/>
      <c r="CD281" s="20" t="e">
        <f t="shared" si="31"/>
        <v>#N/A</v>
      </c>
    </row>
    <row r="282" spans="1:82" ht="61.5" x14ac:dyDescent="0.85">
      <c r="A282" s="20">
        <v>1</v>
      </c>
      <c r="B282" s="60">
        <f>SUBTOTAL(103,$A$22:A282)</f>
        <v>254</v>
      </c>
      <c r="C282" s="24" t="s">
        <v>1195</v>
      </c>
      <c r="D282" s="31">
        <f t="shared" si="34"/>
        <v>6540486.5499999998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67">
        <v>0</v>
      </c>
      <c r="L282" s="31">
        <v>0</v>
      </c>
      <c r="M282" s="31">
        <v>0</v>
      </c>
      <c r="N282" s="31">
        <v>0</v>
      </c>
      <c r="O282" s="35">
        <v>0</v>
      </c>
      <c r="P282" s="35">
        <v>0</v>
      </c>
      <c r="Q282" s="38">
        <v>1939.4</v>
      </c>
      <c r="R282" s="38">
        <v>6503417.1399999997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8">
        <v>37069.410000000003</v>
      </c>
      <c r="AD282" s="31">
        <v>0</v>
      </c>
      <c r="AE282" s="31">
        <v>0</v>
      </c>
      <c r="AF282" s="33" t="s">
        <v>268</v>
      </c>
      <c r="AG282" s="33">
        <v>2020</v>
      </c>
      <c r="AH282" s="34">
        <v>2020</v>
      </c>
      <c r="BZ282" s="64"/>
      <c r="CD282" s="20" t="e">
        <f t="shared" si="31"/>
        <v>#N/A</v>
      </c>
    </row>
    <row r="283" spans="1:82" ht="61.5" x14ac:dyDescent="0.85">
      <c r="A283" s="20">
        <v>1</v>
      </c>
      <c r="B283" s="60">
        <f>SUBTOTAL(103,$A$22:A283)</f>
        <v>255</v>
      </c>
      <c r="C283" s="24" t="s">
        <v>1180</v>
      </c>
      <c r="D283" s="31">
        <f t="shared" si="34"/>
        <v>10088677.58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67">
        <v>0</v>
      </c>
      <c r="L283" s="31">
        <v>0</v>
      </c>
      <c r="M283" s="195">
        <v>1878.14</v>
      </c>
      <c r="N283" s="195">
        <v>9940318.3300000001</v>
      </c>
      <c r="O283" s="35">
        <v>0</v>
      </c>
      <c r="P283" s="35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144">
        <v>148359.25</v>
      </c>
      <c r="AD283" s="31">
        <v>0</v>
      </c>
      <c r="AE283" s="31">
        <v>0</v>
      </c>
      <c r="AF283" s="33" t="s">
        <v>268</v>
      </c>
      <c r="AG283" s="33">
        <v>2020</v>
      </c>
      <c r="AH283" s="34">
        <v>2020</v>
      </c>
      <c r="BZ283" s="64"/>
      <c r="CD283" s="20">
        <f t="shared" si="31"/>
        <v>1995.2</v>
      </c>
    </row>
    <row r="284" spans="1:82" ht="61.5" x14ac:dyDescent="0.85">
      <c r="A284" s="20">
        <v>1</v>
      </c>
      <c r="B284" s="60">
        <f>SUBTOTAL(103,$A$22:A284)</f>
        <v>256</v>
      </c>
      <c r="C284" s="24" t="s">
        <v>1560</v>
      </c>
      <c r="D284" s="31">
        <f t="shared" si="34"/>
        <v>3215443.26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67">
        <v>0</v>
      </c>
      <c r="L284" s="31">
        <v>0</v>
      </c>
      <c r="M284" s="195">
        <v>710.32</v>
      </c>
      <c r="N284" s="195">
        <v>3082869</v>
      </c>
      <c r="O284" s="35">
        <v>0</v>
      </c>
      <c r="P284" s="35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195">
        <v>18497.21</v>
      </c>
      <c r="AD284" s="38">
        <v>114077.05</v>
      </c>
      <c r="AE284" s="31">
        <v>0</v>
      </c>
      <c r="AF284" s="33">
        <v>2020</v>
      </c>
      <c r="AG284" s="33">
        <v>2020</v>
      </c>
      <c r="AH284" s="34">
        <v>2020</v>
      </c>
      <c r="BZ284" s="64"/>
      <c r="CD284" s="20" t="e">
        <f t="shared" si="31"/>
        <v>#N/A</v>
      </c>
    </row>
    <row r="285" spans="1:82" ht="61.5" x14ac:dyDescent="0.85">
      <c r="B285" s="24" t="s">
        <v>818</v>
      </c>
      <c r="C285" s="24"/>
      <c r="D285" s="199">
        <f>SUM(D286:D289)</f>
        <v>12442442.430000002</v>
      </c>
      <c r="E285" s="31">
        <f t="shared" ref="E285:AE285" si="35">SUM(E286:E289)</f>
        <v>0</v>
      </c>
      <c r="F285" s="31">
        <f t="shared" si="35"/>
        <v>83564.44</v>
      </c>
      <c r="G285" s="31">
        <f t="shared" si="35"/>
        <v>895725.75</v>
      </c>
      <c r="H285" s="31">
        <f t="shared" si="35"/>
        <v>61962.38</v>
      </c>
      <c r="I285" s="31">
        <f t="shared" si="35"/>
        <v>0</v>
      </c>
      <c r="J285" s="31">
        <f t="shared" si="35"/>
        <v>0</v>
      </c>
      <c r="K285" s="67">
        <f t="shared" si="35"/>
        <v>0</v>
      </c>
      <c r="L285" s="31">
        <f t="shared" si="35"/>
        <v>0</v>
      </c>
      <c r="M285" s="31">
        <f t="shared" si="35"/>
        <v>2985.79</v>
      </c>
      <c r="N285" s="31">
        <f t="shared" si="35"/>
        <v>11043668.1</v>
      </c>
      <c r="O285" s="31">
        <f t="shared" si="35"/>
        <v>0</v>
      </c>
      <c r="P285" s="31">
        <f t="shared" si="35"/>
        <v>0</v>
      </c>
      <c r="Q285" s="31">
        <f t="shared" si="35"/>
        <v>0</v>
      </c>
      <c r="R285" s="31">
        <f t="shared" si="35"/>
        <v>0</v>
      </c>
      <c r="S285" s="31">
        <f t="shared" si="35"/>
        <v>0</v>
      </c>
      <c r="T285" s="31">
        <f t="shared" si="35"/>
        <v>0</v>
      </c>
      <c r="U285" s="31">
        <f t="shared" si="35"/>
        <v>0</v>
      </c>
      <c r="V285" s="31">
        <f t="shared" si="35"/>
        <v>0</v>
      </c>
      <c r="W285" s="31">
        <f t="shared" si="35"/>
        <v>0</v>
      </c>
      <c r="X285" s="31">
        <f t="shared" si="35"/>
        <v>0</v>
      </c>
      <c r="Y285" s="31">
        <f t="shared" si="35"/>
        <v>0</v>
      </c>
      <c r="Z285" s="31">
        <f t="shared" si="35"/>
        <v>0</v>
      </c>
      <c r="AA285" s="31">
        <f t="shared" si="35"/>
        <v>0</v>
      </c>
      <c r="AB285" s="31">
        <f t="shared" si="35"/>
        <v>0</v>
      </c>
      <c r="AC285" s="31">
        <f t="shared" si="35"/>
        <v>99418.28</v>
      </c>
      <c r="AD285" s="31">
        <f t="shared" si="35"/>
        <v>258103.47999999998</v>
      </c>
      <c r="AE285" s="31">
        <f t="shared" si="35"/>
        <v>0</v>
      </c>
      <c r="AF285" s="65" t="s">
        <v>751</v>
      </c>
      <c r="AG285" s="65" t="s">
        <v>751</v>
      </c>
      <c r="AH285" s="79" t="s">
        <v>751</v>
      </c>
      <c r="AT285" s="20" t="e">
        <f>VLOOKUP(C285,AW:AX,2,FALSE)</f>
        <v>#N/A</v>
      </c>
      <c r="BZ285" s="64">
        <v>17002898.350000001</v>
      </c>
      <c r="CD285" s="20" t="e">
        <f t="shared" si="31"/>
        <v>#N/A</v>
      </c>
    </row>
    <row r="286" spans="1:82" ht="61.5" x14ac:dyDescent="0.85">
      <c r="A286" s="20">
        <v>1</v>
      </c>
      <c r="B286" s="60">
        <f>SUBTOTAL(103,$A$22:A286)</f>
        <v>257</v>
      </c>
      <c r="C286" s="24" t="s">
        <v>653</v>
      </c>
      <c r="D286" s="31">
        <f>E286+F286+G286+H286+I286+J286+L286+N286+P286+R286+T286+U286+V286+W286+X286+Y286+Z286+AA286+AB286+AC286+AD286+AE286</f>
        <v>5056079.6400000006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67">
        <v>0</v>
      </c>
      <c r="L286" s="31">
        <v>0</v>
      </c>
      <c r="M286" s="38">
        <v>1078.7</v>
      </c>
      <c r="N286" s="144">
        <v>4883507.32</v>
      </c>
      <c r="O286" s="35">
        <v>0</v>
      </c>
      <c r="P286" s="35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144">
        <v>29301.040000000001</v>
      </c>
      <c r="AD286" s="38">
        <v>143271.28</v>
      </c>
      <c r="AE286" s="31">
        <v>0</v>
      </c>
      <c r="AF286" s="33">
        <v>2020</v>
      </c>
      <c r="AG286" s="33">
        <v>2020</v>
      </c>
      <c r="AH286" s="34">
        <v>2020</v>
      </c>
      <c r="AT286" s="20" t="e">
        <f>VLOOKUP(C286,AW:AX,2,FALSE)</f>
        <v>#N/A</v>
      </c>
      <c r="BZ286" s="64"/>
      <c r="CD286" s="20" t="e">
        <f t="shared" si="31"/>
        <v>#N/A</v>
      </c>
    </row>
    <row r="287" spans="1:82" ht="61.5" x14ac:dyDescent="0.85">
      <c r="A287" s="20">
        <v>1</v>
      </c>
      <c r="B287" s="60">
        <f>SUBTOTAL(103,$A$22:A287)</f>
        <v>258</v>
      </c>
      <c r="C287" s="24" t="s">
        <v>650</v>
      </c>
      <c r="D287" s="31">
        <f>E287+F287+G287+H287+I287+J287+L287+N287+P287+R287+T287+U287+V287+W287+X287+Y287+Z287+AA287+AB287+AC287+AD287+AE287</f>
        <v>1162332.27</v>
      </c>
      <c r="E287" s="37">
        <v>0</v>
      </c>
      <c r="F287" s="202">
        <v>83564.44</v>
      </c>
      <c r="G287" s="38">
        <v>895725.75</v>
      </c>
      <c r="H287" s="202">
        <v>61962.38</v>
      </c>
      <c r="I287" s="37">
        <v>0</v>
      </c>
      <c r="J287" s="37">
        <v>0</v>
      </c>
      <c r="K287" s="67">
        <v>0</v>
      </c>
      <c r="L287" s="31">
        <v>0</v>
      </c>
      <c r="M287" s="31">
        <v>0</v>
      </c>
      <c r="N287" s="31">
        <v>0</v>
      </c>
      <c r="O287" s="37">
        <v>0</v>
      </c>
      <c r="P287" s="37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  <c r="AC287" s="38">
        <v>6247.5</v>
      </c>
      <c r="AD287" s="38">
        <v>114832.2</v>
      </c>
      <c r="AE287" s="31">
        <v>0</v>
      </c>
      <c r="AF287" s="33">
        <v>2020</v>
      </c>
      <c r="AG287" s="33">
        <v>2020</v>
      </c>
      <c r="AH287" s="34">
        <v>2020</v>
      </c>
      <c r="AT287" s="20" t="e">
        <f>VLOOKUP(C287,AW:AX,2,FALSE)</f>
        <v>#N/A</v>
      </c>
      <c r="BZ287" s="64"/>
      <c r="CD287" s="20" t="e">
        <f t="shared" si="31"/>
        <v>#N/A</v>
      </c>
    </row>
    <row r="288" spans="1:82" ht="61.5" x14ac:dyDescent="0.85">
      <c r="A288" s="20">
        <v>1</v>
      </c>
      <c r="B288" s="60">
        <f>SUBTOTAL(103,$A$22:A288)</f>
        <v>259</v>
      </c>
      <c r="C288" s="24" t="s">
        <v>1196</v>
      </c>
      <c r="D288" s="31">
        <f>E288+F288+G288+H288+I288+J288+L288+N288+P288+R288+T288+U288+V288+W288+X288+Y288+Z288+AA288+AB288+AC288+AD288+AE288</f>
        <v>3164041.96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67">
        <v>0</v>
      </c>
      <c r="L288" s="31">
        <v>0</v>
      </c>
      <c r="M288" s="38">
        <v>789.35</v>
      </c>
      <c r="N288" s="38">
        <v>3145170.94</v>
      </c>
      <c r="O288" s="35">
        <v>0</v>
      </c>
      <c r="P288" s="35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8">
        <v>18871.02</v>
      </c>
      <c r="AD288" s="31">
        <v>0</v>
      </c>
      <c r="AE288" s="31">
        <v>0</v>
      </c>
      <c r="AF288" s="33" t="s">
        <v>268</v>
      </c>
      <c r="AG288" s="33">
        <v>2020</v>
      </c>
      <c r="AH288" s="34">
        <v>2020</v>
      </c>
      <c r="BZ288" s="64"/>
      <c r="CD288" s="20">
        <f t="shared" si="31"/>
        <v>855</v>
      </c>
    </row>
    <row r="289" spans="1:82" ht="61.5" x14ac:dyDescent="0.85">
      <c r="A289" s="20">
        <v>1</v>
      </c>
      <c r="B289" s="60">
        <f>SUBTOTAL(103,$A$22:A289)</f>
        <v>260</v>
      </c>
      <c r="C289" s="24" t="s">
        <v>1182</v>
      </c>
      <c r="D289" s="31">
        <f>E289+F289+G289+H289+I289+J289+L289+N289+P289+R289+T289+U289+V289+W289+X289+Y289+Z289+AA289+AB289+AC289+AD289+AE289</f>
        <v>3059988.56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67">
        <v>0</v>
      </c>
      <c r="L289" s="31">
        <v>0</v>
      </c>
      <c r="M289" s="38">
        <v>1117.74</v>
      </c>
      <c r="N289" s="144">
        <v>3014989.84</v>
      </c>
      <c r="O289" s="35">
        <v>0</v>
      </c>
      <c r="P289" s="35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144">
        <v>44998.720000000001</v>
      </c>
      <c r="AD289" s="31">
        <v>0</v>
      </c>
      <c r="AE289" s="31">
        <v>0</v>
      </c>
      <c r="AF289" s="33" t="s">
        <v>268</v>
      </c>
      <c r="AG289" s="33">
        <v>2020</v>
      </c>
      <c r="AH289" s="34">
        <v>2020</v>
      </c>
      <c r="BZ289" s="64"/>
      <c r="CD289" s="20">
        <f t="shared" si="31"/>
        <v>1155.9000000000001</v>
      </c>
    </row>
    <row r="290" spans="1:82" ht="61.5" x14ac:dyDescent="0.85">
      <c r="B290" s="24" t="s">
        <v>1275</v>
      </c>
      <c r="C290" s="24"/>
      <c r="D290" s="199">
        <f>D291</f>
        <v>345276.04000000004</v>
      </c>
      <c r="E290" s="31">
        <f t="shared" ref="E290:AE290" si="36">E291</f>
        <v>0</v>
      </c>
      <c r="F290" s="31">
        <f t="shared" si="36"/>
        <v>0</v>
      </c>
      <c r="G290" s="31">
        <f t="shared" si="36"/>
        <v>0</v>
      </c>
      <c r="H290" s="31">
        <f t="shared" si="36"/>
        <v>0</v>
      </c>
      <c r="I290" s="31">
        <f t="shared" si="36"/>
        <v>0</v>
      </c>
      <c r="J290" s="31">
        <f t="shared" si="36"/>
        <v>0</v>
      </c>
      <c r="K290" s="67">
        <f t="shared" si="36"/>
        <v>0</v>
      </c>
      <c r="L290" s="31">
        <f t="shared" si="36"/>
        <v>0</v>
      </c>
      <c r="M290" s="31">
        <f t="shared" si="36"/>
        <v>0</v>
      </c>
      <c r="N290" s="31">
        <f t="shared" si="36"/>
        <v>0</v>
      </c>
      <c r="O290" s="31">
        <f t="shared" si="36"/>
        <v>0</v>
      </c>
      <c r="P290" s="31">
        <f t="shared" si="36"/>
        <v>0</v>
      </c>
      <c r="Q290" s="31">
        <f t="shared" si="36"/>
        <v>0</v>
      </c>
      <c r="R290" s="31">
        <f t="shared" si="36"/>
        <v>0</v>
      </c>
      <c r="S290" s="31">
        <f t="shared" si="36"/>
        <v>0</v>
      </c>
      <c r="T290" s="31">
        <f t="shared" si="36"/>
        <v>0</v>
      </c>
      <c r="U290" s="31">
        <f t="shared" si="36"/>
        <v>0</v>
      </c>
      <c r="V290" s="31">
        <f t="shared" si="36"/>
        <v>340198.58</v>
      </c>
      <c r="W290" s="31">
        <f t="shared" si="36"/>
        <v>0</v>
      </c>
      <c r="X290" s="31">
        <f t="shared" si="36"/>
        <v>0</v>
      </c>
      <c r="Y290" s="31">
        <f t="shared" si="36"/>
        <v>0</v>
      </c>
      <c r="Z290" s="31">
        <f t="shared" si="36"/>
        <v>0</v>
      </c>
      <c r="AA290" s="31">
        <f t="shared" si="36"/>
        <v>0</v>
      </c>
      <c r="AB290" s="31">
        <f t="shared" si="36"/>
        <v>0</v>
      </c>
      <c r="AC290" s="31">
        <f t="shared" si="36"/>
        <v>5077.46</v>
      </c>
      <c r="AD290" s="31">
        <f t="shared" si="36"/>
        <v>0</v>
      </c>
      <c r="AE290" s="31">
        <f t="shared" si="36"/>
        <v>0</v>
      </c>
      <c r="AF290" s="65" t="s">
        <v>751</v>
      </c>
      <c r="AG290" s="65" t="s">
        <v>751</v>
      </c>
      <c r="AH290" s="79" t="s">
        <v>751</v>
      </c>
      <c r="BZ290" s="64">
        <v>509455.14</v>
      </c>
      <c r="CD290" s="20" t="e">
        <f t="shared" si="31"/>
        <v>#N/A</v>
      </c>
    </row>
    <row r="291" spans="1:82" ht="61.5" x14ac:dyDescent="0.85">
      <c r="A291" s="20">
        <v>1</v>
      </c>
      <c r="B291" s="60">
        <f>SUBTOTAL(103,$A$22:A291)</f>
        <v>261</v>
      </c>
      <c r="C291" s="24" t="s">
        <v>1181</v>
      </c>
      <c r="D291" s="31">
        <f>E291+F291+G291+H291+I291+J291+L291+N291+P291+R291+T291+U291+V291+W291+X291+Y291+Z291+AA291+AB291+AC291+AD291+AE291</f>
        <v>345276.04000000004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67">
        <v>0</v>
      </c>
      <c r="L291" s="31">
        <v>0</v>
      </c>
      <c r="M291" s="31">
        <v>0</v>
      </c>
      <c r="N291" s="31">
        <v>0</v>
      </c>
      <c r="O291" s="35">
        <v>0</v>
      </c>
      <c r="P291" s="35">
        <v>0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144">
        <v>340198.58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  <c r="AC291" s="144">
        <v>5077.46</v>
      </c>
      <c r="AD291" s="31">
        <v>0</v>
      </c>
      <c r="AE291" s="31">
        <v>0</v>
      </c>
      <c r="AF291" s="33" t="s">
        <v>268</v>
      </c>
      <c r="AG291" s="33">
        <v>2020</v>
      </c>
      <c r="AH291" s="34">
        <v>2020</v>
      </c>
      <c r="BZ291" s="64"/>
      <c r="CD291" s="20" t="e">
        <f t="shared" si="31"/>
        <v>#N/A</v>
      </c>
    </row>
    <row r="292" spans="1:82" ht="61.5" x14ac:dyDescent="0.85">
      <c r="B292" s="24" t="s">
        <v>819</v>
      </c>
      <c r="C292" s="198"/>
      <c r="D292" s="199">
        <f t="shared" ref="D292:AE292" si="37">SUM(D293:D294)</f>
        <v>5773107.5300000003</v>
      </c>
      <c r="E292" s="31">
        <f t="shared" si="37"/>
        <v>0</v>
      </c>
      <c r="F292" s="31">
        <f t="shared" si="37"/>
        <v>0</v>
      </c>
      <c r="G292" s="31">
        <f t="shared" si="37"/>
        <v>0</v>
      </c>
      <c r="H292" s="31">
        <f t="shared" si="37"/>
        <v>0</v>
      </c>
      <c r="I292" s="31">
        <f t="shared" si="37"/>
        <v>0</v>
      </c>
      <c r="J292" s="31">
        <f t="shared" si="37"/>
        <v>0</v>
      </c>
      <c r="K292" s="67">
        <f t="shared" si="37"/>
        <v>0</v>
      </c>
      <c r="L292" s="31">
        <f t="shared" si="37"/>
        <v>0</v>
      </c>
      <c r="M292" s="31">
        <f t="shared" si="37"/>
        <v>1310.67</v>
      </c>
      <c r="N292" s="31">
        <f t="shared" si="37"/>
        <v>5593662.3499999996</v>
      </c>
      <c r="O292" s="31">
        <f t="shared" si="37"/>
        <v>0</v>
      </c>
      <c r="P292" s="31">
        <f t="shared" si="37"/>
        <v>0</v>
      </c>
      <c r="Q292" s="31">
        <f t="shared" si="37"/>
        <v>0</v>
      </c>
      <c r="R292" s="31">
        <f t="shared" si="37"/>
        <v>0</v>
      </c>
      <c r="S292" s="31">
        <f t="shared" si="37"/>
        <v>0</v>
      </c>
      <c r="T292" s="31">
        <f t="shared" si="37"/>
        <v>0</v>
      </c>
      <c r="U292" s="31">
        <f t="shared" si="37"/>
        <v>0</v>
      </c>
      <c r="V292" s="31">
        <f t="shared" si="37"/>
        <v>0</v>
      </c>
      <c r="W292" s="31">
        <f t="shared" si="37"/>
        <v>0</v>
      </c>
      <c r="X292" s="31">
        <f t="shared" si="37"/>
        <v>0</v>
      </c>
      <c r="Y292" s="31">
        <f t="shared" si="37"/>
        <v>0</v>
      </c>
      <c r="Z292" s="31">
        <f t="shared" si="37"/>
        <v>0</v>
      </c>
      <c r="AA292" s="31">
        <f t="shared" si="37"/>
        <v>0</v>
      </c>
      <c r="AB292" s="31">
        <f t="shared" si="37"/>
        <v>0</v>
      </c>
      <c r="AC292" s="31">
        <f t="shared" si="37"/>
        <v>56635.83</v>
      </c>
      <c r="AD292" s="31">
        <f t="shared" si="37"/>
        <v>122809.35</v>
      </c>
      <c r="AE292" s="31">
        <f t="shared" si="37"/>
        <v>0</v>
      </c>
      <c r="AF292" s="65" t="s">
        <v>751</v>
      </c>
      <c r="AG292" s="65" t="s">
        <v>751</v>
      </c>
      <c r="AH292" s="79" t="s">
        <v>751</v>
      </c>
      <c r="AT292" s="20" t="e">
        <f>VLOOKUP(C292,AW:AX,2,FALSE)</f>
        <v>#N/A</v>
      </c>
      <c r="BZ292" s="64">
        <v>6114371.4100000001</v>
      </c>
      <c r="CB292" s="64">
        <f>BZ292-D292</f>
        <v>341263.87999999989</v>
      </c>
      <c r="CD292" s="20" t="e">
        <f t="shared" si="31"/>
        <v>#N/A</v>
      </c>
    </row>
    <row r="293" spans="1:82" ht="61.5" x14ac:dyDescent="0.85">
      <c r="A293" s="20">
        <v>1</v>
      </c>
      <c r="B293" s="60">
        <f>SUBTOTAL(103,$A$22:A293)</f>
        <v>262</v>
      </c>
      <c r="C293" s="24" t="s">
        <v>677</v>
      </c>
      <c r="D293" s="31">
        <f>E293+F293+G293+H293+I293+J293+L293+N293+P293+R293+T293+U293+V293+W293+X293+Y293+Z293+AA293+AB293+AC293+AD293+AE293</f>
        <v>4843097.09</v>
      </c>
      <c r="E293" s="37">
        <v>0</v>
      </c>
      <c r="F293" s="37">
        <v>0</v>
      </c>
      <c r="G293" s="31">
        <v>0</v>
      </c>
      <c r="H293" s="37">
        <v>0</v>
      </c>
      <c r="I293" s="37">
        <v>0</v>
      </c>
      <c r="J293" s="37">
        <v>0</v>
      </c>
      <c r="K293" s="67">
        <v>0</v>
      </c>
      <c r="L293" s="31">
        <v>0</v>
      </c>
      <c r="M293" s="38">
        <v>1067</v>
      </c>
      <c r="N293" s="38">
        <v>4705104.47</v>
      </c>
      <c r="O293" s="37">
        <v>0</v>
      </c>
      <c r="P293" s="37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f>ROUND(N293*1.0125%,2)</f>
        <v>47639.18</v>
      </c>
      <c r="AD293" s="38">
        <v>90353.44</v>
      </c>
      <c r="AE293" s="31">
        <v>0</v>
      </c>
      <c r="AF293" s="33">
        <v>2020</v>
      </c>
      <c r="AG293" s="33">
        <v>2020</v>
      </c>
      <c r="AH293" s="34">
        <v>2020</v>
      </c>
      <c r="AT293" s="20" t="e">
        <f>VLOOKUP(C293,AW:AX,2,FALSE)</f>
        <v>#N/A</v>
      </c>
      <c r="BZ293" s="64"/>
      <c r="CD293" s="20">
        <f t="shared" si="31"/>
        <v>1022</v>
      </c>
    </row>
    <row r="294" spans="1:82" ht="61.5" x14ac:dyDescent="0.85">
      <c r="A294" s="20">
        <v>1</v>
      </c>
      <c r="B294" s="60">
        <f>SUBTOTAL(103,$A$22:A294)</f>
        <v>263</v>
      </c>
      <c r="C294" s="24" t="s">
        <v>675</v>
      </c>
      <c r="D294" s="31">
        <f>E294+F294+G294+H294+I294+J294+L294+N294+P294+R294+T294+U294+V294+W294+X294+Y294+Z294+AA294+AB294+AC294+AD294+AE294</f>
        <v>930010.44000000006</v>
      </c>
      <c r="E294" s="37">
        <v>0</v>
      </c>
      <c r="F294" s="37">
        <v>0</v>
      </c>
      <c r="G294" s="31">
        <v>0</v>
      </c>
      <c r="H294" s="37">
        <v>0</v>
      </c>
      <c r="I294" s="37">
        <v>0</v>
      </c>
      <c r="J294" s="37">
        <v>0</v>
      </c>
      <c r="K294" s="67">
        <v>0</v>
      </c>
      <c r="L294" s="31">
        <v>0</v>
      </c>
      <c r="M294" s="38">
        <v>243.67</v>
      </c>
      <c r="N294" s="38">
        <v>888557.88</v>
      </c>
      <c r="O294" s="37">
        <v>0</v>
      </c>
      <c r="P294" s="37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8996.65</v>
      </c>
      <c r="AD294" s="38">
        <v>32455.91</v>
      </c>
      <c r="AE294" s="31">
        <v>0</v>
      </c>
      <c r="AF294" s="33">
        <v>2020</v>
      </c>
      <c r="AG294" s="33">
        <v>2020</v>
      </c>
      <c r="AH294" s="33">
        <v>2020</v>
      </c>
      <c r="AT294" s="20" t="e">
        <f>VLOOKUP(C294,AW:AX,2,FALSE)</f>
        <v>#N/A</v>
      </c>
      <c r="BZ294" s="64"/>
      <c r="CD294" s="20">
        <f t="shared" si="31"/>
        <v>243.96</v>
      </c>
    </row>
    <row r="295" spans="1:82" ht="61.5" x14ac:dyDescent="0.85">
      <c r="B295" s="24" t="s">
        <v>820</v>
      </c>
      <c r="C295" s="24"/>
      <c r="D295" s="199">
        <f>SUM(D296:D300)</f>
        <v>10624337.110000001</v>
      </c>
      <c r="E295" s="31">
        <f t="shared" ref="E295:AE295" si="38">SUM(E296:E300)</f>
        <v>56761.29</v>
      </c>
      <c r="F295" s="31">
        <f t="shared" si="38"/>
        <v>0</v>
      </c>
      <c r="G295" s="31">
        <f t="shared" si="38"/>
        <v>313554.02</v>
      </c>
      <c r="H295" s="31">
        <f t="shared" si="38"/>
        <v>166897.82</v>
      </c>
      <c r="I295" s="31">
        <f t="shared" si="38"/>
        <v>0</v>
      </c>
      <c r="J295" s="31">
        <f t="shared" si="38"/>
        <v>0</v>
      </c>
      <c r="K295" s="67">
        <f t="shared" si="38"/>
        <v>0</v>
      </c>
      <c r="L295" s="31">
        <f t="shared" si="38"/>
        <v>0</v>
      </c>
      <c r="M295" s="31">
        <f t="shared" si="38"/>
        <v>0</v>
      </c>
      <c r="N295" s="31">
        <f t="shared" si="38"/>
        <v>0</v>
      </c>
      <c r="O295" s="31">
        <f t="shared" si="38"/>
        <v>339.3</v>
      </c>
      <c r="P295" s="31">
        <f t="shared" si="38"/>
        <v>2618206.87</v>
      </c>
      <c r="Q295" s="31">
        <f t="shared" si="38"/>
        <v>1964.82</v>
      </c>
      <c r="R295" s="31">
        <f t="shared" si="38"/>
        <v>7256375.5399999991</v>
      </c>
      <c r="S295" s="31">
        <f t="shared" si="38"/>
        <v>0</v>
      </c>
      <c r="T295" s="31">
        <f t="shared" si="38"/>
        <v>0</v>
      </c>
      <c r="U295" s="31">
        <f t="shared" si="38"/>
        <v>0</v>
      </c>
      <c r="V295" s="31">
        <f t="shared" si="38"/>
        <v>0</v>
      </c>
      <c r="W295" s="31">
        <f t="shared" si="38"/>
        <v>0</v>
      </c>
      <c r="X295" s="31">
        <f t="shared" si="38"/>
        <v>0</v>
      </c>
      <c r="Y295" s="31">
        <f t="shared" si="38"/>
        <v>0</v>
      </c>
      <c r="Z295" s="31">
        <f t="shared" si="38"/>
        <v>0</v>
      </c>
      <c r="AA295" s="31">
        <f t="shared" si="38"/>
        <v>0</v>
      </c>
      <c r="AB295" s="31">
        <f t="shared" si="38"/>
        <v>0</v>
      </c>
      <c r="AC295" s="31">
        <f t="shared" si="38"/>
        <v>117571.73000000001</v>
      </c>
      <c r="AD295" s="31">
        <f t="shared" si="38"/>
        <v>94969.84</v>
      </c>
      <c r="AE295" s="31">
        <f t="shared" si="38"/>
        <v>0</v>
      </c>
      <c r="AF295" s="65" t="s">
        <v>751</v>
      </c>
      <c r="AG295" s="65" t="s">
        <v>751</v>
      </c>
      <c r="AH295" s="79" t="s">
        <v>751</v>
      </c>
      <c r="AT295" s="20" t="e">
        <f>VLOOKUP(C295,AW:AX,2,FALSE)</f>
        <v>#N/A</v>
      </c>
      <c r="BZ295" s="64">
        <v>13474518.75</v>
      </c>
      <c r="CD295" s="20" t="e">
        <f t="shared" si="31"/>
        <v>#N/A</v>
      </c>
    </row>
    <row r="296" spans="1:82" ht="61.5" x14ac:dyDescent="0.85">
      <c r="A296" s="20">
        <v>1</v>
      </c>
      <c r="B296" s="60">
        <f>SUBTOTAL(103,$A$22:A296)</f>
        <v>264</v>
      </c>
      <c r="C296" s="24" t="s">
        <v>689</v>
      </c>
      <c r="D296" s="31">
        <f>E296+F296+G296+H296+I296+J296+L296+N296+P296+R296+T296+U296+V296+W296+X296+Y296+Z296+AA296+AB296+AC296+AD296+AE296</f>
        <v>2376905.8499999996</v>
      </c>
      <c r="E296" s="37">
        <v>0</v>
      </c>
      <c r="F296" s="37">
        <v>0</v>
      </c>
      <c r="G296" s="31">
        <v>0</v>
      </c>
      <c r="H296" s="37">
        <v>0</v>
      </c>
      <c r="I296" s="37">
        <v>0</v>
      </c>
      <c r="J296" s="37">
        <v>0</v>
      </c>
      <c r="K296" s="67">
        <v>0</v>
      </c>
      <c r="L296" s="31">
        <v>0</v>
      </c>
      <c r="M296" s="31">
        <v>0</v>
      </c>
      <c r="N296" s="31">
        <v>0</v>
      </c>
      <c r="O296" s="37">
        <v>0</v>
      </c>
      <c r="P296" s="37">
        <v>0</v>
      </c>
      <c r="Q296" s="38">
        <v>664.92</v>
      </c>
      <c r="R296" s="38">
        <v>2259063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22873.01</v>
      </c>
      <c r="AD296" s="38">
        <v>94969.84</v>
      </c>
      <c r="AE296" s="31">
        <v>0</v>
      </c>
      <c r="AF296" s="33">
        <v>2020</v>
      </c>
      <c r="AG296" s="33">
        <v>2020</v>
      </c>
      <c r="AH296" s="34">
        <v>2020</v>
      </c>
      <c r="AT296" s="20" t="e">
        <f>VLOOKUP(C296,AW:AX,2,FALSE)</f>
        <v>#N/A</v>
      </c>
      <c r="BZ296" s="64"/>
      <c r="CD296" s="20" t="e">
        <f t="shared" si="31"/>
        <v>#N/A</v>
      </c>
    </row>
    <row r="297" spans="1:82" ht="61.5" x14ac:dyDescent="0.85">
      <c r="A297" s="20">
        <v>1</v>
      </c>
      <c r="B297" s="60">
        <f>SUBTOTAL(103,$A$22:A297)</f>
        <v>265</v>
      </c>
      <c r="C297" s="24" t="s">
        <v>1199</v>
      </c>
      <c r="D297" s="31">
        <f>E297+F297+G297+H297+I297+J297+L297+N297+P297+R297+T297+U297+V297+W297+X297+Y297+Z297+AA297+AB297+AC297+AD297+AE297</f>
        <v>2513294.65</v>
      </c>
      <c r="E297" s="37">
        <v>0</v>
      </c>
      <c r="F297" s="37">
        <v>0</v>
      </c>
      <c r="G297" s="31">
        <v>0</v>
      </c>
      <c r="H297" s="37">
        <v>0</v>
      </c>
      <c r="I297" s="37">
        <v>0</v>
      </c>
      <c r="J297" s="37">
        <v>0</v>
      </c>
      <c r="K297" s="67">
        <v>0</v>
      </c>
      <c r="L297" s="31">
        <v>0</v>
      </c>
      <c r="M297" s="31">
        <v>0</v>
      </c>
      <c r="N297" s="31">
        <v>0</v>
      </c>
      <c r="O297" s="37">
        <v>0</v>
      </c>
      <c r="P297" s="37">
        <v>0</v>
      </c>
      <c r="Q297" s="38">
        <v>647.20000000000005</v>
      </c>
      <c r="R297" s="38">
        <v>2488287.36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8">
        <v>25007.29</v>
      </c>
      <c r="AD297" s="31">
        <v>0</v>
      </c>
      <c r="AE297" s="31">
        <v>0</v>
      </c>
      <c r="AF297" s="33" t="s">
        <v>268</v>
      </c>
      <c r="AG297" s="33">
        <v>2020</v>
      </c>
      <c r="AH297" s="34">
        <v>2020</v>
      </c>
      <c r="BZ297" s="64"/>
      <c r="CD297" s="20" t="e">
        <f t="shared" si="31"/>
        <v>#N/A</v>
      </c>
    </row>
    <row r="298" spans="1:82" ht="61.5" x14ac:dyDescent="0.85">
      <c r="A298" s="20">
        <v>1</v>
      </c>
      <c r="B298" s="60">
        <f>SUBTOTAL(103,$A$22:A298)</f>
        <v>266</v>
      </c>
      <c r="C298" s="24" t="s">
        <v>1200</v>
      </c>
      <c r="D298" s="31">
        <f>E298+F298+G298+H298+I298+J298+L298+N298+P298+R298+T298+U298+V298+W298+X298+Y298+Z298+AA298+AB298+AC298+AD298+AE298</f>
        <v>2534240.8800000004</v>
      </c>
      <c r="E298" s="37">
        <v>0</v>
      </c>
      <c r="F298" s="37">
        <v>0</v>
      </c>
      <c r="G298" s="31">
        <v>0</v>
      </c>
      <c r="H298" s="37">
        <v>0</v>
      </c>
      <c r="I298" s="37">
        <v>0</v>
      </c>
      <c r="J298" s="37">
        <v>0</v>
      </c>
      <c r="K298" s="67">
        <v>0</v>
      </c>
      <c r="L298" s="31">
        <v>0</v>
      </c>
      <c r="M298" s="31">
        <v>0</v>
      </c>
      <c r="N298" s="31">
        <v>0</v>
      </c>
      <c r="O298" s="37">
        <v>0</v>
      </c>
      <c r="P298" s="37">
        <v>0</v>
      </c>
      <c r="Q298" s="38">
        <v>652.70000000000005</v>
      </c>
      <c r="R298" s="38">
        <v>2509025.1800000002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8">
        <v>25215.7</v>
      </c>
      <c r="AD298" s="31">
        <v>0</v>
      </c>
      <c r="AE298" s="31">
        <v>0</v>
      </c>
      <c r="AF298" s="33" t="s">
        <v>268</v>
      </c>
      <c r="AG298" s="33">
        <v>2020</v>
      </c>
      <c r="AH298" s="34">
        <v>2020</v>
      </c>
      <c r="BZ298" s="64"/>
      <c r="CD298" s="20" t="e">
        <f t="shared" si="31"/>
        <v>#N/A</v>
      </c>
    </row>
    <row r="299" spans="1:82" ht="61.5" x14ac:dyDescent="0.85">
      <c r="A299" s="20">
        <v>1</v>
      </c>
      <c r="B299" s="60">
        <f>SUBTOTAL(103,$A$22:A299)</f>
        <v>267</v>
      </c>
      <c r="C299" s="24" t="s">
        <v>1201</v>
      </c>
      <c r="D299" s="31">
        <f>E299+F299+G299+H299+I299+J299+L299+N299+P299+R299+T299+U299+V299+W299+X299+Y299+Z299+AA299+AB299+AC299+AD299+AE299</f>
        <v>542612.12</v>
      </c>
      <c r="E299" s="144">
        <v>56761.29</v>
      </c>
      <c r="F299" s="37">
        <v>0</v>
      </c>
      <c r="G299" s="144">
        <v>313554.02</v>
      </c>
      <c r="H299" s="144">
        <v>166897.82</v>
      </c>
      <c r="I299" s="37">
        <v>0</v>
      </c>
      <c r="J299" s="37">
        <v>0</v>
      </c>
      <c r="K299" s="67">
        <v>0</v>
      </c>
      <c r="L299" s="31">
        <v>0</v>
      </c>
      <c r="M299" s="31">
        <v>0</v>
      </c>
      <c r="N299" s="31">
        <v>0</v>
      </c>
      <c r="O299" s="37">
        <v>0</v>
      </c>
      <c r="P299" s="37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f>ROUND((E299+F299+G299+H299+I299+J299)*1.005%,2)</f>
        <v>5398.99</v>
      </c>
      <c r="AD299" s="31">
        <v>0</v>
      </c>
      <c r="AE299" s="31">
        <v>0</v>
      </c>
      <c r="AF299" s="33" t="s">
        <v>268</v>
      </c>
      <c r="AG299" s="33">
        <v>2020</v>
      </c>
      <c r="AH299" s="34">
        <v>2020</v>
      </c>
      <c r="BZ299" s="64"/>
      <c r="CD299" s="20" t="e">
        <f t="shared" si="31"/>
        <v>#N/A</v>
      </c>
    </row>
    <row r="300" spans="1:82" ht="61.5" x14ac:dyDescent="0.85">
      <c r="A300" s="20">
        <v>1</v>
      </c>
      <c r="B300" s="60">
        <f>SUBTOTAL(103,$A$22:A300)</f>
        <v>268</v>
      </c>
      <c r="C300" s="24" t="s">
        <v>1202</v>
      </c>
      <c r="D300" s="31">
        <f>E300+F300+G300+H300+I300+J300+L300+N300+P300+R300+T300+U300+V300+W300+X300+Y300+Z300+AA300+AB300+AC300+AD300+AE300</f>
        <v>2657283.6100000003</v>
      </c>
      <c r="E300" s="37">
        <v>0</v>
      </c>
      <c r="F300" s="37">
        <v>0</v>
      </c>
      <c r="G300" s="31">
        <v>0</v>
      </c>
      <c r="H300" s="37">
        <v>0</v>
      </c>
      <c r="I300" s="37">
        <v>0</v>
      </c>
      <c r="J300" s="37">
        <v>0</v>
      </c>
      <c r="K300" s="67">
        <v>0</v>
      </c>
      <c r="L300" s="31">
        <v>0</v>
      </c>
      <c r="M300" s="31">
        <v>0</v>
      </c>
      <c r="N300" s="31">
        <v>0</v>
      </c>
      <c r="O300" s="38">
        <v>339.3</v>
      </c>
      <c r="P300" s="38">
        <v>2618206.87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f>ROUND(P300*1.4925%,2)</f>
        <v>39076.74</v>
      </c>
      <c r="AD300" s="31">
        <v>0</v>
      </c>
      <c r="AE300" s="31">
        <v>0</v>
      </c>
      <c r="AF300" s="33" t="s">
        <v>268</v>
      </c>
      <c r="AG300" s="33">
        <v>2020</v>
      </c>
      <c r="AH300" s="34">
        <v>2020</v>
      </c>
      <c r="BZ300" s="64"/>
      <c r="CD300" s="20" t="e">
        <f t="shared" si="31"/>
        <v>#N/A</v>
      </c>
    </row>
    <row r="301" spans="1:82" ht="61.5" x14ac:dyDescent="0.85">
      <c r="B301" s="24" t="s">
        <v>821</v>
      </c>
      <c r="C301" s="24"/>
      <c r="D301" s="199">
        <f>SUM(D302:D306)</f>
        <v>4459924.01</v>
      </c>
      <c r="E301" s="31">
        <f t="shared" ref="E301:AE301" si="39">SUM(E302:E306)</f>
        <v>94214.06</v>
      </c>
      <c r="F301" s="31">
        <f t="shared" si="39"/>
        <v>0</v>
      </c>
      <c r="G301" s="31">
        <f t="shared" si="39"/>
        <v>0</v>
      </c>
      <c r="H301" s="31">
        <f t="shared" si="39"/>
        <v>205262.31</v>
      </c>
      <c r="I301" s="31">
        <f t="shared" si="39"/>
        <v>585724.52</v>
      </c>
      <c r="J301" s="31">
        <f t="shared" si="39"/>
        <v>0</v>
      </c>
      <c r="K301" s="67">
        <f t="shared" si="39"/>
        <v>0</v>
      </c>
      <c r="L301" s="31">
        <f t="shared" si="39"/>
        <v>0</v>
      </c>
      <c r="M301" s="31">
        <f t="shared" si="39"/>
        <v>647</v>
      </c>
      <c r="N301" s="31">
        <f t="shared" si="39"/>
        <v>3348175.42</v>
      </c>
      <c r="O301" s="31">
        <f t="shared" si="39"/>
        <v>0</v>
      </c>
      <c r="P301" s="31">
        <f t="shared" si="39"/>
        <v>0</v>
      </c>
      <c r="Q301" s="31">
        <f t="shared" si="39"/>
        <v>0</v>
      </c>
      <c r="R301" s="31">
        <f t="shared" si="39"/>
        <v>0</v>
      </c>
      <c r="S301" s="31">
        <f t="shared" si="39"/>
        <v>0</v>
      </c>
      <c r="T301" s="31">
        <f t="shared" si="39"/>
        <v>0</v>
      </c>
      <c r="U301" s="31">
        <f t="shared" si="39"/>
        <v>0</v>
      </c>
      <c r="V301" s="31">
        <f t="shared" si="39"/>
        <v>0</v>
      </c>
      <c r="W301" s="31">
        <f t="shared" si="39"/>
        <v>0</v>
      </c>
      <c r="X301" s="31">
        <f t="shared" si="39"/>
        <v>0</v>
      </c>
      <c r="Y301" s="31">
        <f t="shared" si="39"/>
        <v>0</v>
      </c>
      <c r="Z301" s="31">
        <f t="shared" si="39"/>
        <v>0</v>
      </c>
      <c r="AA301" s="31">
        <f t="shared" si="39"/>
        <v>0</v>
      </c>
      <c r="AB301" s="31">
        <f t="shared" si="39"/>
        <v>0</v>
      </c>
      <c r="AC301" s="31">
        <f t="shared" si="39"/>
        <v>44670.95</v>
      </c>
      <c r="AD301" s="31">
        <f t="shared" si="39"/>
        <v>181876.75</v>
      </c>
      <c r="AE301" s="31">
        <f t="shared" si="39"/>
        <v>0</v>
      </c>
      <c r="AF301" s="65" t="s">
        <v>751</v>
      </c>
      <c r="AG301" s="65" t="s">
        <v>751</v>
      </c>
      <c r="AH301" s="79" t="s">
        <v>751</v>
      </c>
      <c r="AT301" s="20" t="e">
        <f>VLOOKUP(C301,AW:AX,2,FALSE)</f>
        <v>#N/A</v>
      </c>
      <c r="BZ301" s="64">
        <v>4109300.7899999996</v>
      </c>
      <c r="CD301" s="20" t="e">
        <f t="shared" si="31"/>
        <v>#N/A</v>
      </c>
    </row>
    <row r="302" spans="1:82" ht="61.5" x14ac:dyDescent="0.85">
      <c r="A302" s="20">
        <v>1</v>
      </c>
      <c r="B302" s="60">
        <f>SUBTOTAL(103,$A$22:A302)</f>
        <v>269</v>
      </c>
      <c r="C302" s="24" t="s">
        <v>690</v>
      </c>
      <c r="D302" s="31">
        <f>E302+F302+G302+H302+I302+J302+L302+N302+P302+R302+T302+U302+V302+W302+X302+Y302+Z302+AA302+AB302+AC302+AD302+AE302</f>
        <v>3466608.69</v>
      </c>
      <c r="E302" s="37">
        <v>0</v>
      </c>
      <c r="F302" s="37">
        <v>0</v>
      </c>
      <c r="G302" s="31">
        <v>0</v>
      </c>
      <c r="H302" s="37">
        <v>0</v>
      </c>
      <c r="I302" s="37">
        <v>0</v>
      </c>
      <c r="J302" s="37">
        <v>0</v>
      </c>
      <c r="K302" s="67">
        <v>0</v>
      </c>
      <c r="L302" s="31">
        <v>0</v>
      </c>
      <c r="M302" s="38">
        <v>647</v>
      </c>
      <c r="N302" s="38">
        <v>3348175.42</v>
      </c>
      <c r="O302" s="37">
        <v>0</v>
      </c>
      <c r="P302" s="37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8">
        <v>33900.28</v>
      </c>
      <c r="AD302" s="38">
        <v>84532.99</v>
      </c>
      <c r="AE302" s="31">
        <v>0</v>
      </c>
      <c r="AF302" s="33">
        <v>2020</v>
      </c>
      <c r="AG302" s="33">
        <v>2020</v>
      </c>
      <c r="AH302" s="34">
        <v>2020</v>
      </c>
      <c r="AT302" s="20" t="e">
        <f>VLOOKUP(C302,AW:AX,2,FALSE)</f>
        <v>#N/A</v>
      </c>
      <c r="BZ302" s="64"/>
      <c r="CD302" s="20" t="e">
        <f t="shared" si="31"/>
        <v>#N/A</v>
      </c>
    </row>
    <row r="303" spans="1:82" ht="61.5" x14ac:dyDescent="0.85">
      <c r="A303" s="20">
        <v>1</v>
      </c>
      <c r="B303" s="60">
        <f>SUBTOTAL(103,$A$22:A303)</f>
        <v>270</v>
      </c>
      <c r="C303" s="24" t="s">
        <v>683</v>
      </c>
      <c r="D303" s="31">
        <f>E303+F303+G303+H303+I303+J303+L303+N303+P303+R303+T303+U303+V303+W303+X303+Y303+Z303+AA303+AB303+AC303+AD303+AE303</f>
        <v>34358.44</v>
      </c>
      <c r="E303" s="37">
        <v>0</v>
      </c>
      <c r="F303" s="37">
        <v>0</v>
      </c>
      <c r="G303" s="31">
        <v>0</v>
      </c>
      <c r="H303" s="37">
        <v>0</v>
      </c>
      <c r="I303" s="31">
        <v>0</v>
      </c>
      <c r="J303" s="37">
        <v>0</v>
      </c>
      <c r="K303" s="67">
        <v>0</v>
      </c>
      <c r="L303" s="31">
        <v>0</v>
      </c>
      <c r="M303" s="31">
        <v>0</v>
      </c>
      <c r="N303" s="31">
        <v>0</v>
      </c>
      <c r="O303" s="37">
        <v>0</v>
      </c>
      <c r="P303" s="37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f>ROUND((E303+F303+G303+H303+I303+J303)*1.5%,2)</f>
        <v>0</v>
      </c>
      <c r="AD303" s="38">
        <v>34358.44</v>
      </c>
      <c r="AE303" s="31">
        <v>0</v>
      </c>
      <c r="AF303" s="33">
        <v>2020</v>
      </c>
      <c r="AG303" s="33" t="s">
        <v>268</v>
      </c>
      <c r="AH303" s="33" t="s">
        <v>268</v>
      </c>
      <c r="AT303" s="20" t="e">
        <f>VLOOKUP(C303,AW:AX,2,FALSE)</f>
        <v>#N/A</v>
      </c>
      <c r="BZ303" s="64"/>
      <c r="CD303" s="20" t="e">
        <f t="shared" si="31"/>
        <v>#N/A</v>
      </c>
    </row>
    <row r="304" spans="1:82" ht="61.5" x14ac:dyDescent="0.85">
      <c r="A304" s="20">
        <v>1</v>
      </c>
      <c r="B304" s="60">
        <f>SUBTOTAL(103,$A$22:A304)</f>
        <v>271</v>
      </c>
      <c r="C304" s="24" t="s">
        <v>682</v>
      </c>
      <c r="D304" s="31">
        <f>E304+F304+G304+H304+I304+J304+L304+N304+P304+R304+T304+U304+V304+W304+X304+Y304+Z304+AA304+AB304+AC304+AD304+AE304</f>
        <v>576667.37</v>
      </c>
      <c r="E304" s="37">
        <v>0</v>
      </c>
      <c r="F304" s="37">
        <v>0</v>
      </c>
      <c r="G304" s="31">
        <v>0</v>
      </c>
      <c r="H304" s="37">
        <v>0</v>
      </c>
      <c r="I304" s="38">
        <v>508533.15</v>
      </c>
      <c r="J304" s="37">
        <v>0</v>
      </c>
      <c r="K304" s="67">
        <v>0</v>
      </c>
      <c r="L304" s="31">
        <v>0</v>
      </c>
      <c r="M304" s="31">
        <v>0</v>
      </c>
      <c r="N304" s="31">
        <v>0</v>
      </c>
      <c r="O304" s="37">
        <v>0</v>
      </c>
      <c r="P304" s="37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5148.8999999999996</v>
      </c>
      <c r="AD304" s="38">
        <v>62985.32</v>
      </c>
      <c r="AE304" s="31">
        <v>0</v>
      </c>
      <c r="AF304" s="33">
        <v>2020</v>
      </c>
      <c r="AG304" s="33">
        <v>2020</v>
      </c>
      <c r="AH304" s="34">
        <v>2020</v>
      </c>
      <c r="AT304" s="20" t="e">
        <f>VLOOKUP(C304,AW:AX,2,FALSE)</f>
        <v>#N/A</v>
      </c>
      <c r="BZ304" s="64"/>
      <c r="CD304" s="20" t="e">
        <f t="shared" si="31"/>
        <v>#N/A</v>
      </c>
    </row>
    <row r="305" spans="1:82" ht="61.5" x14ac:dyDescent="0.85">
      <c r="A305" s="20">
        <v>1</v>
      </c>
      <c r="B305" s="60">
        <f>SUBTOTAL(103,$A$22:A305)</f>
        <v>272</v>
      </c>
      <c r="C305" s="24" t="s">
        <v>1207</v>
      </c>
      <c r="D305" s="31">
        <f>E305+F305+G305+H305+I305+J305+L305+N305+P305+R305+T305+U305+V305+W305+X305+Y305+Z305+AA305+AB305+AC305+AD305+AE305</f>
        <v>248507.09</v>
      </c>
      <c r="E305" s="144">
        <v>94214.06</v>
      </c>
      <c r="F305" s="37">
        <v>0</v>
      </c>
      <c r="G305" s="31">
        <v>0</v>
      </c>
      <c r="H305" s="144">
        <v>150638.6</v>
      </c>
      <c r="I305" s="37">
        <v>0</v>
      </c>
      <c r="J305" s="37">
        <v>0</v>
      </c>
      <c r="K305" s="67">
        <v>0</v>
      </c>
      <c r="L305" s="31">
        <v>0</v>
      </c>
      <c r="M305" s="31">
        <v>0</v>
      </c>
      <c r="N305" s="31">
        <v>0</v>
      </c>
      <c r="O305" s="37">
        <v>0</v>
      </c>
      <c r="P305" s="37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f>ROUND((E305+F305+G305+H305+I305+J305)*1.4925%,2)</f>
        <v>3654.43</v>
      </c>
      <c r="AD305" s="31">
        <v>0</v>
      </c>
      <c r="AE305" s="31">
        <v>0</v>
      </c>
      <c r="AF305" s="33" t="s">
        <v>268</v>
      </c>
      <c r="AG305" s="33">
        <v>2020</v>
      </c>
      <c r="AH305" s="34">
        <v>2020</v>
      </c>
      <c r="BZ305" s="64"/>
      <c r="CD305" s="20" t="e">
        <f t="shared" si="31"/>
        <v>#N/A</v>
      </c>
    </row>
    <row r="306" spans="1:82" ht="61.5" x14ac:dyDescent="0.85">
      <c r="A306" s="20">
        <v>1</v>
      </c>
      <c r="B306" s="60">
        <f>SUBTOTAL(103,$A$22:A306)</f>
        <v>273</v>
      </c>
      <c r="C306" s="24" t="s">
        <v>1208</v>
      </c>
      <c r="D306" s="31">
        <f>E306+F306+G306+H306+I306+J306+L306+N306+P306+R306+T306+U306+V306+W306+X306+Y306+Z306+AA306+AB306+AC306+AD306+AE306</f>
        <v>133782.41999999998</v>
      </c>
      <c r="E306" s="37">
        <v>0</v>
      </c>
      <c r="F306" s="37">
        <v>0</v>
      </c>
      <c r="G306" s="31">
        <v>0</v>
      </c>
      <c r="H306" s="144">
        <v>54623.71</v>
      </c>
      <c r="I306" s="144">
        <v>77191.37</v>
      </c>
      <c r="J306" s="37">
        <v>0</v>
      </c>
      <c r="K306" s="67">
        <v>0</v>
      </c>
      <c r="L306" s="31">
        <v>0</v>
      </c>
      <c r="M306" s="31">
        <v>0</v>
      </c>
      <c r="N306" s="31">
        <v>0</v>
      </c>
      <c r="O306" s="37">
        <v>0</v>
      </c>
      <c r="P306" s="37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f>ROUND((E306+F306+G306+H306+I306+J306)*1.4925%,2)</f>
        <v>1967.34</v>
      </c>
      <c r="AD306" s="31">
        <v>0</v>
      </c>
      <c r="AE306" s="31">
        <v>0</v>
      </c>
      <c r="AF306" s="33" t="s">
        <v>268</v>
      </c>
      <c r="AG306" s="33">
        <v>2020</v>
      </c>
      <c r="AH306" s="34">
        <v>2020</v>
      </c>
      <c r="BZ306" s="64"/>
      <c r="CD306" s="20" t="e">
        <f t="shared" si="31"/>
        <v>#N/A</v>
      </c>
    </row>
    <row r="307" spans="1:82" ht="61.5" x14ac:dyDescent="0.85">
      <c r="B307" s="24" t="s">
        <v>822</v>
      </c>
      <c r="C307" s="24"/>
      <c r="D307" s="199">
        <f>D308</f>
        <v>1997229.1400000001</v>
      </c>
      <c r="E307" s="31">
        <f t="shared" ref="E307:AE307" si="40">E308</f>
        <v>0</v>
      </c>
      <c r="F307" s="31">
        <f t="shared" si="40"/>
        <v>0</v>
      </c>
      <c r="G307" s="31">
        <f t="shared" si="40"/>
        <v>0</v>
      </c>
      <c r="H307" s="31">
        <f t="shared" si="40"/>
        <v>0</v>
      </c>
      <c r="I307" s="31">
        <f t="shared" si="40"/>
        <v>0</v>
      </c>
      <c r="J307" s="31">
        <f t="shared" si="40"/>
        <v>0</v>
      </c>
      <c r="K307" s="67">
        <f t="shared" si="40"/>
        <v>0</v>
      </c>
      <c r="L307" s="31">
        <f t="shared" si="40"/>
        <v>0</v>
      </c>
      <c r="M307" s="31">
        <f t="shared" si="40"/>
        <v>775.93</v>
      </c>
      <c r="N307" s="31">
        <f t="shared" si="40"/>
        <v>1845774.1</v>
      </c>
      <c r="O307" s="31">
        <f t="shared" si="40"/>
        <v>0</v>
      </c>
      <c r="P307" s="31">
        <f t="shared" si="40"/>
        <v>0</v>
      </c>
      <c r="Q307" s="31">
        <f t="shared" si="40"/>
        <v>0</v>
      </c>
      <c r="R307" s="31">
        <f t="shared" si="40"/>
        <v>0</v>
      </c>
      <c r="S307" s="31">
        <f t="shared" si="40"/>
        <v>0</v>
      </c>
      <c r="T307" s="31">
        <f t="shared" si="40"/>
        <v>0</v>
      </c>
      <c r="U307" s="31">
        <f t="shared" si="40"/>
        <v>0</v>
      </c>
      <c r="V307" s="31">
        <f t="shared" si="40"/>
        <v>0</v>
      </c>
      <c r="W307" s="31">
        <f t="shared" si="40"/>
        <v>0</v>
      </c>
      <c r="X307" s="31">
        <f t="shared" si="40"/>
        <v>0</v>
      </c>
      <c r="Y307" s="31">
        <f t="shared" si="40"/>
        <v>0</v>
      </c>
      <c r="Z307" s="31">
        <f t="shared" si="40"/>
        <v>0</v>
      </c>
      <c r="AA307" s="31">
        <f t="shared" si="40"/>
        <v>0</v>
      </c>
      <c r="AB307" s="31">
        <f t="shared" si="40"/>
        <v>0</v>
      </c>
      <c r="AC307" s="31">
        <f t="shared" si="40"/>
        <v>18688.46</v>
      </c>
      <c r="AD307" s="31">
        <f t="shared" si="40"/>
        <v>132766.57999999999</v>
      </c>
      <c r="AE307" s="31">
        <f t="shared" si="40"/>
        <v>0</v>
      </c>
      <c r="AF307" s="65" t="s">
        <v>751</v>
      </c>
      <c r="AG307" s="65" t="s">
        <v>751</v>
      </c>
      <c r="AH307" s="79" t="s">
        <v>751</v>
      </c>
      <c r="AT307" s="20" t="e">
        <f t="shared" ref="AT307:AT317" si="41">VLOOKUP(C307,AW:AX,2,FALSE)</f>
        <v>#N/A</v>
      </c>
      <c r="BZ307" s="64">
        <v>3674943.51</v>
      </c>
      <c r="CD307" s="20" t="e">
        <f t="shared" si="31"/>
        <v>#N/A</v>
      </c>
    </row>
    <row r="308" spans="1:82" ht="61.5" x14ac:dyDescent="0.85">
      <c r="A308" s="20">
        <v>1</v>
      </c>
      <c r="B308" s="60">
        <f>SUBTOTAL(103,$A$22:A308)</f>
        <v>274</v>
      </c>
      <c r="C308" s="24" t="s">
        <v>680</v>
      </c>
      <c r="D308" s="31">
        <f>E308+F308+G308+H308+I308+J308+L308+N308+P308+R308+T308+U308+V308+W308+X308+Y308+Z308+AA308+AB308+AC308+AD308+AE308</f>
        <v>1997229.1400000001</v>
      </c>
      <c r="E308" s="37">
        <v>0</v>
      </c>
      <c r="F308" s="37">
        <v>0</v>
      </c>
      <c r="G308" s="31">
        <v>0</v>
      </c>
      <c r="H308" s="37">
        <v>0</v>
      </c>
      <c r="I308" s="37">
        <v>0</v>
      </c>
      <c r="J308" s="37">
        <v>0</v>
      </c>
      <c r="K308" s="67">
        <v>0</v>
      </c>
      <c r="L308" s="31">
        <v>0</v>
      </c>
      <c r="M308" s="38">
        <v>775.93</v>
      </c>
      <c r="N308" s="38">
        <v>1845774.1</v>
      </c>
      <c r="O308" s="37">
        <v>0</v>
      </c>
      <c r="P308" s="37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8">
        <v>18688.46</v>
      </c>
      <c r="AD308" s="38">
        <v>132766.57999999999</v>
      </c>
      <c r="AE308" s="31">
        <v>0</v>
      </c>
      <c r="AF308" s="33">
        <v>2020</v>
      </c>
      <c r="AG308" s="33">
        <v>2020</v>
      </c>
      <c r="AH308" s="34">
        <v>2020</v>
      </c>
      <c r="AT308" s="20" t="e">
        <f t="shared" si="41"/>
        <v>#N/A</v>
      </c>
      <c r="BZ308" s="64"/>
      <c r="CD308" s="20" t="e">
        <f t="shared" si="31"/>
        <v>#N/A</v>
      </c>
    </row>
    <row r="309" spans="1:82" ht="61.5" x14ac:dyDescent="0.85">
      <c r="B309" s="24" t="s">
        <v>823</v>
      </c>
      <c r="C309" s="24"/>
      <c r="D309" s="199">
        <f t="shared" ref="D309:AE309" si="42">SUM(D310:D324)</f>
        <v>29976052.369999997</v>
      </c>
      <c r="E309" s="31">
        <f t="shared" si="42"/>
        <v>0</v>
      </c>
      <c r="F309" s="31">
        <f t="shared" si="42"/>
        <v>0</v>
      </c>
      <c r="G309" s="31">
        <f t="shared" si="42"/>
        <v>0</v>
      </c>
      <c r="H309" s="31">
        <f t="shared" si="42"/>
        <v>0</v>
      </c>
      <c r="I309" s="31">
        <f t="shared" si="42"/>
        <v>0</v>
      </c>
      <c r="J309" s="31">
        <f t="shared" si="42"/>
        <v>0</v>
      </c>
      <c r="K309" s="67">
        <f t="shared" si="42"/>
        <v>6</v>
      </c>
      <c r="L309" s="31">
        <f t="shared" si="42"/>
        <v>8696097.8399999999</v>
      </c>
      <c r="M309" s="31">
        <f t="shared" si="42"/>
        <v>5138.55</v>
      </c>
      <c r="N309" s="31">
        <f t="shared" si="42"/>
        <v>17781364.059999999</v>
      </c>
      <c r="O309" s="31">
        <f t="shared" si="42"/>
        <v>0</v>
      </c>
      <c r="P309" s="31">
        <f t="shared" si="42"/>
        <v>0</v>
      </c>
      <c r="Q309" s="31">
        <f t="shared" si="42"/>
        <v>664.65200000000004</v>
      </c>
      <c r="R309" s="31">
        <f t="shared" si="42"/>
        <v>2073147.13</v>
      </c>
      <c r="S309" s="31">
        <f t="shared" si="42"/>
        <v>0</v>
      </c>
      <c r="T309" s="31">
        <f t="shared" si="42"/>
        <v>0</v>
      </c>
      <c r="U309" s="31">
        <f t="shared" si="42"/>
        <v>0</v>
      </c>
      <c r="V309" s="31">
        <f t="shared" si="42"/>
        <v>0</v>
      </c>
      <c r="W309" s="31">
        <f t="shared" si="42"/>
        <v>0</v>
      </c>
      <c r="X309" s="31">
        <f t="shared" si="42"/>
        <v>0</v>
      </c>
      <c r="Y309" s="31">
        <f t="shared" si="42"/>
        <v>0</v>
      </c>
      <c r="Z309" s="31">
        <f t="shared" si="42"/>
        <v>0</v>
      </c>
      <c r="AA309" s="31">
        <f t="shared" si="42"/>
        <v>0</v>
      </c>
      <c r="AB309" s="31">
        <f t="shared" si="42"/>
        <v>0</v>
      </c>
      <c r="AC309" s="31">
        <f t="shared" si="42"/>
        <v>217841.08</v>
      </c>
      <c r="AD309" s="31">
        <f t="shared" si="42"/>
        <v>847602.26</v>
      </c>
      <c r="AE309" s="31">
        <f t="shared" si="42"/>
        <v>360000</v>
      </c>
      <c r="AF309" s="65" t="s">
        <v>751</v>
      </c>
      <c r="AG309" s="65" t="s">
        <v>751</v>
      </c>
      <c r="AH309" s="79" t="s">
        <v>751</v>
      </c>
      <c r="AT309" s="20" t="e">
        <f t="shared" si="41"/>
        <v>#N/A</v>
      </c>
      <c r="BZ309" s="64">
        <v>50473058.759999998</v>
      </c>
      <c r="CB309" s="64">
        <f>BZ309-D309</f>
        <v>20497006.390000001</v>
      </c>
      <c r="CD309" s="20" t="e">
        <f t="shared" si="31"/>
        <v>#N/A</v>
      </c>
    </row>
    <row r="310" spans="1:82" ht="61.5" x14ac:dyDescent="0.85">
      <c r="A310" s="20">
        <v>1</v>
      </c>
      <c r="B310" s="60">
        <f>SUBTOTAL(103,$A$22:A310)</f>
        <v>275</v>
      </c>
      <c r="C310" s="24" t="s">
        <v>684</v>
      </c>
      <c r="D310" s="31">
        <f t="shared" ref="D310:D324" si="43">E310+F310+G310+H310+I310+J310+L310+N310+P310+R310+T310+U310+V310+W310+X310+Y310+Z310+AA310+AB310+AC310+AD310+AE310</f>
        <v>95474.18</v>
      </c>
      <c r="E310" s="37">
        <v>0</v>
      </c>
      <c r="F310" s="37">
        <v>0</v>
      </c>
      <c r="G310" s="31">
        <v>0</v>
      </c>
      <c r="H310" s="37">
        <v>0</v>
      </c>
      <c r="I310" s="37">
        <v>0</v>
      </c>
      <c r="J310" s="37">
        <v>0</v>
      </c>
      <c r="K310" s="67">
        <v>0</v>
      </c>
      <c r="L310" s="31">
        <v>0</v>
      </c>
      <c r="M310" s="31">
        <v>0</v>
      </c>
      <c r="N310" s="31">
        <v>0</v>
      </c>
      <c r="O310" s="37">
        <v>0</v>
      </c>
      <c r="P310" s="37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f>ROUND(N310*1.5%,2)</f>
        <v>0</v>
      </c>
      <c r="AD310" s="38">
        <v>95474.18</v>
      </c>
      <c r="AE310" s="31">
        <v>0</v>
      </c>
      <c r="AF310" s="33">
        <v>2020</v>
      </c>
      <c r="AG310" s="33" t="s">
        <v>268</v>
      </c>
      <c r="AH310" s="33" t="s">
        <v>268</v>
      </c>
      <c r="AT310" s="20" t="e">
        <f t="shared" si="41"/>
        <v>#N/A</v>
      </c>
      <c r="BZ310" s="64"/>
      <c r="CD310" s="20" t="e">
        <f t="shared" si="31"/>
        <v>#N/A</v>
      </c>
    </row>
    <row r="311" spans="1:82" ht="61.5" x14ac:dyDescent="0.85">
      <c r="A311" s="20">
        <v>1</v>
      </c>
      <c r="B311" s="60">
        <f>SUBTOTAL(103,$A$22:A311)</f>
        <v>276</v>
      </c>
      <c r="C311" s="24" t="s">
        <v>668</v>
      </c>
      <c r="D311" s="31">
        <f t="shared" si="43"/>
        <v>6906704.6500000004</v>
      </c>
      <c r="E311" s="37">
        <v>0</v>
      </c>
      <c r="F311" s="37">
        <v>0</v>
      </c>
      <c r="G311" s="31">
        <v>0</v>
      </c>
      <c r="H311" s="37">
        <v>0</v>
      </c>
      <c r="I311" s="37">
        <v>0</v>
      </c>
      <c r="J311" s="37">
        <v>0</v>
      </c>
      <c r="K311" s="67">
        <v>0</v>
      </c>
      <c r="L311" s="31">
        <v>0</v>
      </c>
      <c r="M311" s="38">
        <v>1260</v>
      </c>
      <c r="N311" s="38">
        <v>6705665.3499999996</v>
      </c>
      <c r="O311" s="37">
        <v>0</v>
      </c>
      <c r="P311" s="37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8">
        <v>67894.86</v>
      </c>
      <c r="AD311" s="38">
        <v>133144.44</v>
      </c>
      <c r="AE311" s="31">
        <v>0</v>
      </c>
      <c r="AF311" s="33">
        <v>2020</v>
      </c>
      <c r="AG311" s="33">
        <v>2020</v>
      </c>
      <c r="AH311" s="34">
        <v>2020</v>
      </c>
      <c r="AT311" s="20" t="e">
        <f t="shared" si="41"/>
        <v>#N/A</v>
      </c>
      <c r="BZ311" s="64"/>
      <c r="CD311" s="20" t="e">
        <f t="shared" si="31"/>
        <v>#N/A</v>
      </c>
    </row>
    <row r="312" spans="1:82" ht="61.5" x14ac:dyDescent="0.85">
      <c r="A312" s="20">
        <v>1</v>
      </c>
      <c r="B312" s="60">
        <f>SUBTOTAL(103,$A$22:A312)</f>
        <v>277</v>
      </c>
      <c r="C312" s="24" t="s">
        <v>663</v>
      </c>
      <c r="D312" s="31">
        <f t="shared" si="43"/>
        <v>1582418.76</v>
      </c>
      <c r="E312" s="37">
        <v>0</v>
      </c>
      <c r="F312" s="37">
        <v>0</v>
      </c>
      <c r="G312" s="31">
        <v>0</v>
      </c>
      <c r="H312" s="37">
        <v>0</v>
      </c>
      <c r="I312" s="37">
        <v>0</v>
      </c>
      <c r="J312" s="37">
        <v>0</v>
      </c>
      <c r="K312" s="67">
        <v>0</v>
      </c>
      <c r="L312" s="31">
        <v>0</v>
      </c>
      <c r="M312" s="38">
        <v>740.9</v>
      </c>
      <c r="N312" s="38">
        <v>1479456.34</v>
      </c>
      <c r="O312" s="37">
        <v>0</v>
      </c>
      <c r="P312" s="37">
        <v>0</v>
      </c>
      <c r="Q312" s="31">
        <v>0</v>
      </c>
      <c r="R312" s="31">
        <v>0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8">
        <v>14979.5</v>
      </c>
      <c r="AD312" s="38">
        <v>87982.92</v>
      </c>
      <c r="AE312" s="31">
        <v>0</v>
      </c>
      <c r="AF312" s="33">
        <v>2020</v>
      </c>
      <c r="AG312" s="33">
        <v>2020</v>
      </c>
      <c r="AH312" s="34">
        <v>2020</v>
      </c>
      <c r="AT312" s="20" t="e">
        <f t="shared" si="41"/>
        <v>#N/A</v>
      </c>
      <c r="BZ312" s="64"/>
      <c r="CD312" s="20">
        <f t="shared" si="31"/>
        <v>900</v>
      </c>
    </row>
    <row r="313" spans="1:82" ht="61.5" x14ac:dyDescent="0.85">
      <c r="A313" s="20">
        <v>1</v>
      </c>
      <c r="B313" s="60">
        <f>SUBTOTAL(103,$A$22:A313)</f>
        <v>278</v>
      </c>
      <c r="C313" s="24" t="s">
        <v>664</v>
      </c>
      <c r="D313" s="31">
        <f t="shared" si="43"/>
        <v>1494720.17</v>
      </c>
      <c r="E313" s="37">
        <v>0</v>
      </c>
      <c r="F313" s="37">
        <v>0</v>
      </c>
      <c r="G313" s="31">
        <v>0</v>
      </c>
      <c r="H313" s="37">
        <v>0</v>
      </c>
      <c r="I313" s="37">
        <v>0</v>
      </c>
      <c r="J313" s="37">
        <v>0</v>
      </c>
      <c r="K313" s="67">
        <v>0</v>
      </c>
      <c r="L313" s="31">
        <v>0</v>
      </c>
      <c r="M313" s="38">
        <v>787.1</v>
      </c>
      <c r="N313" s="38">
        <v>1392636.8</v>
      </c>
      <c r="O313" s="37">
        <v>0</v>
      </c>
      <c r="P313" s="37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8">
        <v>14100.45</v>
      </c>
      <c r="AD313" s="38">
        <v>87982.92</v>
      </c>
      <c r="AE313" s="31">
        <v>0</v>
      </c>
      <c r="AF313" s="33">
        <v>2020</v>
      </c>
      <c r="AG313" s="33">
        <v>2020</v>
      </c>
      <c r="AH313" s="34">
        <v>2020</v>
      </c>
      <c r="AT313" s="20" t="e">
        <f t="shared" si="41"/>
        <v>#N/A</v>
      </c>
      <c r="BZ313" s="64"/>
      <c r="CD313" s="20">
        <f t="shared" si="31"/>
        <v>900</v>
      </c>
    </row>
    <row r="314" spans="1:82" ht="61.5" x14ac:dyDescent="0.85">
      <c r="A314" s="20">
        <v>1</v>
      </c>
      <c r="B314" s="60">
        <f>SUBTOTAL(103,$A$22:A314)</f>
        <v>279</v>
      </c>
      <c r="C314" s="24" t="s">
        <v>665</v>
      </c>
      <c r="D314" s="31">
        <f t="shared" si="43"/>
        <v>1534580.28</v>
      </c>
      <c r="E314" s="37">
        <v>0</v>
      </c>
      <c r="F314" s="37">
        <v>0</v>
      </c>
      <c r="G314" s="31">
        <v>0</v>
      </c>
      <c r="H314" s="37">
        <v>0</v>
      </c>
      <c r="I314" s="37">
        <v>0</v>
      </c>
      <c r="J314" s="37">
        <v>0</v>
      </c>
      <c r="K314" s="67">
        <v>0</v>
      </c>
      <c r="L314" s="31">
        <v>0</v>
      </c>
      <c r="M314" s="38">
        <v>760.1</v>
      </c>
      <c r="N314" s="38">
        <v>1432097.37</v>
      </c>
      <c r="O314" s="37">
        <v>0</v>
      </c>
      <c r="P314" s="37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  <c r="AC314" s="38">
        <v>14499.99</v>
      </c>
      <c r="AD314" s="38">
        <v>87982.92</v>
      </c>
      <c r="AE314" s="31">
        <v>0</v>
      </c>
      <c r="AF314" s="33">
        <v>2020</v>
      </c>
      <c r="AG314" s="33">
        <v>2020</v>
      </c>
      <c r="AH314" s="34">
        <v>2020</v>
      </c>
      <c r="AT314" s="20" t="e">
        <f t="shared" si="41"/>
        <v>#N/A</v>
      </c>
      <c r="BZ314" s="64"/>
      <c r="CD314" s="20">
        <f t="shared" si="31"/>
        <v>900</v>
      </c>
    </row>
    <row r="315" spans="1:82" ht="61.5" x14ac:dyDescent="0.85">
      <c r="A315" s="20">
        <v>1</v>
      </c>
      <c r="B315" s="60">
        <f>SUBTOTAL(103,$A$22:A315)</f>
        <v>280</v>
      </c>
      <c r="C315" s="24" t="s">
        <v>658</v>
      </c>
      <c r="D315" s="31">
        <f t="shared" si="43"/>
        <v>3346564.4</v>
      </c>
      <c r="E315" s="37">
        <v>0</v>
      </c>
      <c r="F315" s="37">
        <v>0</v>
      </c>
      <c r="G315" s="31">
        <v>0</v>
      </c>
      <c r="H315" s="37">
        <v>0</v>
      </c>
      <c r="I315" s="37">
        <v>0</v>
      </c>
      <c r="J315" s="37">
        <v>0</v>
      </c>
      <c r="K315" s="67">
        <v>2</v>
      </c>
      <c r="L315" s="31">
        <f>1635186.98*2</f>
        <v>3270373.96</v>
      </c>
      <c r="M315" s="31">
        <v>0</v>
      </c>
      <c r="N315" s="31">
        <v>0</v>
      </c>
      <c r="O315" s="37">
        <v>0</v>
      </c>
      <c r="P315" s="37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8">
        <v>76190.44</v>
      </c>
      <c r="AE315" s="31">
        <v>0</v>
      </c>
      <c r="AF315" s="33">
        <v>2020</v>
      </c>
      <c r="AG315" s="33">
        <v>2020</v>
      </c>
      <c r="AH315" s="34" t="s">
        <v>268</v>
      </c>
      <c r="AT315" s="20" t="e">
        <f t="shared" si="41"/>
        <v>#N/A</v>
      </c>
      <c r="BZ315" s="64"/>
      <c r="CD315" s="20" t="e">
        <f t="shared" si="31"/>
        <v>#N/A</v>
      </c>
    </row>
    <row r="316" spans="1:82" ht="61.5" x14ac:dyDescent="0.85">
      <c r="A316" s="20">
        <v>1</v>
      </c>
      <c r="B316" s="60">
        <f>SUBTOTAL(103,$A$22:A316)</f>
        <v>281</v>
      </c>
      <c r="C316" s="24" t="s">
        <v>671</v>
      </c>
      <c r="D316" s="31">
        <f t="shared" si="43"/>
        <v>101554.75</v>
      </c>
      <c r="E316" s="37">
        <v>0</v>
      </c>
      <c r="F316" s="37">
        <v>0</v>
      </c>
      <c r="G316" s="31">
        <v>0</v>
      </c>
      <c r="H316" s="37">
        <v>0</v>
      </c>
      <c r="I316" s="37">
        <v>0</v>
      </c>
      <c r="J316" s="37">
        <v>0</v>
      </c>
      <c r="K316" s="67">
        <v>0</v>
      </c>
      <c r="L316" s="31">
        <v>0</v>
      </c>
      <c r="M316" s="31">
        <v>0</v>
      </c>
      <c r="N316" s="31">
        <v>0</v>
      </c>
      <c r="O316" s="37">
        <v>0</v>
      </c>
      <c r="P316" s="37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f>ROUND(N316*1.5%,2)</f>
        <v>0</v>
      </c>
      <c r="AD316" s="38">
        <v>101554.75</v>
      </c>
      <c r="AE316" s="31">
        <v>0</v>
      </c>
      <c r="AF316" s="33">
        <v>2020</v>
      </c>
      <c r="AG316" s="34" t="s">
        <v>268</v>
      </c>
      <c r="AH316" s="34" t="s">
        <v>268</v>
      </c>
      <c r="AT316" s="20" t="e">
        <f t="shared" si="41"/>
        <v>#N/A</v>
      </c>
      <c r="BZ316" s="64"/>
      <c r="CD316" s="20" t="e">
        <f t="shared" si="31"/>
        <v>#N/A</v>
      </c>
    </row>
    <row r="317" spans="1:82" ht="61.5" x14ac:dyDescent="0.85">
      <c r="A317" s="20">
        <v>1</v>
      </c>
      <c r="B317" s="60">
        <f>SUBTOTAL(103,$A$22:A317)</f>
        <v>282</v>
      </c>
      <c r="C317" s="24" t="s">
        <v>659</v>
      </c>
      <c r="D317" s="31">
        <f t="shared" si="43"/>
        <v>104089.37</v>
      </c>
      <c r="E317" s="37">
        <v>0</v>
      </c>
      <c r="F317" s="37">
        <v>0</v>
      </c>
      <c r="G317" s="31">
        <v>0</v>
      </c>
      <c r="H317" s="37">
        <v>0</v>
      </c>
      <c r="I317" s="37">
        <v>0</v>
      </c>
      <c r="J317" s="37">
        <v>0</v>
      </c>
      <c r="K317" s="67">
        <v>0</v>
      </c>
      <c r="L317" s="31">
        <v>0</v>
      </c>
      <c r="M317" s="31">
        <v>0</v>
      </c>
      <c r="N317" s="31">
        <v>0</v>
      </c>
      <c r="O317" s="37">
        <v>0</v>
      </c>
      <c r="P317" s="37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f>ROUND(N317*1.5%,2)</f>
        <v>0</v>
      </c>
      <c r="AD317" s="38">
        <v>104089.37</v>
      </c>
      <c r="AE317" s="31">
        <v>0</v>
      </c>
      <c r="AF317" s="33">
        <v>2020</v>
      </c>
      <c r="AG317" s="34" t="s">
        <v>268</v>
      </c>
      <c r="AH317" s="34" t="s">
        <v>268</v>
      </c>
      <c r="AT317" s="20" t="e">
        <f t="shared" si="41"/>
        <v>#N/A</v>
      </c>
      <c r="BZ317" s="64"/>
      <c r="CD317" s="20" t="e">
        <f t="shared" si="31"/>
        <v>#N/A</v>
      </c>
    </row>
    <row r="318" spans="1:82" ht="61.5" x14ac:dyDescent="0.85">
      <c r="A318" s="20">
        <v>1</v>
      </c>
      <c r="B318" s="60">
        <f>SUBTOTAL(103,$A$22:A318)</f>
        <v>283</v>
      </c>
      <c r="C318" s="24" t="s">
        <v>1198</v>
      </c>
      <c r="D318" s="31">
        <f t="shared" si="43"/>
        <v>4230013.1300000008</v>
      </c>
      <c r="E318" s="37">
        <v>0</v>
      </c>
      <c r="F318" s="37">
        <v>0</v>
      </c>
      <c r="G318" s="31">
        <v>0</v>
      </c>
      <c r="H318" s="37">
        <v>0</v>
      </c>
      <c r="I318" s="37">
        <v>0</v>
      </c>
      <c r="J318" s="37">
        <v>0</v>
      </c>
      <c r="K318" s="67">
        <v>0</v>
      </c>
      <c r="L318" s="31">
        <v>0</v>
      </c>
      <c r="M318" s="38">
        <v>953.5</v>
      </c>
      <c r="N318" s="38">
        <v>4069118.49</v>
      </c>
      <c r="O318" s="37">
        <v>0</v>
      </c>
      <c r="P318" s="37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8">
        <v>40894.639999999999</v>
      </c>
      <c r="AD318" s="31">
        <v>0</v>
      </c>
      <c r="AE318" s="31">
        <v>120000</v>
      </c>
      <c r="AF318" s="33" t="s">
        <v>268</v>
      </c>
      <c r="AG318" s="33">
        <v>2020</v>
      </c>
      <c r="AH318" s="34">
        <v>2020</v>
      </c>
      <c r="BZ318" s="64"/>
      <c r="CD318" s="20">
        <f t="shared" si="31"/>
        <v>953.5</v>
      </c>
    </row>
    <row r="319" spans="1:82" ht="61.5" x14ac:dyDescent="0.85">
      <c r="A319" s="20">
        <v>1</v>
      </c>
      <c r="B319" s="60">
        <f>SUBTOTAL(103,$A$22:A319)</f>
        <v>284</v>
      </c>
      <c r="C319" s="24" t="s">
        <v>1203</v>
      </c>
      <c r="D319" s="31">
        <f t="shared" si="43"/>
        <v>5425723.8799999999</v>
      </c>
      <c r="E319" s="37">
        <v>0</v>
      </c>
      <c r="F319" s="37">
        <v>0</v>
      </c>
      <c r="G319" s="31">
        <v>0</v>
      </c>
      <c r="H319" s="37">
        <v>0</v>
      </c>
      <c r="I319" s="37">
        <v>0</v>
      </c>
      <c r="J319" s="37">
        <v>0</v>
      </c>
      <c r="K319" s="194">
        <v>4</v>
      </c>
      <c r="L319" s="38">
        <v>5425723.8799999999</v>
      </c>
      <c r="M319" s="31">
        <v>0</v>
      </c>
      <c r="N319" s="31">
        <v>0</v>
      </c>
      <c r="O319" s="37">
        <v>0</v>
      </c>
      <c r="P319" s="37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3" t="s">
        <v>268</v>
      </c>
      <c r="AG319" s="33">
        <v>2020</v>
      </c>
      <c r="AH319" s="34" t="s">
        <v>268</v>
      </c>
      <c r="BZ319" s="64"/>
      <c r="CD319" s="20" t="e">
        <f t="shared" si="31"/>
        <v>#N/A</v>
      </c>
    </row>
    <row r="320" spans="1:82" ht="61.5" x14ac:dyDescent="0.85">
      <c r="A320" s="20">
        <v>1</v>
      </c>
      <c r="B320" s="60">
        <f>SUBTOTAL(103,$A$22:A320)</f>
        <v>285</v>
      </c>
      <c r="C320" s="24" t="s">
        <v>1204</v>
      </c>
      <c r="D320" s="31">
        <f t="shared" si="43"/>
        <v>839027.99</v>
      </c>
      <c r="E320" s="37">
        <v>0</v>
      </c>
      <c r="F320" s="37">
        <v>0</v>
      </c>
      <c r="G320" s="31">
        <v>0</v>
      </c>
      <c r="H320" s="37">
        <v>0</v>
      </c>
      <c r="I320" s="37">
        <v>0</v>
      </c>
      <c r="J320" s="37">
        <v>0</v>
      </c>
      <c r="K320" s="67">
        <v>0</v>
      </c>
      <c r="L320" s="31">
        <v>0</v>
      </c>
      <c r="M320" s="31">
        <v>0</v>
      </c>
      <c r="N320" s="31">
        <v>0</v>
      </c>
      <c r="O320" s="37">
        <v>0</v>
      </c>
      <c r="P320" s="37">
        <v>0</v>
      </c>
      <c r="Q320" s="38">
        <v>273.98200000000003</v>
      </c>
      <c r="R320" s="38">
        <v>826689.65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0</v>
      </c>
      <c r="AC320" s="38">
        <v>12338.34</v>
      </c>
      <c r="AD320" s="31">
        <v>0</v>
      </c>
      <c r="AE320" s="31">
        <v>0</v>
      </c>
      <c r="AF320" s="33" t="s">
        <v>268</v>
      </c>
      <c r="AG320" s="33">
        <v>2020</v>
      </c>
      <c r="AH320" s="34">
        <v>2020</v>
      </c>
      <c r="BZ320" s="64"/>
      <c r="CD320" s="20" t="e">
        <f t="shared" si="31"/>
        <v>#N/A</v>
      </c>
    </row>
    <row r="321" spans="1:82" ht="61.5" x14ac:dyDescent="0.85">
      <c r="A321" s="20">
        <v>1</v>
      </c>
      <c r="B321" s="60">
        <f>SUBTOTAL(103,$A$22:A321)</f>
        <v>286</v>
      </c>
      <c r="C321" s="24" t="s">
        <v>1205</v>
      </c>
      <c r="D321" s="31">
        <f t="shared" si="43"/>
        <v>1265060.8599999999</v>
      </c>
      <c r="E321" s="37">
        <v>0</v>
      </c>
      <c r="F321" s="37">
        <v>0</v>
      </c>
      <c r="G321" s="31">
        <v>0</v>
      </c>
      <c r="H321" s="37">
        <v>0</v>
      </c>
      <c r="I321" s="37">
        <v>0</v>
      </c>
      <c r="J321" s="37">
        <v>0</v>
      </c>
      <c r="K321" s="67">
        <v>0</v>
      </c>
      <c r="L321" s="31">
        <v>0</v>
      </c>
      <c r="M321" s="31">
        <v>0</v>
      </c>
      <c r="N321" s="31">
        <v>0</v>
      </c>
      <c r="O321" s="37">
        <v>0</v>
      </c>
      <c r="P321" s="37">
        <v>0</v>
      </c>
      <c r="Q321" s="38">
        <v>390.67</v>
      </c>
      <c r="R321" s="38">
        <v>1246457.48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8">
        <v>18603.38</v>
      </c>
      <c r="AD321" s="31">
        <v>0</v>
      </c>
      <c r="AE321" s="31">
        <v>0</v>
      </c>
      <c r="AF321" s="33" t="s">
        <v>268</v>
      </c>
      <c r="AG321" s="33">
        <v>2020</v>
      </c>
      <c r="AH321" s="34">
        <v>2020</v>
      </c>
      <c r="BZ321" s="64"/>
      <c r="CD321" s="20" t="e">
        <f t="shared" si="31"/>
        <v>#N/A</v>
      </c>
    </row>
    <row r="322" spans="1:82" ht="61.5" x14ac:dyDescent="0.85">
      <c r="A322" s="20">
        <v>1</v>
      </c>
      <c r="B322" s="60">
        <f>SUBTOTAL(103,$A$22:A322)</f>
        <v>287</v>
      </c>
      <c r="C322" s="24" t="s">
        <v>1206</v>
      </c>
      <c r="D322" s="31">
        <f t="shared" si="43"/>
        <v>73200.320000000007</v>
      </c>
      <c r="E322" s="37">
        <v>0</v>
      </c>
      <c r="F322" s="37">
        <v>0</v>
      </c>
      <c r="G322" s="31">
        <v>0</v>
      </c>
      <c r="H322" s="37">
        <v>0</v>
      </c>
      <c r="I322" s="37">
        <v>0</v>
      </c>
      <c r="J322" s="37">
        <v>0</v>
      </c>
      <c r="K322" s="67">
        <v>0</v>
      </c>
      <c r="L322" s="31">
        <v>0</v>
      </c>
      <c r="M322" s="31">
        <v>0</v>
      </c>
      <c r="N322" s="31">
        <v>0</v>
      </c>
      <c r="O322" s="37">
        <v>0</v>
      </c>
      <c r="P322" s="37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f>ROUND(N322*1.5%,2)</f>
        <v>0</v>
      </c>
      <c r="AD322" s="38">
        <v>73200.320000000007</v>
      </c>
      <c r="AE322" s="31">
        <v>0</v>
      </c>
      <c r="AF322" s="33">
        <v>2020</v>
      </c>
      <c r="AG322" s="34" t="s">
        <v>268</v>
      </c>
      <c r="AH322" s="34" t="s">
        <v>268</v>
      </c>
      <c r="BZ322" s="64"/>
      <c r="CD322" s="20">
        <f t="shared" si="31"/>
        <v>738.92</v>
      </c>
    </row>
    <row r="323" spans="1:82" ht="61.5" x14ac:dyDescent="0.85">
      <c r="A323" s="20">
        <v>1</v>
      </c>
      <c r="B323" s="60">
        <f>SUBTOTAL(103,$A$22:A323)</f>
        <v>288</v>
      </c>
      <c r="C323" s="24" t="s">
        <v>1535</v>
      </c>
      <c r="D323" s="31">
        <f t="shared" si="43"/>
        <v>1322373.3</v>
      </c>
      <c r="E323" s="37">
        <v>0</v>
      </c>
      <c r="F323" s="37">
        <v>0</v>
      </c>
      <c r="G323" s="31">
        <v>0</v>
      </c>
      <c r="H323" s="37">
        <v>0</v>
      </c>
      <c r="I323" s="37">
        <v>0</v>
      </c>
      <c r="J323" s="37">
        <v>0</v>
      </c>
      <c r="K323" s="67">
        <v>0</v>
      </c>
      <c r="L323" s="31">
        <v>0</v>
      </c>
      <c r="M323" s="38">
        <v>292.45</v>
      </c>
      <c r="N323" s="38">
        <v>1190409.68</v>
      </c>
      <c r="O323" s="37">
        <v>0</v>
      </c>
      <c r="P323" s="37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8">
        <v>11963.62</v>
      </c>
      <c r="AD323" s="31">
        <v>0</v>
      </c>
      <c r="AE323" s="31">
        <v>120000</v>
      </c>
      <c r="AF323" s="33" t="s">
        <v>268</v>
      </c>
      <c r="AG323" s="33">
        <v>2020</v>
      </c>
      <c r="AH323" s="34">
        <v>2020</v>
      </c>
      <c r="BZ323" s="64"/>
      <c r="CD323" s="20">
        <f t="shared" si="31"/>
        <v>275.39999999999998</v>
      </c>
    </row>
    <row r="324" spans="1:82" ht="61.5" x14ac:dyDescent="0.85">
      <c r="A324" s="20">
        <v>1</v>
      </c>
      <c r="B324" s="60">
        <f>SUBTOTAL(103,$A$22:A324)</f>
        <v>289</v>
      </c>
      <c r="C324" s="24" t="s">
        <v>1545</v>
      </c>
      <c r="D324" s="31">
        <f t="shared" si="43"/>
        <v>1654546.33</v>
      </c>
      <c r="E324" s="37">
        <v>0</v>
      </c>
      <c r="F324" s="37">
        <v>0</v>
      </c>
      <c r="G324" s="31">
        <v>0</v>
      </c>
      <c r="H324" s="37">
        <v>0</v>
      </c>
      <c r="I324" s="37">
        <v>0</v>
      </c>
      <c r="J324" s="37">
        <v>0</v>
      </c>
      <c r="K324" s="67">
        <v>0</v>
      </c>
      <c r="L324" s="31">
        <v>0</v>
      </c>
      <c r="M324" s="38">
        <v>344.5</v>
      </c>
      <c r="N324" s="38">
        <v>1511980.03</v>
      </c>
      <c r="O324" s="37">
        <v>0</v>
      </c>
      <c r="P324" s="37">
        <v>0</v>
      </c>
      <c r="Q324" s="31">
        <v>0</v>
      </c>
      <c r="R324" s="31">
        <v>0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0</v>
      </c>
      <c r="AC324" s="31">
        <f>ROUND(N324*1.4925%,2)</f>
        <v>22566.3</v>
      </c>
      <c r="AD324" s="31">
        <v>0</v>
      </c>
      <c r="AE324" s="31">
        <v>120000</v>
      </c>
      <c r="AF324" s="33" t="s">
        <v>268</v>
      </c>
      <c r="AG324" s="33">
        <v>2020</v>
      </c>
      <c r="AH324" s="34">
        <v>2020</v>
      </c>
      <c r="BZ324" s="64"/>
      <c r="CD324" s="20">
        <f t="shared" si="31"/>
        <v>344.5</v>
      </c>
    </row>
    <row r="325" spans="1:82" ht="61.5" x14ac:dyDescent="0.85">
      <c r="B325" s="24" t="s">
        <v>824</v>
      </c>
      <c r="C325" s="198"/>
      <c r="D325" s="199">
        <f t="shared" ref="D325:AE325" si="44">SUM(D326:D341)</f>
        <v>22830689.180000003</v>
      </c>
      <c r="E325" s="31">
        <f t="shared" si="44"/>
        <v>0</v>
      </c>
      <c r="F325" s="31">
        <f t="shared" si="44"/>
        <v>0</v>
      </c>
      <c r="G325" s="31">
        <f t="shared" si="44"/>
        <v>0</v>
      </c>
      <c r="H325" s="31">
        <f t="shared" si="44"/>
        <v>0</v>
      </c>
      <c r="I325" s="31">
        <f t="shared" si="44"/>
        <v>2268467.9300000002</v>
      </c>
      <c r="J325" s="31">
        <f t="shared" si="44"/>
        <v>0</v>
      </c>
      <c r="K325" s="67">
        <f t="shared" si="44"/>
        <v>0</v>
      </c>
      <c r="L325" s="31">
        <f t="shared" si="44"/>
        <v>0</v>
      </c>
      <c r="M325" s="31">
        <f t="shared" si="44"/>
        <v>3653.92</v>
      </c>
      <c r="N325" s="31">
        <f t="shared" si="44"/>
        <v>14137054.039999999</v>
      </c>
      <c r="O325" s="31">
        <f t="shared" si="44"/>
        <v>0</v>
      </c>
      <c r="P325" s="31">
        <f t="shared" si="44"/>
        <v>0</v>
      </c>
      <c r="Q325" s="31">
        <f t="shared" si="44"/>
        <v>1413.88</v>
      </c>
      <c r="R325" s="31">
        <f t="shared" si="44"/>
        <v>5539556.1299999999</v>
      </c>
      <c r="S325" s="31">
        <f t="shared" si="44"/>
        <v>0</v>
      </c>
      <c r="T325" s="31">
        <f t="shared" si="44"/>
        <v>0</v>
      </c>
      <c r="U325" s="31">
        <f t="shared" si="44"/>
        <v>0</v>
      </c>
      <c r="V325" s="31">
        <f t="shared" si="44"/>
        <v>0</v>
      </c>
      <c r="W325" s="31">
        <f t="shared" si="44"/>
        <v>0</v>
      </c>
      <c r="X325" s="31">
        <f t="shared" si="44"/>
        <v>0</v>
      </c>
      <c r="Y325" s="31">
        <f t="shared" si="44"/>
        <v>0</v>
      </c>
      <c r="Z325" s="31">
        <f t="shared" si="44"/>
        <v>0</v>
      </c>
      <c r="AA325" s="31">
        <f t="shared" si="44"/>
        <v>0</v>
      </c>
      <c r="AB325" s="31">
        <f t="shared" si="44"/>
        <v>0</v>
      </c>
      <c r="AC325" s="31">
        <f t="shared" si="44"/>
        <v>257422.68000000005</v>
      </c>
      <c r="AD325" s="31">
        <f t="shared" si="44"/>
        <v>508188.39999999997</v>
      </c>
      <c r="AE325" s="31">
        <f t="shared" si="44"/>
        <v>120000</v>
      </c>
      <c r="AF325" s="65" t="s">
        <v>751</v>
      </c>
      <c r="AG325" s="65" t="s">
        <v>751</v>
      </c>
      <c r="AH325" s="79" t="s">
        <v>751</v>
      </c>
      <c r="AT325" s="20" t="e">
        <f t="shared" ref="AT325:AT331" si="45">VLOOKUP(C325,AW:AX,2,FALSE)</f>
        <v>#N/A</v>
      </c>
      <c r="BZ325" s="64">
        <v>38859598.050000004</v>
      </c>
      <c r="CB325" s="64">
        <f>BZ325-D325</f>
        <v>16028908.870000001</v>
      </c>
      <c r="CD325" s="20" t="e">
        <f t="shared" si="31"/>
        <v>#N/A</v>
      </c>
    </row>
    <row r="326" spans="1:82" ht="61.5" x14ac:dyDescent="0.85">
      <c r="A326" s="20">
        <v>1</v>
      </c>
      <c r="B326" s="60">
        <f>SUBTOTAL(103,$A$22:A326)</f>
        <v>290</v>
      </c>
      <c r="C326" s="24" t="s">
        <v>231</v>
      </c>
      <c r="D326" s="31">
        <f t="shared" ref="D326:D339" si="46">E326+F326+G326+H326+I326+J326+L326+N326+P326+R326+T326+U326+V326+W326+X326+Y326+Z326+AA326+AB326+AC326+AD326+AE326</f>
        <v>1413561.06</v>
      </c>
      <c r="E326" s="31">
        <v>0</v>
      </c>
      <c r="F326" s="31">
        <v>0</v>
      </c>
      <c r="G326" s="31">
        <v>0</v>
      </c>
      <c r="H326" s="31">
        <v>0</v>
      </c>
      <c r="I326" s="31">
        <v>0</v>
      </c>
      <c r="J326" s="31">
        <v>0</v>
      </c>
      <c r="K326" s="67">
        <v>0</v>
      </c>
      <c r="L326" s="31">
        <v>0</v>
      </c>
      <c r="M326" s="38">
        <v>343</v>
      </c>
      <c r="N326" s="38">
        <v>1339821.01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8">
        <v>13565.69</v>
      </c>
      <c r="AD326" s="144">
        <v>60174.36</v>
      </c>
      <c r="AE326" s="31">
        <v>0</v>
      </c>
      <c r="AF326" s="33">
        <v>2020</v>
      </c>
      <c r="AG326" s="33">
        <v>2020</v>
      </c>
      <c r="AH326" s="34">
        <v>2020</v>
      </c>
      <c r="AT326" s="20" t="e">
        <f t="shared" si="45"/>
        <v>#N/A</v>
      </c>
      <c r="BZ326" s="64"/>
      <c r="CD326" s="20" t="e">
        <f t="shared" si="31"/>
        <v>#N/A</v>
      </c>
    </row>
    <row r="327" spans="1:82" ht="61.5" x14ac:dyDescent="0.85">
      <c r="A327" s="20">
        <v>1</v>
      </c>
      <c r="B327" s="60">
        <f>SUBTOTAL(103,$A$22:A327)</f>
        <v>291</v>
      </c>
      <c r="C327" s="24" t="s">
        <v>233</v>
      </c>
      <c r="D327" s="31">
        <f t="shared" si="46"/>
        <v>75889.97</v>
      </c>
      <c r="E327" s="31">
        <v>0</v>
      </c>
      <c r="F327" s="31">
        <v>0</v>
      </c>
      <c r="G327" s="31">
        <v>0</v>
      </c>
      <c r="H327" s="31">
        <v>0</v>
      </c>
      <c r="I327" s="31">
        <v>0</v>
      </c>
      <c r="J327" s="31">
        <v>0</v>
      </c>
      <c r="K327" s="67">
        <v>0</v>
      </c>
      <c r="L327" s="31">
        <v>0</v>
      </c>
      <c r="M327" s="31">
        <v>0</v>
      </c>
      <c r="N327" s="31">
        <v>0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f>ROUND(R327*1.5%,2)</f>
        <v>0</v>
      </c>
      <c r="AD327" s="31">
        <v>75889.97</v>
      </c>
      <c r="AE327" s="31">
        <v>0</v>
      </c>
      <c r="AF327" s="33">
        <v>2020</v>
      </c>
      <c r="AG327" s="34" t="s">
        <v>268</v>
      </c>
      <c r="AH327" s="34" t="s">
        <v>268</v>
      </c>
      <c r="AT327" s="20" t="e">
        <f t="shared" si="45"/>
        <v>#N/A</v>
      </c>
      <c r="BZ327" s="64"/>
      <c r="CD327" s="20" t="e">
        <f t="shared" si="31"/>
        <v>#N/A</v>
      </c>
    </row>
    <row r="328" spans="1:82" ht="61.5" x14ac:dyDescent="0.85">
      <c r="A328" s="20">
        <v>1</v>
      </c>
      <c r="B328" s="60">
        <f>SUBTOTAL(103,$A$22:A328)</f>
        <v>292</v>
      </c>
      <c r="C328" s="24" t="s">
        <v>236</v>
      </c>
      <c r="D328" s="31">
        <f t="shared" si="46"/>
        <v>1769883.07</v>
      </c>
      <c r="E328" s="31">
        <v>0</v>
      </c>
      <c r="F328" s="31">
        <v>0</v>
      </c>
      <c r="G328" s="31">
        <v>0</v>
      </c>
      <c r="H328" s="31">
        <v>0</v>
      </c>
      <c r="I328" s="31">
        <v>0</v>
      </c>
      <c r="J328" s="31">
        <v>0</v>
      </c>
      <c r="K328" s="67">
        <v>0</v>
      </c>
      <c r="L328" s="31">
        <v>0</v>
      </c>
      <c r="M328" s="38">
        <v>489.14</v>
      </c>
      <c r="N328" s="38">
        <v>1682950.22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  <c r="AC328" s="31">
        <f>ROUND(N328*1.0125%,2)</f>
        <v>17039.87</v>
      </c>
      <c r="AD328" s="144">
        <v>69892.98</v>
      </c>
      <c r="AE328" s="31">
        <v>0</v>
      </c>
      <c r="AF328" s="33">
        <v>2020</v>
      </c>
      <c r="AG328" s="33">
        <v>2020</v>
      </c>
      <c r="AH328" s="34">
        <v>2020</v>
      </c>
      <c r="AT328" s="20" t="e">
        <f t="shared" si="45"/>
        <v>#N/A</v>
      </c>
      <c r="BZ328" s="64"/>
      <c r="CD328" s="20" t="e">
        <f t="shared" si="31"/>
        <v>#N/A</v>
      </c>
    </row>
    <row r="329" spans="1:82" ht="61.5" x14ac:dyDescent="0.85">
      <c r="A329" s="20">
        <v>1</v>
      </c>
      <c r="B329" s="60">
        <f>SUBTOTAL(103,$A$22:A329)</f>
        <v>293</v>
      </c>
      <c r="C329" s="24" t="s">
        <v>237</v>
      </c>
      <c r="D329" s="31">
        <f t="shared" si="46"/>
        <v>48252.34</v>
      </c>
      <c r="E329" s="31">
        <v>0</v>
      </c>
      <c r="F329" s="31">
        <v>0</v>
      </c>
      <c r="G329" s="31">
        <v>0</v>
      </c>
      <c r="H329" s="31">
        <v>0</v>
      </c>
      <c r="I329" s="31">
        <v>0</v>
      </c>
      <c r="J329" s="31">
        <v>0</v>
      </c>
      <c r="K329" s="67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f>ROUND(N329*1.5%,2)</f>
        <v>0</v>
      </c>
      <c r="AD329" s="38">
        <v>48252.34</v>
      </c>
      <c r="AE329" s="31">
        <v>0</v>
      </c>
      <c r="AF329" s="33">
        <v>2020</v>
      </c>
      <c r="AG329" s="34" t="s">
        <v>268</v>
      </c>
      <c r="AH329" s="34" t="s">
        <v>268</v>
      </c>
      <c r="AT329" s="20" t="e">
        <f t="shared" si="45"/>
        <v>#N/A</v>
      </c>
      <c r="BZ329" s="64"/>
      <c r="CD329" s="20" t="e">
        <f t="shared" si="31"/>
        <v>#N/A</v>
      </c>
    </row>
    <row r="330" spans="1:82" ht="61.5" x14ac:dyDescent="0.85">
      <c r="A330" s="20">
        <v>1</v>
      </c>
      <c r="B330" s="60">
        <f>SUBTOTAL(103,$A$22:A330)</f>
        <v>294</v>
      </c>
      <c r="C330" s="24" t="s">
        <v>232</v>
      </c>
      <c r="D330" s="31">
        <f t="shared" si="46"/>
        <v>1361877.77</v>
      </c>
      <c r="E330" s="31">
        <v>0</v>
      </c>
      <c r="F330" s="31">
        <v>0</v>
      </c>
      <c r="G330" s="31">
        <v>0</v>
      </c>
      <c r="H330" s="31">
        <v>0</v>
      </c>
      <c r="I330" s="31">
        <v>0</v>
      </c>
      <c r="J330" s="31">
        <v>0</v>
      </c>
      <c r="K330" s="67">
        <v>0</v>
      </c>
      <c r="L330" s="31">
        <v>0</v>
      </c>
      <c r="M330" s="38">
        <v>296.32</v>
      </c>
      <c r="N330" s="38">
        <v>1291319.8999999999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8">
        <v>13074.61</v>
      </c>
      <c r="AD330" s="144">
        <v>57483.26</v>
      </c>
      <c r="AE330" s="31">
        <v>0</v>
      </c>
      <c r="AF330" s="33">
        <v>2020</v>
      </c>
      <c r="AG330" s="33">
        <v>2020</v>
      </c>
      <c r="AH330" s="34">
        <v>2020</v>
      </c>
      <c r="AT330" s="20" t="e">
        <f t="shared" si="45"/>
        <v>#N/A</v>
      </c>
      <c r="BZ330" s="64"/>
      <c r="CD330" s="20" t="e">
        <f t="shared" ref="CD330:CD393" si="47">VLOOKUP(C330,CE:CF,2,FALSE)</f>
        <v>#N/A</v>
      </c>
    </row>
    <row r="331" spans="1:82" ht="61.5" x14ac:dyDescent="0.85">
      <c r="A331" s="20">
        <v>1</v>
      </c>
      <c r="B331" s="60">
        <f>SUBTOTAL(103,$A$22:A331)</f>
        <v>295</v>
      </c>
      <c r="C331" s="24" t="s">
        <v>239</v>
      </c>
      <c r="D331" s="31">
        <f t="shared" si="46"/>
        <v>82017.66</v>
      </c>
      <c r="E331" s="31">
        <v>0</v>
      </c>
      <c r="F331" s="31">
        <v>0</v>
      </c>
      <c r="G331" s="31">
        <v>0</v>
      </c>
      <c r="H331" s="31">
        <v>0</v>
      </c>
      <c r="I331" s="31">
        <v>0</v>
      </c>
      <c r="J331" s="31">
        <v>0</v>
      </c>
      <c r="K331" s="67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f>ROUND(N331*1.5%,2)</f>
        <v>0</v>
      </c>
      <c r="AD331" s="38">
        <v>82017.66</v>
      </c>
      <c r="AE331" s="31">
        <v>0</v>
      </c>
      <c r="AF331" s="33">
        <v>2020</v>
      </c>
      <c r="AG331" s="34" t="s">
        <v>268</v>
      </c>
      <c r="AH331" s="34" t="s">
        <v>268</v>
      </c>
      <c r="AT331" s="20" t="e">
        <f t="shared" si="45"/>
        <v>#N/A</v>
      </c>
      <c r="BZ331" s="64"/>
      <c r="CD331" s="20" t="e">
        <f t="shared" si="47"/>
        <v>#N/A</v>
      </c>
    </row>
    <row r="332" spans="1:82" ht="61.5" x14ac:dyDescent="0.85">
      <c r="A332" s="20">
        <v>1</v>
      </c>
      <c r="B332" s="60">
        <f>SUBTOTAL(103,$A$22:A332)</f>
        <v>296</v>
      </c>
      <c r="C332" s="24" t="s">
        <v>1209</v>
      </c>
      <c r="D332" s="31">
        <f t="shared" si="46"/>
        <v>2704515.35</v>
      </c>
      <c r="E332" s="37">
        <v>0</v>
      </c>
      <c r="F332" s="37">
        <v>0</v>
      </c>
      <c r="G332" s="31">
        <v>0</v>
      </c>
      <c r="H332" s="37">
        <v>0</v>
      </c>
      <c r="I332" s="37">
        <v>0</v>
      </c>
      <c r="J332" s="37">
        <v>0</v>
      </c>
      <c r="K332" s="67">
        <v>0</v>
      </c>
      <c r="L332" s="31">
        <v>0</v>
      </c>
      <c r="M332" s="31">
        <v>0</v>
      </c>
      <c r="N332" s="31">
        <v>0</v>
      </c>
      <c r="O332" s="37">
        <v>0</v>
      </c>
      <c r="P332" s="37">
        <v>0</v>
      </c>
      <c r="Q332" s="38">
        <v>658.88</v>
      </c>
      <c r="R332" s="38">
        <v>2677605.42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26909.93</v>
      </c>
      <c r="AD332" s="31">
        <v>0</v>
      </c>
      <c r="AE332" s="31">
        <v>0</v>
      </c>
      <c r="AF332" s="33" t="s">
        <v>268</v>
      </c>
      <c r="AG332" s="33">
        <v>2020</v>
      </c>
      <c r="AH332" s="34">
        <v>2020</v>
      </c>
      <c r="BZ332" s="64"/>
      <c r="CD332" s="20" t="e">
        <f t="shared" si="47"/>
        <v>#N/A</v>
      </c>
    </row>
    <row r="333" spans="1:82" ht="61.5" x14ac:dyDescent="0.85">
      <c r="A333" s="20">
        <v>1</v>
      </c>
      <c r="B333" s="60">
        <f>SUBTOTAL(103,$A$22:A333)</f>
        <v>297</v>
      </c>
      <c r="C333" s="24" t="s">
        <v>1210</v>
      </c>
      <c r="D333" s="31">
        <f t="shared" si="46"/>
        <v>2291266.0300000003</v>
      </c>
      <c r="E333" s="37">
        <v>0</v>
      </c>
      <c r="F333" s="37">
        <v>0</v>
      </c>
      <c r="G333" s="31">
        <v>0</v>
      </c>
      <c r="H333" s="37">
        <v>0</v>
      </c>
      <c r="I333" s="38">
        <v>2268467.9300000002</v>
      </c>
      <c r="J333" s="37">
        <v>0</v>
      </c>
      <c r="K333" s="67">
        <v>0</v>
      </c>
      <c r="L333" s="31">
        <v>0</v>
      </c>
      <c r="M333" s="31">
        <v>0</v>
      </c>
      <c r="N333" s="31">
        <v>0</v>
      </c>
      <c r="O333" s="37">
        <v>0</v>
      </c>
      <c r="P333" s="37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  <c r="AC333" s="31">
        <f>ROUND((E333+F333+G333+H333+I333+J333)*1.005%,2)</f>
        <v>22798.1</v>
      </c>
      <c r="AD333" s="31">
        <v>0</v>
      </c>
      <c r="AE333" s="31">
        <v>0</v>
      </c>
      <c r="AF333" s="33" t="s">
        <v>268</v>
      </c>
      <c r="AG333" s="33">
        <v>2020</v>
      </c>
      <c r="AH333" s="34">
        <v>2020</v>
      </c>
      <c r="BZ333" s="64"/>
      <c r="CD333" s="20" t="e">
        <f t="shared" si="47"/>
        <v>#N/A</v>
      </c>
    </row>
    <row r="334" spans="1:82" ht="61.5" x14ac:dyDescent="0.85">
      <c r="A334" s="20">
        <v>1</v>
      </c>
      <c r="B334" s="60">
        <f>SUBTOTAL(103,$A$22:A334)</f>
        <v>298</v>
      </c>
      <c r="C334" s="24" t="s">
        <v>1211</v>
      </c>
      <c r="D334" s="31">
        <f t="shared" si="46"/>
        <v>2890713.31</v>
      </c>
      <c r="E334" s="37">
        <v>0</v>
      </c>
      <c r="F334" s="37">
        <v>0</v>
      </c>
      <c r="G334" s="31">
        <v>0</v>
      </c>
      <c r="H334" s="37">
        <v>0</v>
      </c>
      <c r="I334" s="37">
        <v>0</v>
      </c>
      <c r="J334" s="37">
        <v>0</v>
      </c>
      <c r="K334" s="67">
        <v>0</v>
      </c>
      <c r="L334" s="31">
        <v>0</v>
      </c>
      <c r="M334" s="31">
        <v>0</v>
      </c>
      <c r="N334" s="31">
        <v>0</v>
      </c>
      <c r="O334" s="37">
        <v>0</v>
      </c>
      <c r="P334" s="37">
        <v>0</v>
      </c>
      <c r="Q334" s="38">
        <v>755</v>
      </c>
      <c r="R334" s="38">
        <v>2861950.71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0</v>
      </c>
      <c r="AC334" s="38">
        <v>28762.6</v>
      </c>
      <c r="AD334" s="31">
        <v>0</v>
      </c>
      <c r="AE334" s="31">
        <v>0</v>
      </c>
      <c r="AF334" s="33" t="s">
        <v>268</v>
      </c>
      <c r="AG334" s="33">
        <v>2020</v>
      </c>
      <c r="AH334" s="34">
        <v>2020</v>
      </c>
      <c r="BZ334" s="64"/>
      <c r="CD334" s="20" t="e">
        <f t="shared" si="47"/>
        <v>#N/A</v>
      </c>
    </row>
    <row r="335" spans="1:82" ht="61.5" x14ac:dyDescent="0.85">
      <c r="A335" s="20">
        <v>1</v>
      </c>
      <c r="B335" s="60">
        <f>SUBTOTAL(103,$A$22:A335)</f>
        <v>299</v>
      </c>
      <c r="C335" s="24" t="s">
        <v>1214</v>
      </c>
      <c r="D335" s="31">
        <f t="shared" si="46"/>
        <v>1714543.07</v>
      </c>
      <c r="E335" s="37">
        <v>0</v>
      </c>
      <c r="F335" s="37">
        <v>0</v>
      </c>
      <c r="G335" s="31">
        <v>0</v>
      </c>
      <c r="H335" s="37">
        <v>0</v>
      </c>
      <c r="I335" s="37">
        <v>0</v>
      </c>
      <c r="J335" s="37">
        <v>0</v>
      </c>
      <c r="K335" s="67">
        <v>0</v>
      </c>
      <c r="L335" s="31">
        <v>0</v>
      </c>
      <c r="M335" s="38">
        <v>374.3</v>
      </c>
      <c r="N335" s="38">
        <v>1571094.48</v>
      </c>
      <c r="O335" s="37">
        <v>0</v>
      </c>
      <c r="P335" s="37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23448.59</v>
      </c>
      <c r="AD335" s="31">
        <v>0</v>
      </c>
      <c r="AE335" s="31">
        <v>120000</v>
      </c>
      <c r="AF335" s="33" t="s">
        <v>268</v>
      </c>
      <c r="AG335" s="33">
        <v>2020</v>
      </c>
      <c r="AH335" s="34">
        <v>2020</v>
      </c>
      <c r="BZ335" s="64"/>
      <c r="CD335" s="20">
        <f t="shared" si="47"/>
        <v>374.3</v>
      </c>
    </row>
    <row r="336" spans="1:82" ht="61.5" x14ac:dyDescent="0.85">
      <c r="A336" s="20">
        <v>1</v>
      </c>
      <c r="B336" s="60">
        <f>SUBTOTAL(103,$A$22:A336)</f>
        <v>300</v>
      </c>
      <c r="C336" s="24" t="s">
        <v>1528</v>
      </c>
      <c r="D336" s="31">
        <f t="shared" si="46"/>
        <v>1422597.9100000001</v>
      </c>
      <c r="E336" s="37">
        <v>0</v>
      </c>
      <c r="F336" s="37">
        <v>0</v>
      </c>
      <c r="G336" s="31">
        <v>0</v>
      </c>
      <c r="H336" s="37">
        <v>0</v>
      </c>
      <c r="I336" s="37">
        <v>0</v>
      </c>
      <c r="J336" s="37">
        <v>0</v>
      </c>
      <c r="K336" s="67">
        <v>0</v>
      </c>
      <c r="L336" s="31">
        <v>0</v>
      </c>
      <c r="M336" s="38">
        <v>327.87</v>
      </c>
      <c r="N336" s="144">
        <v>1401677.87</v>
      </c>
      <c r="O336" s="37">
        <v>0</v>
      </c>
      <c r="P336" s="37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0</v>
      </c>
      <c r="AC336" s="38">
        <v>20920.04</v>
      </c>
      <c r="AD336" s="31">
        <v>0</v>
      </c>
      <c r="AE336" s="31">
        <v>0</v>
      </c>
      <c r="AF336" s="33" t="s">
        <v>268</v>
      </c>
      <c r="AG336" s="33">
        <v>2020</v>
      </c>
      <c r="AH336" s="34">
        <v>2020</v>
      </c>
      <c r="BZ336" s="64"/>
      <c r="CD336" s="20">
        <f t="shared" si="47"/>
        <v>329.1</v>
      </c>
    </row>
    <row r="337" spans="1:82" ht="61.5" x14ac:dyDescent="0.85">
      <c r="A337" s="20">
        <v>1</v>
      </c>
      <c r="B337" s="60">
        <f>SUBTOTAL(103,$A$22:A337)</f>
        <v>301</v>
      </c>
      <c r="C337" s="24" t="s">
        <v>1529</v>
      </c>
      <c r="D337" s="31">
        <f t="shared" si="46"/>
        <v>2288055.7799999998</v>
      </c>
      <c r="E337" s="37">
        <v>0</v>
      </c>
      <c r="F337" s="37">
        <v>0</v>
      </c>
      <c r="G337" s="31">
        <v>0</v>
      </c>
      <c r="H337" s="37">
        <v>0</v>
      </c>
      <c r="I337" s="37">
        <v>0</v>
      </c>
      <c r="J337" s="37">
        <v>0</v>
      </c>
      <c r="K337" s="67">
        <v>0</v>
      </c>
      <c r="L337" s="31">
        <v>0</v>
      </c>
      <c r="M337" s="38">
        <v>600.53</v>
      </c>
      <c r="N337" s="38">
        <v>2254408.73</v>
      </c>
      <c r="O337" s="37">
        <v>0</v>
      </c>
      <c r="P337" s="37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0</v>
      </c>
      <c r="AC337" s="38">
        <v>33647.050000000003</v>
      </c>
      <c r="AD337" s="31">
        <v>0</v>
      </c>
      <c r="AE337" s="31">
        <v>0</v>
      </c>
      <c r="AF337" s="33" t="s">
        <v>268</v>
      </c>
      <c r="AG337" s="33">
        <v>2020</v>
      </c>
      <c r="AH337" s="34">
        <v>2020</v>
      </c>
      <c r="BZ337" s="64"/>
      <c r="CD337" s="20">
        <f t="shared" si="47"/>
        <v>611</v>
      </c>
    </row>
    <row r="338" spans="1:82" ht="61.5" x14ac:dyDescent="0.85">
      <c r="A338" s="20">
        <v>1</v>
      </c>
      <c r="B338" s="60">
        <f>SUBTOTAL(103,$A$22:A338)</f>
        <v>302</v>
      </c>
      <c r="C338" s="24" t="s">
        <v>1543</v>
      </c>
      <c r="D338" s="31">
        <f t="shared" si="46"/>
        <v>2348671.69</v>
      </c>
      <c r="E338" s="37">
        <v>0</v>
      </c>
      <c r="F338" s="37">
        <v>0</v>
      </c>
      <c r="G338" s="31">
        <v>0</v>
      </c>
      <c r="H338" s="37">
        <v>0</v>
      </c>
      <c r="I338" s="37">
        <v>0</v>
      </c>
      <c r="J338" s="37">
        <v>0</v>
      </c>
      <c r="K338" s="67">
        <v>0</v>
      </c>
      <c r="L338" s="31">
        <v>0</v>
      </c>
      <c r="M338" s="38">
        <v>630.69000000000005</v>
      </c>
      <c r="N338" s="38">
        <v>2325302.4</v>
      </c>
      <c r="O338" s="37">
        <v>0</v>
      </c>
      <c r="P338" s="37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  <c r="AC338" s="38">
        <v>23369.29</v>
      </c>
      <c r="AD338" s="31">
        <v>0</v>
      </c>
      <c r="AE338" s="31">
        <v>0</v>
      </c>
      <c r="AF338" s="33" t="s">
        <v>268</v>
      </c>
      <c r="AG338" s="33">
        <v>2020</v>
      </c>
      <c r="AH338" s="34">
        <v>2020</v>
      </c>
      <c r="BZ338" s="64"/>
      <c r="CD338" s="20">
        <f t="shared" si="47"/>
        <v>606</v>
      </c>
    </row>
    <row r="339" spans="1:82" ht="61.5" x14ac:dyDescent="0.85">
      <c r="A339" s="20">
        <v>1</v>
      </c>
      <c r="B339" s="60">
        <f>SUBTOTAL(103,$A$22:A339)</f>
        <v>303</v>
      </c>
      <c r="C339" s="24" t="s">
        <v>1544</v>
      </c>
      <c r="D339" s="31">
        <f t="shared" si="46"/>
        <v>2304366.3400000003</v>
      </c>
      <c r="E339" s="37">
        <v>0</v>
      </c>
      <c r="F339" s="37">
        <v>0</v>
      </c>
      <c r="G339" s="31">
        <v>0</v>
      </c>
      <c r="H339" s="37">
        <v>0</v>
      </c>
      <c r="I339" s="37">
        <v>0</v>
      </c>
      <c r="J339" s="37">
        <v>0</v>
      </c>
      <c r="K339" s="67">
        <v>0</v>
      </c>
      <c r="L339" s="31">
        <v>0</v>
      </c>
      <c r="M339" s="38">
        <v>592.07000000000005</v>
      </c>
      <c r="N339" s="38">
        <v>2270479.4300000002</v>
      </c>
      <c r="O339" s="37">
        <v>0</v>
      </c>
      <c r="P339" s="37">
        <v>0</v>
      </c>
      <c r="Q339" s="31">
        <v>0</v>
      </c>
      <c r="R339" s="31">
        <v>0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0</v>
      </c>
      <c r="AA339" s="31">
        <v>0</v>
      </c>
      <c r="AB339" s="31">
        <v>0</v>
      </c>
      <c r="AC339" s="31">
        <f>ROUND(N339*1.4925%,2)</f>
        <v>33886.910000000003</v>
      </c>
      <c r="AD339" s="31">
        <v>0</v>
      </c>
      <c r="AE339" s="31">
        <v>0</v>
      </c>
      <c r="AF339" s="33" t="s">
        <v>268</v>
      </c>
      <c r="AG339" s="33">
        <v>2020</v>
      </c>
      <c r="AH339" s="34">
        <v>2020</v>
      </c>
      <c r="BZ339" s="64"/>
      <c r="CD339" s="20">
        <f t="shared" si="47"/>
        <v>592.07000000000005</v>
      </c>
    </row>
    <row r="340" spans="1:82" ht="61.5" x14ac:dyDescent="0.85">
      <c r="A340" s="20">
        <v>1</v>
      </c>
      <c r="B340" s="60">
        <f>SUBTOTAL(103,$A$22:A340)</f>
        <v>304</v>
      </c>
      <c r="C340" s="24" t="s">
        <v>1212</v>
      </c>
      <c r="D340" s="31">
        <f>E340+F340+G340+H340+I340+J340+L340+N340+P340+R340+T340+U340+V340+W340+X340+Y340+Z340+AA340+AB340+AC340+AD340+AE340</f>
        <v>78793.16</v>
      </c>
      <c r="E340" s="37">
        <v>0</v>
      </c>
      <c r="F340" s="37">
        <v>0</v>
      </c>
      <c r="G340" s="31">
        <v>0</v>
      </c>
      <c r="H340" s="37">
        <v>0</v>
      </c>
      <c r="I340" s="37">
        <v>0</v>
      </c>
      <c r="J340" s="37">
        <v>0</v>
      </c>
      <c r="K340" s="67">
        <v>0</v>
      </c>
      <c r="L340" s="31">
        <v>0</v>
      </c>
      <c r="M340" s="31">
        <v>0</v>
      </c>
      <c r="N340" s="31">
        <v>0</v>
      </c>
      <c r="O340" s="37">
        <v>0</v>
      </c>
      <c r="P340" s="37">
        <v>0</v>
      </c>
      <c r="Q340" s="31">
        <v>0</v>
      </c>
      <c r="R340" s="31">
        <v>0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0</v>
      </c>
      <c r="AC340" s="31">
        <f>ROUND(N340*1.26%,2)</f>
        <v>0</v>
      </c>
      <c r="AD340" s="31">
        <v>78793.16</v>
      </c>
      <c r="AE340" s="31">
        <v>0</v>
      </c>
      <c r="AF340" s="33">
        <v>2020</v>
      </c>
      <c r="AG340" s="34" t="s">
        <v>268</v>
      </c>
      <c r="AH340" s="34" t="s">
        <v>268</v>
      </c>
      <c r="BZ340" s="64"/>
      <c r="CD340" s="20" t="e">
        <f t="shared" si="47"/>
        <v>#N/A</v>
      </c>
    </row>
    <row r="341" spans="1:82" ht="61.5" x14ac:dyDescent="0.85">
      <c r="A341" s="20">
        <v>1</v>
      </c>
      <c r="B341" s="60">
        <f>SUBTOTAL(103,$A$22:A341)</f>
        <v>305</v>
      </c>
      <c r="C341" s="24" t="s">
        <v>1580</v>
      </c>
      <c r="D341" s="31">
        <f>E341+F341+G341+H341+I341+J341+L341+N341+P341+R341+T341+U341+V341+W341+X341+Y341+Z341+AA341+AB341+AC341+AD341+AE341</f>
        <v>35684.67</v>
      </c>
      <c r="E341" s="37">
        <v>0</v>
      </c>
      <c r="F341" s="37">
        <v>0</v>
      </c>
      <c r="G341" s="31">
        <v>0</v>
      </c>
      <c r="H341" s="37">
        <v>0</v>
      </c>
      <c r="I341" s="37">
        <v>0</v>
      </c>
      <c r="J341" s="37">
        <v>0</v>
      </c>
      <c r="K341" s="67">
        <v>0</v>
      </c>
      <c r="L341" s="31">
        <v>0</v>
      </c>
      <c r="M341" s="31">
        <v>0</v>
      </c>
      <c r="N341" s="31">
        <v>0</v>
      </c>
      <c r="O341" s="37">
        <v>0</v>
      </c>
      <c r="P341" s="37">
        <v>0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0</v>
      </c>
      <c r="AC341" s="31">
        <f>ROUND(R341*1.5%,2)</f>
        <v>0</v>
      </c>
      <c r="AD341" s="86">
        <v>35684.67</v>
      </c>
      <c r="AE341" s="31">
        <v>0</v>
      </c>
      <c r="AF341" s="33">
        <v>2020</v>
      </c>
      <c r="AG341" s="34" t="s">
        <v>268</v>
      </c>
      <c r="AH341" s="34" t="s">
        <v>268</v>
      </c>
      <c r="BZ341" s="64"/>
      <c r="CD341" s="20" t="e">
        <f t="shared" si="47"/>
        <v>#N/A</v>
      </c>
    </row>
    <row r="342" spans="1:82" ht="61.5" x14ac:dyDescent="0.85">
      <c r="B342" s="24" t="s">
        <v>825</v>
      </c>
      <c r="C342" s="24"/>
      <c r="D342" s="199">
        <f t="shared" ref="D342:AE342" si="48">SUM(D343:D346)</f>
        <v>2221160.0099999998</v>
      </c>
      <c r="E342" s="31">
        <f t="shared" si="48"/>
        <v>0</v>
      </c>
      <c r="F342" s="31">
        <f t="shared" si="48"/>
        <v>0</v>
      </c>
      <c r="G342" s="31">
        <f t="shared" si="48"/>
        <v>0</v>
      </c>
      <c r="H342" s="31">
        <f t="shared" si="48"/>
        <v>0</v>
      </c>
      <c r="I342" s="31">
        <f t="shared" si="48"/>
        <v>0</v>
      </c>
      <c r="J342" s="31">
        <f t="shared" si="48"/>
        <v>0</v>
      </c>
      <c r="K342" s="67">
        <f t="shared" si="48"/>
        <v>0</v>
      </c>
      <c r="L342" s="31">
        <f t="shared" si="48"/>
        <v>0</v>
      </c>
      <c r="M342" s="31">
        <f t="shared" si="48"/>
        <v>559.91</v>
      </c>
      <c r="N342" s="31">
        <f t="shared" si="48"/>
        <v>2126707.66</v>
      </c>
      <c r="O342" s="31">
        <f t="shared" si="48"/>
        <v>0</v>
      </c>
      <c r="P342" s="31">
        <f t="shared" si="48"/>
        <v>0</v>
      </c>
      <c r="Q342" s="31">
        <f t="shared" si="48"/>
        <v>0</v>
      </c>
      <c r="R342" s="31">
        <f t="shared" si="48"/>
        <v>0</v>
      </c>
      <c r="S342" s="31">
        <f t="shared" si="48"/>
        <v>0</v>
      </c>
      <c r="T342" s="31">
        <f t="shared" si="48"/>
        <v>0</v>
      </c>
      <c r="U342" s="31">
        <f t="shared" si="48"/>
        <v>0</v>
      </c>
      <c r="V342" s="31">
        <f t="shared" si="48"/>
        <v>0</v>
      </c>
      <c r="W342" s="31">
        <f t="shared" si="48"/>
        <v>0</v>
      </c>
      <c r="X342" s="31">
        <f t="shared" si="48"/>
        <v>0</v>
      </c>
      <c r="Y342" s="31">
        <f t="shared" si="48"/>
        <v>0</v>
      </c>
      <c r="Z342" s="31">
        <f t="shared" si="48"/>
        <v>0</v>
      </c>
      <c r="AA342" s="31">
        <f t="shared" si="48"/>
        <v>0</v>
      </c>
      <c r="AB342" s="31">
        <f t="shared" si="48"/>
        <v>0</v>
      </c>
      <c r="AC342" s="31">
        <f t="shared" si="48"/>
        <v>31741.11</v>
      </c>
      <c r="AD342" s="31">
        <f t="shared" si="48"/>
        <v>62711.240000000005</v>
      </c>
      <c r="AE342" s="31">
        <f t="shared" si="48"/>
        <v>0</v>
      </c>
      <c r="AF342" s="65" t="s">
        <v>751</v>
      </c>
      <c r="AG342" s="65" t="s">
        <v>751</v>
      </c>
      <c r="AH342" s="79" t="s">
        <v>751</v>
      </c>
      <c r="AT342" s="20" t="e">
        <f>VLOOKUP(C342,AW:AX,2,FALSE)</f>
        <v>#N/A</v>
      </c>
      <c r="BZ342" s="64">
        <v>4925031.5999999996</v>
      </c>
      <c r="CB342" s="64">
        <f>BZ342-D342</f>
        <v>2703871.59</v>
      </c>
      <c r="CD342" s="20" t="e">
        <f t="shared" si="47"/>
        <v>#N/A</v>
      </c>
    </row>
    <row r="343" spans="1:82" ht="61.5" x14ac:dyDescent="0.85">
      <c r="A343" s="20">
        <v>1</v>
      </c>
      <c r="B343" s="60">
        <f>SUBTOTAL(103,$A$22:A343)</f>
        <v>306</v>
      </c>
      <c r="C343" s="24" t="s">
        <v>246</v>
      </c>
      <c r="D343" s="31">
        <f>E343+F343+G343+H343+I343+J343+L343+N343+P343+R343+T343+U343+V343+W343+X343+Y343+Z343+AA343+AB343+AC343+AD343+AE343</f>
        <v>9547.9500000000007</v>
      </c>
      <c r="E343" s="31">
        <v>0</v>
      </c>
      <c r="F343" s="31">
        <v>0</v>
      </c>
      <c r="G343" s="31">
        <v>0</v>
      </c>
      <c r="H343" s="31">
        <v>0</v>
      </c>
      <c r="I343" s="31">
        <v>0</v>
      </c>
      <c r="J343" s="31">
        <v>0</v>
      </c>
      <c r="K343" s="67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  <c r="AC343" s="31">
        <f>ROUND((E343+F343+G343+H343+I343+J343)*1.5%,2)</f>
        <v>0</v>
      </c>
      <c r="AD343" s="38">
        <v>9547.9500000000007</v>
      </c>
      <c r="AE343" s="31">
        <v>0</v>
      </c>
      <c r="AF343" s="33">
        <v>2020</v>
      </c>
      <c r="AG343" s="33" t="s">
        <v>268</v>
      </c>
      <c r="AH343" s="34" t="s">
        <v>268</v>
      </c>
      <c r="AT343" s="20" t="e">
        <f>VLOOKUP(C343,AW:AX,2,FALSE)</f>
        <v>#N/A</v>
      </c>
      <c r="BZ343" s="64"/>
      <c r="CD343" s="20" t="e">
        <f t="shared" si="47"/>
        <v>#N/A</v>
      </c>
    </row>
    <row r="344" spans="1:82" ht="61.5" x14ac:dyDescent="0.85">
      <c r="A344" s="20">
        <v>1</v>
      </c>
      <c r="B344" s="60">
        <f>SUBTOTAL(103,$A$22:A344)</f>
        <v>307</v>
      </c>
      <c r="C344" s="24" t="s">
        <v>244</v>
      </c>
      <c r="D344" s="31">
        <f>E344+F344+G344+H344+I344+J344+L344+N344+P344+R344+T344+U344+V344+W344+X344+Y344+Z344+AA344+AB344+AC344+AD344+AE344</f>
        <v>53163.29</v>
      </c>
      <c r="E344" s="31">
        <v>0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67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f>ROUND(R344*1.5%,2)</f>
        <v>0</v>
      </c>
      <c r="AD344" s="86">
        <v>53163.29</v>
      </c>
      <c r="AE344" s="31">
        <v>0</v>
      </c>
      <c r="AF344" s="33">
        <v>2020</v>
      </c>
      <c r="AG344" s="33" t="s">
        <v>268</v>
      </c>
      <c r="AH344" s="34" t="s">
        <v>268</v>
      </c>
      <c r="AT344" s="20" t="e">
        <f>VLOOKUP(C344,AW:AX,2,FALSE)</f>
        <v>#N/A</v>
      </c>
      <c r="BZ344" s="64"/>
      <c r="CD344" s="20" t="e">
        <f t="shared" si="47"/>
        <v>#N/A</v>
      </c>
    </row>
    <row r="345" spans="1:82" ht="61.5" x14ac:dyDescent="0.85">
      <c r="A345" s="20">
        <v>1</v>
      </c>
      <c r="B345" s="60">
        <f>SUBTOTAL(103,$A$22:A345)</f>
        <v>308</v>
      </c>
      <c r="C345" s="24" t="s">
        <v>1530</v>
      </c>
      <c r="D345" s="31">
        <f>E345+F345+G345+H345+I345+J345+L345+N345+P345+R345+T345+U345+V345+W345+X345+Y345+Z345+AA345+AB345+AC345+AD345+AE345</f>
        <v>944539.29999999993</v>
      </c>
      <c r="E345" s="31">
        <v>0</v>
      </c>
      <c r="F345" s="31">
        <v>0</v>
      </c>
      <c r="G345" s="31">
        <v>0</v>
      </c>
      <c r="H345" s="31">
        <v>0</v>
      </c>
      <c r="I345" s="31">
        <v>0</v>
      </c>
      <c r="J345" s="31">
        <v>0</v>
      </c>
      <c r="K345" s="67">
        <v>0</v>
      </c>
      <c r="L345" s="31">
        <v>0</v>
      </c>
      <c r="M345" s="38">
        <v>259.76</v>
      </c>
      <c r="N345" s="38">
        <v>930649.36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f>ROUND(N345*1.4925%,2)</f>
        <v>13889.94</v>
      </c>
      <c r="AD345" s="31">
        <v>0</v>
      </c>
      <c r="AE345" s="31">
        <v>0</v>
      </c>
      <c r="AF345" s="33" t="s">
        <v>268</v>
      </c>
      <c r="AG345" s="33">
        <v>2020</v>
      </c>
      <c r="AH345" s="34">
        <v>2020</v>
      </c>
      <c r="BZ345" s="64"/>
      <c r="CD345" s="20">
        <f t="shared" si="47"/>
        <v>249</v>
      </c>
    </row>
    <row r="346" spans="1:82" ht="61.5" x14ac:dyDescent="0.85">
      <c r="A346" s="20">
        <v>1</v>
      </c>
      <c r="B346" s="60">
        <f>SUBTOTAL(103,$A$22:A346)</f>
        <v>309</v>
      </c>
      <c r="C346" s="24" t="s">
        <v>1531</v>
      </c>
      <c r="D346" s="31">
        <f>E346+F346+G346+H346+I346+J346+L346+N346+P346+R346+T346+U346+V346+W346+X346+Y346+Z346+AA346+AB346+AC346+AD346+AE346</f>
        <v>1213909.47</v>
      </c>
      <c r="E346" s="31">
        <v>0</v>
      </c>
      <c r="F346" s="31">
        <v>0</v>
      </c>
      <c r="G346" s="31">
        <v>0</v>
      </c>
      <c r="H346" s="31">
        <v>0</v>
      </c>
      <c r="I346" s="31">
        <v>0</v>
      </c>
      <c r="J346" s="31">
        <v>0</v>
      </c>
      <c r="K346" s="67">
        <v>0</v>
      </c>
      <c r="L346" s="31">
        <v>0</v>
      </c>
      <c r="M346" s="38">
        <v>300.14999999999998</v>
      </c>
      <c r="N346" s="38">
        <v>1196058.3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f>ROUND(N346*1.4925%,2)</f>
        <v>17851.169999999998</v>
      </c>
      <c r="AD346" s="31">
        <v>0</v>
      </c>
      <c r="AE346" s="31">
        <v>0</v>
      </c>
      <c r="AF346" s="33" t="s">
        <v>268</v>
      </c>
      <c r="AG346" s="33">
        <v>2020</v>
      </c>
      <c r="AH346" s="34">
        <v>2020</v>
      </c>
      <c r="BZ346" s="64"/>
      <c r="CD346" s="20">
        <f t="shared" si="47"/>
        <v>309</v>
      </c>
    </row>
    <row r="347" spans="1:82" ht="61.5" x14ac:dyDescent="0.85">
      <c r="B347" s="24" t="s">
        <v>826</v>
      </c>
      <c r="C347" s="24"/>
      <c r="D347" s="199">
        <f>SUM(D348:D349)</f>
        <v>4069083.7199999997</v>
      </c>
      <c r="E347" s="31">
        <f t="shared" ref="E347:AE347" si="49">SUM(E348:E349)</f>
        <v>0</v>
      </c>
      <c r="F347" s="31">
        <f t="shared" si="49"/>
        <v>0</v>
      </c>
      <c r="G347" s="31">
        <f t="shared" si="49"/>
        <v>0</v>
      </c>
      <c r="H347" s="31">
        <f t="shared" si="49"/>
        <v>0</v>
      </c>
      <c r="I347" s="31">
        <f t="shared" si="49"/>
        <v>0</v>
      </c>
      <c r="J347" s="31">
        <f t="shared" si="49"/>
        <v>0</v>
      </c>
      <c r="K347" s="67">
        <f t="shared" si="49"/>
        <v>0</v>
      </c>
      <c r="L347" s="31">
        <f t="shared" si="49"/>
        <v>0</v>
      </c>
      <c r="M347" s="31">
        <f t="shared" si="49"/>
        <v>0</v>
      </c>
      <c r="N347" s="31">
        <f t="shared" si="49"/>
        <v>0</v>
      </c>
      <c r="O347" s="31">
        <f t="shared" si="49"/>
        <v>0</v>
      </c>
      <c r="P347" s="31">
        <f t="shared" si="49"/>
        <v>0</v>
      </c>
      <c r="Q347" s="31">
        <f t="shared" si="49"/>
        <v>1294.5300000000002</v>
      </c>
      <c r="R347" s="31">
        <f t="shared" si="49"/>
        <v>3949594.9800000004</v>
      </c>
      <c r="S347" s="31">
        <f t="shared" si="49"/>
        <v>0</v>
      </c>
      <c r="T347" s="31">
        <f t="shared" si="49"/>
        <v>0</v>
      </c>
      <c r="U347" s="31">
        <f t="shared" si="49"/>
        <v>0</v>
      </c>
      <c r="V347" s="31">
        <f t="shared" si="49"/>
        <v>0</v>
      </c>
      <c r="W347" s="31">
        <f t="shared" si="49"/>
        <v>0</v>
      </c>
      <c r="X347" s="31">
        <f t="shared" si="49"/>
        <v>0</v>
      </c>
      <c r="Y347" s="31">
        <f t="shared" si="49"/>
        <v>0</v>
      </c>
      <c r="Z347" s="31">
        <f t="shared" si="49"/>
        <v>0</v>
      </c>
      <c r="AA347" s="31">
        <f t="shared" si="49"/>
        <v>0</v>
      </c>
      <c r="AB347" s="31">
        <f t="shared" si="49"/>
        <v>0</v>
      </c>
      <c r="AC347" s="31">
        <f t="shared" si="49"/>
        <v>39831.32</v>
      </c>
      <c r="AD347" s="31">
        <f t="shared" si="49"/>
        <v>79657.42</v>
      </c>
      <c r="AE347" s="31">
        <f t="shared" si="49"/>
        <v>0</v>
      </c>
      <c r="AF347" s="65" t="s">
        <v>751</v>
      </c>
      <c r="AG347" s="65" t="s">
        <v>751</v>
      </c>
      <c r="AH347" s="79" t="s">
        <v>751</v>
      </c>
      <c r="AT347" s="20" t="e">
        <f>VLOOKUP(C347,AW:AX,2,FALSE)</f>
        <v>#N/A</v>
      </c>
      <c r="BZ347" s="64">
        <v>5532352.54</v>
      </c>
      <c r="CB347" s="64">
        <f>BZ347-D347</f>
        <v>1463268.8200000003</v>
      </c>
      <c r="CD347" s="20" t="e">
        <f t="shared" si="47"/>
        <v>#N/A</v>
      </c>
    </row>
    <row r="348" spans="1:82" ht="61.5" x14ac:dyDescent="0.85">
      <c r="A348" s="20">
        <v>1</v>
      </c>
      <c r="B348" s="60">
        <f>SUBTOTAL(103,$A$22:A348)</f>
        <v>310</v>
      </c>
      <c r="C348" s="24" t="s">
        <v>241</v>
      </c>
      <c r="D348" s="31">
        <f>E348+F348+G348+H348+I348+J348+L348+N348+P348+R348+T348+U348+V348+W348+X348+Y348+Z348+AA348+AB348+AC348+AD348+AE348</f>
        <v>1936809.91</v>
      </c>
      <c r="E348" s="31">
        <v>0</v>
      </c>
      <c r="F348" s="31">
        <v>0</v>
      </c>
      <c r="G348" s="31">
        <v>0</v>
      </c>
      <c r="H348" s="31">
        <v>0</v>
      </c>
      <c r="I348" s="31">
        <v>0</v>
      </c>
      <c r="J348" s="31">
        <v>0</v>
      </c>
      <c r="K348" s="67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8">
        <v>647.46</v>
      </c>
      <c r="R348" s="38">
        <v>1838537.3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  <c r="AC348" s="38">
        <v>18615.189999999999</v>
      </c>
      <c r="AD348" s="38">
        <v>79657.42</v>
      </c>
      <c r="AE348" s="31">
        <v>0</v>
      </c>
      <c r="AF348" s="33">
        <v>2020</v>
      </c>
      <c r="AG348" s="33">
        <v>2020</v>
      </c>
      <c r="AH348" s="34">
        <v>2020</v>
      </c>
      <c r="AT348" s="20" t="e">
        <f>VLOOKUP(C348,AW:AX,2,FALSE)</f>
        <v>#N/A</v>
      </c>
      <c r="BZ348" s="64"/>
      <c r="CD348" s="20" t="e">
        <f t="shared" si="47"/>
        <v>#N/A</v>
      </c>
    </row>
    <row r="349" spans="1:82" ht="61.5" x14ac:dyDescent="0.85">
      <c r="A349" s="20">
        <v>1</v>
      </c>
      <c r="B349" s="60">
        <f>SUBTOTAL(103,$A$22:A349)</f>
        <v>311</v>
      </c>
      <c r="C349" s="24" t="s">
        <v>1215</v>
      </c>
      <c r="D349" s="31">
        <f>E349+F349+G349+H349+I349+J349+L349+N349+P349+R349+T349+U349+V349+W349+X349+Y349+Z349+AA349+AB349+AC349+AD349+AE349</f>
        <v>2132273.81</v>
      </c>
      <c r="E349" s="37">
        <v>0</v>
      </c>
      <c r="F349" s="37">
        <v>0</v>
      </c>
      <c r="G349" s="31">
        <v>0</v>
      </c>
      <c r="H349" s="37">
        <v>0</v>
      </c>
      <c r="I349" s="37">
        <v>0</v>
      </c>
      <c r="J349" s="37">
        <v>0</v>
      </c>
      <c r="K349" s="67">
        <v>0</v>
      </c>
      <c r="L349" s="31">
        <v>0</v>
      </c>
      <c r="M349" s="31">
        <v>0</v>
      </c>
      <c r="N349" s="31">
        <v>0</v>
      </c>
      <c r="O349" s="37">
        <v>0</v>
      </c>
      <c r="P349" s="37">
        <v>0</v>
      </c>
      <c r="Q349" s="38">
        <v>647.07000000000005</v>
      </c>
      <c r="R349" s="38">
        <v>2111057.6800000002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  <c r="AC349" s="38">
        <v>21216.13</v>
      </c>
      <c r="AD349" s="31">
        <v>0</v>
      </c>
      <c r="AE349" s="31">
        <v>0</v>
      </c>
      <c r="AF349" s="33" t="s">
        <v>268</v>
      </c>
      <c r="AG349" s="33">
        <v>2020</v>
      </c>
      <c r="AH349" s="34">
        <v>2020</v>
      </c>
      <c r="BZ349" s="64"/>
      <c r="CD349" s="20" t="e">
        <f t="shared" si="47"/>
        <v>#N/A</v>
      </c>
    </row>
    <row r="350" spans="1:82" ht="61.5" x14ac:dyDescent="0.85">
      <c r="B350" s="24" t="s">
        <v>827</v>
      </c>
      <c r="C350" s="203"/>
      <c r="D350" s="192">
        <f>SUM(D351:D352)</f>
        <v>5178138.5</v>
      </c>
      <c r="E350" s="30">
        <f t="shared" ref="E350:AE350" si="50">SUM(E351:E352)</f>
        <v>0</v>
      </c>
      <c r="F350" s="30">
        <f t="shared" si="50"/>
        <v>0</v>
      </c>
      <c r="G350" s="30">
        <f t="shared" si="50"/>
        <v>0</v>
      </c>
      <c r="H350" s="30">
        <f t="shared" si="50"/>
        <v>0</v>
      </c>
      <c r="I350" s="30">
        <f t="shared" si="50"/>
        <v>0</v>
      </c>
      <c r="J350" s="30">
        <f t="shared" si="50"/>
        <v>0</v>
      </c>
      <c r="K350" s="457">
        <f t="shared" si="50"/>
        <v>0</v>
      </c>
      <c r="L350" s="30">
        <f t="shared" si="50"/>
        <v>0</v>
      </c>
      <c r="M350" s="30">
        <f t="shared" si="50"/>
        <v>1357</v>
      </c>
      <c r="N350" s="30">
        <f t="shared" si="50"/>
        <v>5163118.6400000006</v>
      </c>
      <c r="O350" s="30">
        <f t="shared" si="50"/>
        <v>0</v>
      </c>
      <c r="P350" s="30">
        <f t="shared" si="50"/>
        <v>0</v>
      </c>
      <c r="Q350" s="30">
        <f t="shared" si="50"/>
        <v>0</v>
      </c>
      <c r="R350" s="30">
        <f t="shared" si="50"/>
        <v>0</v>
      </c>
      <c r="S350" s="30">
        <f t="shared" si="50"/>
        <v>0</v>
      </c>
      <c r="T350" s="30">
        <f t="shared" si="50"/>
        <v>0</v>
      </c>
      <c r="U350" s="30">
        <f t="shared" si="50"/>
        <v>0</v>
      </c>
      <c r="V350" s="30">
        <f t="shared" si="50"/>
        <v>0</v>
      </c>
      <c r="W350" s="30">
        <f t="shared" si="50"/>
        <v>0</v>
      </c>
      <c r="X350" s="30">
        <f t="shared" si="50"/>
        <v>0</v>
      </c>
      <c r="Y350" s="30">
        <f t="shared" si="50"/>
        <v>0</v>
      </c>
      <c r="Z350" s="30">
        <f t="shared" si="50"/>
        <v>0</v>
      </c>
      <c r="AA350" s="30">
        <f t="shared" si="50"/>
        <v>0</v>
      </c>
      <c r="AB350" s="30">
        <f t="shared" si="50"/>
        <v>0</v>
      </c>
      <c r="AC350" s="30">
        <f t="shared" si="50"/>
        <v>15019.86</v>
      </c>
      <c r="AD350" s="30">
        <f t="shared" si="50"/>
        <v>0</v>
      </c>
      <c r="AE350" s="30">
        <f t="shared" si="50"/>
        <v>0</v>
      </c>
      <c r="AF350" s="65" t="s">
        <v>751</v>
      </c>
      <c r="AG350" s="65" t="s">
        <v>751</v>
      </c>
      <c r="AH350" s="79" t="s">
        <v>751</v>
      </c>
      <c r="AT350" s="20" t="e">
        <f>VLOOKUP(C350,AW:AX,2,FALSE)</f>
        <v>#N/A</v>
      </c>
      <c r="BZ350" s="64">
        <v>7838189.9699999997</v>
      </c>
      <c r="CB350" s="64">
        <f>BZ350-D350</f>
        <v>2660051.4699999997</v>
      </c>
      <c r="CD350" s="20" t="e">
        <f t="shared" si="47"/>
        <v>#N/A</v>
      </c>
    </row>
    <row r="351" spans="1:82" ht="61.5" x14ac:dyDescent="0.85">
      <c r="A351" s="20">
        <v>1</v>
      </c>
      <c r="B351" s="60">
        <f>SUBTOTAL(103,$A$22:A351)</f>
        <v>312</v>
      </c>
      <c r="C351" s="25" t="s">
        <v>0</v>
      </c>
      <c r="D351" s="31">
        <f>E351+F351+G351+H351+I351+J351+L351+N351+P351+R351+T351+U351+V351+W351+X351+Y351+Z351+AA351+AB351+AC351+AD351+AE351</f>
        <v>2834457.48</v>
      </c>
      <c r="E351" s="31">
        <v>0</v>
      </c>
      <c r="F351" s="31">
        <v>0</v>
      </c>
      <c r="G351" s="31">
        <v>0</v>
      </c>
      <c r="H351" s="31">
        <v>0</v>
      </c>
      <c r="I351" s="31">
        <v>0</v>
      </c>
      <c r="J351" s="31">
        <v>0</v>
      </c>
      <c r="K351" s="67">
        <v>0</v>
      </c>
      <c r="L351" s="31">
        <v>0</v>
      </c>
      <c r="M351" s="38">
        <v>618.1</v>
      </c>
      <c r="N351" s="38">
        <v>2834457.48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0</v>
      </c>
      <c r="AE351" s="31">
        <v>0</v>
      </c>
      <c r="AF351" s="33" t="s">
        <v>268</v>
      </c>
      <c r="AG351" s="33">
        <v>2020</v>
      </c>
      <c r="AH351" s="34" t="s">
        <v>268</v>
      </c>
      <c r="AT351" s="20" t="e">
        <f>VLOOKUP(C351,AW:AX,2,FALSE)</f>
        <v>#N/A</v>
      </c>
      <c r="BZ351" s="64"/>
      <c r="CD351" s="20">
        <f t="shared" si="47"/>
        <v>618.1</v>
      </c>
    </row>
    <row r="352" spans="1:82" ht="61.5" x14ac:dyDescent="0.85">
      <c r="A352" s="20">
        <v>1</v>
      </c>
      <c r="B352" s="60">
        <f>SUBTOTAL(103,$A$22:A352)</f>
        <v>313</v>
      </c>
      <c r="C352" s="24" t="s">
        <v>5</v>
      </c>
      <c r="D352" s="31">
        <f>E352+F352+G352+H352+I352+J352+L352+N352+P352+R352+T352+U352+V352+W352+X352+Y352+Z352+AA352+AB352+AC352+AD352+AE352</f>
        <v>2343681.02</v>
      </c>
      <c r="E352" s="31">
        <v>0</v>
      </c>
      <c r="F352" s="31">
        <v>0</v>
      </c>
      <c r="G352" s="31">
        <v>0</v>
      </c>
      <c r="H352" s="31">
        <v>0</v>
      </c>
      <c r="I352" s="31">
        <v>0</v>
      </c>
      <c r="J352" s="31">
        <v>0</v>
      </c>
      <c r="K352" s="67">
        <v>0</v>
      </c>
      <c r="L352" s="31">
        <v>0</v>
      </c>
      <c r="M352" s="38">
        <v>738.9</v>
      </c>
      <c r="N352" s="38">
        <v>2328661.16</v>
      </c>
      <c r="O352" s="31">
        <v>0</v>
      </c>
      <c r="P352" s="31">
        <v>0</v>
      </c>
      <c r="Q352" s="31">
        <v>0</v>
      </c>
      <c r="R352" s="31">
        <v>0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0</v>
      </c>
      <c r="Y352" s="31">
        <v>0</v>
      </c>
      <c r="Z352" s="31">
        <v>0</v>
      </c>
      <c r="AA352" s="31">
        <v>0</v>
      </c>
      <c r="AB352" s="31">
        <v>0</v>
      </c>
      <c r="AC352" s="38">
        <v>15019.86</v>
      </c>
      <c r="AD352" s="31">
        <v>0</v>
      </c>
      <c r="AE352" s="31">
        <v>0</v>
      </c>
      <c r="AF352" s="33" t="s">
        <v>268</v>
      </c>
      <c r="AG352" s="33">
        <v>2020</v>
      </c>
      <c r="AH352" s="34">
        <v>2020</v>
      </c>
      <c r="AT352" s="20" t="e">
        <f>VLOOKUP(C352,AW:AX,2,FALSE)</f>
        <v>#N/A</v>
      </c>
      <c r="BZ352" s="64"/>
      <c r="CD352" s="20">
        <f t="shared" si="47"/>
        <v>722.14</v>
      </c>
    </row>
    <row r="353" spans="1:82" ht="61.5" x14ac:dyDescent="0.85">
      <c r="B353" s="24" t="s">
        <v>828</v>
      </c>
      <c r="C353" s="198"/>
      <c r="D353" s="199">
        <f>SUM(D354:D356)</f>
        <v>8426851.959999999</v>
      </c>
      <c r="E353" s="31">
        <f t="shared" ref="E353:AE353" si="51">SUM(E354:E356)</f>
        <v>0</v>
      </c>
      <c r="F353" s="31">
        <f t="shared" si="51"/>
        <v>0</v>
      </c>
      <c r="G353" s="31">
        <f t="shared" si="51"/>
        <v>6562845.1299999999</v>
      </c>
      <c r="H353" s="31">
        <f t="shared" si="51"/>
        <v>0</v>
      </c>
      <c r="I353" s="31">
        <f t="shared" si="51"/>
        <v>0</v>
      </c>
      <c r="J353" s="31">
        <f t="shared" si="51"/>
        <v>0</v>
      </c>
      <c r="K353" s="67">
        <f t="shared" si="51"/>
        <v>0</v>
      </c>
      <c r="L353" s="31">
        <f t="shared" si="51"/>
        <v>0</v>
      </c>
      <c r="M353" s="31">
        <f t="shared" si="51"/>
        <v>406.9</v>
      </c>
      <c r="N353" s="31">
        <f t="shared" si="51"/>
        <v>1731921.7</v>
      </c>
      <c r="O353" s="31">
        <f t="shared" si="51"/>
        <v>0</v>
      </c>
      <c r="P353" s="31">
        <f t="shared" si="51"/>
        <v>0</v>
      </c>
      <c r="Q353" s="31">
        <f t="shared" si="51"/>
        <v>0</v>
      </c>
      <c r="R353" s="31">
        <f t="shared" si="51"/>
        <v>0</v>
      </c>
      <c r="S353" s="31">
        <f t="shared" si="51"/>
        <v>0</v>
      </c>
      <c r="T353" s="31">
        <f t="shared" si="51"/>
        <v>0</v>
      </c>
      <c r="U353" s="31">
        <f t="shared" si="51"/>
        <v>0</v>
      </c>
      <c r="V353" s="31">
        <f t="shared" si="51"/>
        <v>0</v>
      </c>
      <c r="W353" s="31">
        <f t="shared" si="51"/>
        <v>0</v>
      </c>
      <c r="X353" s="31">
        <f t="shared" si="51"/>
        <v>0</v>
      </c>
      <c r="Y353" s="31">
        <f t="shared" si="51"/>
        <v>0</v>
      </c>
      <c r="Z353" s="31">
        <f t="shared" si="51"/>
        <v>0</v>
      </c>
      <c r="AA353" s="31">
        <f t="shared" si="51"/>
        <v>0</v>
      </c>
      <c r="AB353" s="31">
        <f t="shared" si="51"/>
        <v>0</v>
      </c>
      <c r="AC353" s="31">
        <f t="shared" si="51"/>
        <v>22341.79</v>
      </c>
      <c r="AD353" s="31">
        <f t="shared" si="51"/>
        <v>109743.34</v>
      </c>
      <c r="AE353" s="31">
        <f t="shared" si="51"/>
        <v>0</v>
      </c>
      <c r="AF353" s="65" t="s">
        <v>751</v>
      </c>
      <c r="AG353" s="65" t="s">
        <v>751</v>
      </c>
      <c r="AH353" s="79" t="s">
        <v>751</v>
      </c>
      <c r="AT353" s="20" t="e">
        <f>VLOOKUP(C353,AW:AX,2,FALSE)</f>
        <v>#N/A</v>
      </c>
      <c r="BZ353" s="64">
        <v>11111629.25</v>
      </c>
      <c r="CB353" s="64">
        <f>BZ353-D353</f>
        <v>2684777.290000001</v>
      </c>
      <c r="CD353" s="20" t="e">
        <f t="shared" si="47"/>
        <v>#N/A</v>
      </c>
    </row>
    <row r="354" spans="1:82" ht="61.5" x14ac:dyDescent="0.85">
      <c r="A354" s="20">
        <v>1</v>
      </c>
      <c r="B354" s="60">
        <f>SUBTOTAL(103,$A$22:A354)</f>
        <v>314</v>
      </c>
      <c r="C354" s="24" t="s">
        <v>692</v>
      </c>
      <c r="D354" s="31">
        <f>E354+F354+G354+H354+I354+J354+L354+N354+P354+R354+T354+U354+V354+W354+X354+Y354+Z354+AA354+AB354+AC354+AD354+AE354</f>
        <v>51949.1</v>
      </c>
      <c r="E354" s="31">
        <v>0</v>
      </c>
      <c r="F354" s="31">
        <v>0</v>
      </c>
      <c r="G354" s="31">
        <v>0</v>
      </c>
      <c r="H354" s="31">
        <v>0</v>
      </c>
      <c r="I354" s="31">
        <v>0</v>
      </c>
      <c r="J354" s="31">
        <v>0</v>
      </c>
      <c r="K354" s="67">
        <v>0</v>
      </c>
      <c r="L354" s="31">
        <v>0</v>
      </c>
      <c r="M354" s="31">
        <v>0</v>
      </c>
      <c r="N354" s="31">
        <v>0</v>
      </c>
      <c r="O354" s="31">
        <v>0</v>
      </c>
      <c r="P354" s="31">
        <v>0</v>
      </c>
      <c r="Q354" s="31">
        <v>0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0</v>
      </c>
      <c r="Y354" s="31">
        <v>0</v>
      </c>
      <c r="Z354" s="31">
        <v>0</v>
      </c>
      <c r="AA354" s="31">
        <v>0</v>
      </c>
      <c r="AB354" s="31">
        <v>0</v>
      </c>
      <c r="AC354" s="31">
        <f>ROUND(N354*1.5%,2)</f>
        <v>0</v>
      </c>
      <c r="AD354" s="38">
        <v>51949.1</v>
      </c>
      <c r="AE354" s="31">
        <v>0</v>
      </c>
      <c r="AF354" s="33">
        <v>2020</v>
      </c>
      <c r="AG354" s="33" t="s">
        <v>268</v>
      </c>
      <c r="AH354" s="34" t="s">
        <v>268</v>
      </c>
      <c r="AT354" s="20" t="e">
        <f>VLOOKUP(C354,AW:AX,2,FALSE)</f>
        <v>#N/A</v>
      </c>
      <c r="BZ354" s="64"/>
      <c r="CD354" s="20" t="e">
        <f t="shared" si="47"/>
        <v>#N/A</v>
      </c>
    </row>
    <row r="355" spans="1:82" ht="61.5" x14ac:dyDescent="0.85">
      <c r="A355" s="20">
        <v>1</v>
      </c>
      <c r="B355" s="60">
        <f>SUBTOTAL(103,$A$22:A355)</f>
        <v>315</v>
      </c>
      <c r="C355" s="24" t="s">
        <v>1218</v>
      </c>
      <c r="D355" s="31">
        <f>E355+F355+G355+H355+I355+J355+L355+N355+P355+R355+T355+U355+V355+W355+X355+Y355+Z355+AA355+AB355+AC355+AD355+AE355</f>
        <v>6562845.1299999999</v>
      </c>
      <c r="E355" s="37">
        <v>0</v>
      </c>
      <c r="F355" s="37">
        <v>0</v>
      </c>
      <c r="G355" s="38">
        <v>6562845.1299999999</v>
      </c>
      <c r="H355" s="37">
        <v>0</v>
      </c>
      <c r="I355" s="37">
        <v>0</v>
      </c>
      <c r="J355" s="37">
        <v>0</v>
      </c>
      <c r="K355" s="67">
        <v>0</v>
      </c>
      <c r="L355" s="31">
        <v>0</v>
      </c>
      <c r="M355" s="31">
        <v>0</v>
      </c>
      <c r="N355" s="31">
        <v>0</v>
      </c>
      <c r="O355" s="37">
        <v>0</v>
      </c>
      <c r="P355" s="37">
        <v>0</v>
      </c>
      <c r="Q355" s="31">
        <v>0</v>
      </c>
      <c r="R355" s="31">
        <v>0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0</v>
      </c>
      <c r="AE355" s="31">
        <v>0</v>
      </c>
      <c r="AF355" s="33" t="s">
        <v>268</v>
      </c>
      <c r="AG355" s="33">
        <v>2020</v>
      </c>
      <c r="AH355" s="34" t="s">
        <v>268</v>
      </c>
      <c r="BZ355" s="64"/>
      <c r="CD355" s="20" t="e">
        <f t="shared" si="47"/>
        <v>#N/A</v>
      </c>
    </row>
    <row r="356" spans="1:82" ht="61.5" x14ac:dyDescent="0.85">
      <c r="A356" s="20">
        <v>1</v>
      </c>
      <c r="B356" s="60">
        <f>SUBTOTAL(103,$A$22:A356)</f>
        <v>316</v>
      </c>
      <c r="C356" s="24" t="s">
        <v>1567</v>
      </c>
      <c r="D356" s="31">
        <f>E356+F356+G356+H356+I356+J356+L356+N356+P356+R356+T356+U356+V356+W356+X356+Y356+Z356+AA356+AB356+AC356+AD356+AE356</f>
        <v>1812057.73</v>
      </c>
      <c r="E356" s="37">
        <v>0</v>
      </c>
      <c r="F356" s="37">
        <v>0</v>
      </c>
      <c r="G356" s="31">
        <v>0</v>
      </c>
      <c r="H356" s="37">
        <v>0</v>
      </c>
      <c r="I356" s="37">
        <v>0</v>
      </c>
      <c r="J356" s="37">
        <v>0</v>
      </c>
      <c r="K356" s="67">
        <v>0</v>
      </c>
      <c r="L356" s="31">
        <v>0</v>
      </c>
      <c r="M356" s="38">
        <v>406.9</v>
      </c>
      <c r="N356" s="38">
        <v>1731921.7</v>
      </c>
      <c r="O356" s="37">
        <v>0</v>
      </c>
      <c r="P356" s="37">
        <v>0</v>
      </c>
      <c r="Q356" s="31">
        <v>0</v>
      </c>
      <c r="R356" s="31">
        <v>0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0</v>
      </c>
      <c r="AB356" s="31">
        <v>0</v>
      </c>
      <c r="AC356" s="38">
        <v>22341.79</v>
      </c>
      <c r="AD356" s="38">
        <v>57794.239999999998</v>
      </c>
      <c r="AE356" s="31">
        <v>0</v>
      </c>
      <c r="AF356" s="33">
        <v>2020</v>
      </c>
      <c r="AG356" s="33">
        <v>2020</v>
      </c>
      <c r="AH356" s="34">
        <v>2020</v>
      </c>
      <c r="BZ356" s="64"/>
      <c r="CD356" s="20" t="e">
        <f t="shared" si="47"/>
        <v>#N/A</v>
      </c>
    </row>
    <row r="357" spans="1:82" ht="61.5" x14ac:dyDescent="0.85">
      <c r="B357" s="24" t="s">
        <v>829</v>
      </c>
      <c r="C357" s="24"/>
      <c r="D357" s="199">
        <f t="shared" ref="D357:AE357" si="52">SUM(D358:D359)</f>
        <v>7968708.8700000001</v>
      </c>
      <c r="E357" s="31">
        <f t="shared" si="52"/>
        <v>0</v>
      </c>
      <c r="F357" s="31">
        <f t="shared" si="52"/>
        <v>0</v>
      </c>
      <c r="G357" s="31">
        <f t="shared" si="52"/>
        <v>4236373.1399999997</v>
      </c>
      <c r="H357" s="31">
        <f t="shared" si="52"/>
        <v>474283.04</v>
      </c>
      <c r="I357" s="31">
        <f t="shared" si="52"/>
        <v>0</v>
      </c>
      <c r="J357" s="31">
        <f t="shared" si="52"/>
        <v>0</v>
      </c>
      <c r="K357" s="67">
        <f t="shared" si="52"/>
        <v>0</v>
      </c>
      <c r="L357" s="31">
        <f t="shared" si="52"/>
        <v>0</v>
      </c>
      <c r="M357" s="31">
        <f t="shared" si="52"/>
        <v>1144.52</v>
      </c>
      <c r="N357" s="31">
        <f t="shared" si="52"/>
        <v>3057208.51</v>
      </c>
      <c r="O357" s="31">
        <f t="shared" si="52"/>
        <v>0</v>
      </c>
      <c r="P357" s="31">
        <f t="shared" si="52"/>
        <v>0</v>
      </c>
      <c r="Q357" s="31">
        <f t="shared" si="52"/>
        <v>0</v>
      </c>
      <c r="R357" s="31">
        <f t="shared" si="52"/>
        <v>0</v>
      </c>
      <c r="S357" s="31">
        <f t="shared" si="52"/>
        <v>0</v>
      </c>
      <c r="T357" s="31">
        <f t="shared" si="52"/>
        <v>0</v>
      </c>
      <c r="U357" s="31">
        <f t="shared" si="52"/>
        <v>0</v>
      </c>
      <c r="V357" s="31">
        <f t="shared" si="52"/>
        <v>0</v>
      </c>
      <c r="W357" s="31">
        <f t="shared" si="52"/>
        <v>0</v>
      </c>
      <c r="X357" s="31">
        <f t="shared" si="52"/>
        <v>0</v>
      </c>
      <c r="Y357" s="31">
        <f t="shared" si="52"/>
        <v>0</v>
      </c>
      <c r="Z357" s="31">
        <f t="shared" si="52"/>
        <v>0</v>
      </c>
      <c r="AA357" s="31">
        <f t="shared" si="52"/>
        <v>0</v>
      </c>
      <c r="AB357" s="31">
        <f t="shared" si="52"/>
        <v>0</v>
      </c>
      <c r="AC357" s="31">
        <f t="shared" si="52"/>
        <v>86073.48</v>
      </c>
      <c r="AD357" s="31">
        <f t="shared" si="52"/>
        <v>114770.7</v>
      </c>
      <c r="AE357" s="31">
        <f t="shared" si="52"/>
        <v>0</v>
      </c>
      <c r="AF357" s="65" t="s">
        <v>751</v>
      </c>
      <c r="AG357" s="65" t="s">
        <v>751</v>
      </c>
      <c r="AH357" s="79" t="s">
        <v>751</v>
      </c>
      <c r="AT357" s="20" t="e">
        <f>VLOOKUP(C357,AW:AX,2,FALSE)</f>
        <v>#N/A</v>
      </c>
      <c r="BZ357" s="64">
        <v>12137858.549999999</v>
      </c>
      <c r="CB357" s="64">
        <f>BZ357-D357</f>
        <v>4169149.6799999988</v>
      </c>
      <c r="CD357" s="20" t="e">
        <f t="shared" si="47"/>
        <v>#N/A</v>
      </c>
    </row>
    <row r="358" spans="1:82" ht="61.5" x14ac:dyDescent="0.85">
      <c r="A358" s="20">
        <v>1</v>
      </c>
      <c r="B358" s="60">
        <f>SUBTOTAL(103,$A$22:A358)</f>
        <v>317</v>
      </c>
      <c r="C358" s="24" t="s">
        <v>698</v>
      </c>
      <c r="D358" s="31">
        <f>E358+F358+G358+H358+I358+J358+L358+N358+P358+R358+T358+U358+V358+W358+X358+Y358+Z358+AA358+AB358+AC358+AD358+AE358</f>
        <v>3211417.2</v>
      </c>
      <c r="E358" s="31">
        <v>0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67">
        <v>0</v>
      </c>
      <c r="L358" s="31">
        <v>0</v>
      </c>
      <c r="M358" s="38">
        <v>1144.52</v>
      </c>
      <c r="N358" s="38">
        <v>3057208.51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  <c r="AC358" s="38">
        <v>39437.99</v>
      </c>
      <c r="AD358" s="38">
        <v>114770.7</v>
      </c>
      <c r="AE358" s="31">
        <v>0</v>
      </c>
      <c r="AF358" s="33">
        <v>2020</v>
      </c>
      <c r="AG358" s="33">
        <v>2020</v>
      </c>
      <c r="AH358" s="34">
        <v>2020</v>
      </c>
      <c r="AT358" s="20" t="e">
        <f>VLOOKUP(C358,AW:AX,2,FALSE)</f>
        <v>#N/A</v>
      </c>
      <c r="BZ358" s="64"/>
      <c r="CD358" s="20" t="e">
        <f t="shared" si="47"/>
        <v>#N/A</v>
      </c>
    </row>
    <row r="359" spans="1:82" ht="61.5" x14ac:dyDescent="0.85">
      <c r="A359" s="20">
        <v>1</v>
      </c>
      <c r="B359" s="60">
        <f>SUBTOTAL(103,$A$22:A359)</f>
        <v>318</v>
      </c>
      <c r="C359" s="24" t="s">
        <v>1219</v>
      </c>
      <c r="D359" s="31">
        <f>E359+F359+G359+H359+I359+J359+L359+N359+P359+R359+T359+U359+V359+W359+X359+Y359+Z359+AA359+AB359+AC359+AD359+AE359</f>
        <v>4757291.67</v>
      </c>
      <c r="E359" s="31">
        <v>0</v>
      </c>
      <c r="F359" s="31">
        <v>0</v>
      </c>
      <c r="G359" s="38">
        <f>1731244.66+2505128.48</f>
        <v>4236373.1399999997</v>
      </c>
      <c r="H359" s="38">
        <v>474283.04</v>
      </c>
      <c r="I359" s="31">
        <v>0</v>
      </c>
      <c r="J359" s="31">
        <v>0</v>
      </c>
      <c r="K359" s="67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0</v>
      </c>
      <c r="AC359" s="31">
        <v>46635.49</v>
      </c>
      <c r="AD359" s="31">
        <v>0</v>
      </c>
      <c r="AE359" s="31">
        <v>0</v>
      </c>
      <c r="AF359" s="33" t="s">
        <v>268</v>
      </c>
      <c r="AG359" s="33">
        <v>2020</v>
      </c>
      <c r="AH359" s="34">
        <v>2020</v>
      </c>
      <c r="BZ359" s="64"/>
      <c r="CD359" s="20" t="e">
        <f t="shared" si="47"/>
        <v>#N/A</v>
      </c>
    </row>
    <row r="360" spans="1:82" ht="61.5" x14ac:dyDescent="0.85">
      <c r="B360" s="24" t="s">
        <v>830</v>
      </c>
      <c r="C360" s="24"/>
      <c r="D360" s="199">
        <f t="shared" ref="D360:AE360" si="53">D361</f>
        <v>1861701.91</v>
      </c>
      <c r="E360" s="31">
        <f t="shared" si="53"/>
        <v>0</v>
      </c>
      <c r="F360" s="31">
        <f t="shared" si="53"/>
        <v>0</v>
      </c>
      <c r="G360" s="31">
        <f t="shared" si="53"/>
        <v>0</v>
      </c>
      <c r="H360" s="31">
        <f t="shared" si="53"/>
        <v>0</v>
      </c>
      <c r="I360" s="31">
        <f t="shared" si="53"/>
        <v>0</v>
      </c>
      <c r="J360" s="31">
        <f t="shared" si="53"/>
        <v>0</v>
      </c>
      <c r="K360" s="67">
        <f t="shared" si="53"/>
        <v>0</v>
      </c>
      <c r="L360" s="31">
        <f t="shared" si="53"/>
        <v>0</v>
      </c>
      <c r="M360" s="31">
        <f t="shared" si="53"/>
        <v>570</v>
      </c>
      <c r="N360" s="31">
        <f t="shared" si="53"/>
        <v>1716738.9</v>
      </c>
      <c r="O360" s="31">
        <f t="shared" si="53"/>
        <v>0</v>
      </c>
      <c r="P360" s="31">
        <f t="shared" si="53"/>
        <v>0</v>
      </c>
      <c r="Q360" s="31">
        <f t="shared" si="53"/>
        <v>0</v>
      </c>
      <c r="R360" s="31">
        <f t="shared" si="53"/>
        <v>0</v>
      </c>
      <c r="S360" s="31">
        <f t="shared" si="53"/>
        <v>0</v>
      </c>
      <c r="T360" s="31">
        <f t="shared" si="53"/>
        <v>0</v>
      </c>
      <c r="U360" s="31">
        <f t="shared" si="53"/>
        <v>0</v>
      </c>
      <c r="V360" s="31">
        <f t="shared" si="53"/>
        <v>0</v>
      </c>
      <c r="W360" s="31">
        <f t="shared" si="53"/>
        <v>0</v>
      </c>
      <c r="X360" s="31">
        <f t="shared" si="53"/>
        <v>0</v>
      </c>
      <c r="Y360" s="31">
        <f t="shared" si="53"/>
        <v>0</v>
      </c>
      <c r="Z360" s="31">
        <f t="shared" si="53"/>
        <v>0</v>
      </c>
      <c r="AA360" s="31">
        <f t="shared" si="53"/>
        <v>0</v>
      </c>
      <c r="AB360" s="31">
        <f t="shared" si="53"/>
        <v>0</v>
      </c>
      <c r="AC360" s="31">
        <f t="shared" si="53"/>
        <v>22145.93</v>
      </c>
      <c r="AD360" s="31">
        <f t="shared" si="53"/>
        <v>122817.08</v>
      </c>
      <c r="AE360" s="31">
        <f t="shared" si="53"/>
        <v>0</v>
      </c>
      <c r="AF360" s="65" t="s">
        <v>751</v>
      </c>
      <c r="AG360" s="65" t="s">
        <v>751</v>
      </c>
      <c r="AH360" s="79" t="s">
        <v>751</v>
      </c>
      <c r="AT360" s="20" t="e">
        <f t="shared" ref="AT360:AT368" si="54">VLOOKUP(C360,AW:AX,2,FALSE)</f>
        <v>#N/A</v>
      </c>
      <c r="BZ360" s="64">
        <v>5698132.5200000005</v>
      </c>
      <c r="CD360" s="20" t="e">
        <f t="shared" si="47"/>
        <v>#N/A</v>
      </c>
    </row>
    <row r="361" spans="1:82" ht="61.5" x14ac:dyDescent="0.85">
      <c r="A361" s="20">
        <v>1</v>
      </c>
      <c r="B361" s="60">
        <f>SUBTOTAL(103,$A$22:A361)</f>
        <v>319</v>
      </c>
      <c r="C361" s="24" t="s">
        <v>795</v>
      </c>
      <c r="D361" s="31">
        <f>E361+F361+G361+H361+I361+J361+L361+N361+P361+R361+T361+U361+V361+W361+X361+Y361+Z361+AA361+AB361+AC361+AD361+AE361</f>
        <v>1861701.91</v>
      </c>
      <c r="E361" s="31">
        <v>0</v>
      </c>
      <c r="F361" s="31">
        <v>0</v>
      </c>
      <c r="G361" s="31">
        <v>0</v>
      </c>
      <c r="H361" s="31">
        <v>0</v>
      </c>
      <c r="I361" s="31">
        <v>0</v>
      </c>
      <c r="J361" s="31">
        <v>0</v>
      </c>
      <c r="K361" s="67">
        <v>0</v>
      </c>
      <c r="L361" s="31">
        <v>0</v>
      </c>
      <c r="M361" s="38">
        <v>570</v>
      </c>
      <c r="N361" s="38">
        <v>1716738.9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  <c r="AC361" s="31">
        <v>22145.93</v>
      </c>
      <c r="AD361" s="31">
        <v>122817.08</v>
      </c>
      <c r="AE361" s="31">
        <v>0</v>
      </c>
      <c r="AF361" s="33">
        <v>2020</v>
      </c>
      <c r="AG361" s="33">
        <v>2020</v>
      </c>
      <c r="AH361" s="33">
        <v>2020</v>
      </c>
      <c r="AT361" s="20" t="e">
        <f t="shared" si="54"/>
        <v>#N/A</v>
      </c>
      <c r="BZ361" s="64"/>
      <c r="CD361" s="20" t="e">
        <f t="shared" si="47"/>
        <v>#N/A</v>
      </c>
    </row>
    <row r="362" spans="1:82" ht="61.5" x14ac:dyDescent="0.85">
      <c r="B362" s="24" t="s">
        <v>831</v>
      </c>
      <c r="C362" s="198"/>
      <c r="D362" s="199">
        <f t="shared" ref="D362:AE362" si="55">SUM(D363:D379)</f>
        <v>44398957.329999998</v>
      </c>
      <c r="E362" s="31">
        <f t="shared" si="55"/>
        <v>117380.25</v>
      </c>
      <c r="F362" s="31">
        <f t="shared" si="55"/>
        <v>0</v>
      </c>
      <c r="G362" s="31">
        <f t="shared" si="55"/>
        <v>0</v>
      </c>
      <c r="H362" s="31">
        <f t="shared" si="55"/>
        <v>0</v>
      </c>
      <c r="I362" s="31">
        <f t="shared" si="55"/>
        <v>0</v>
      </c>
      <c r="J362" s="31">
        <f t="shared" si="55"/>
        <v>0</v>
      </c>
      <c r="K362" s="67">
        <f t="shared" si="55"/>
        <v>0</v>
      </c>
      <c r="L362" s="31">
        <f t="shared" si="55"/>
        <v>0</v>
      </c>
      <c r="M362" s="31">
        <f t="shared" si="55"/>
        <v>9873.7900000000009</v>
      </c>
      <c r="N362" s="31">
        <f t="shared" si="55"/>
        <v>37752509.329999998</v>
      </c>
      <c r="O362" s="31">
        <f t="shared" si="55"/>
        <v>0</v>
      </c>
      <c r="P362" s="31">
        <f t="shared" si="55"/>
        <v>0</v>
      </c>
      <c r="Q362" s="31">
        <f t="shared" si="55"/>
        <v>2836.8</v>
      </c>
      <c r="R362" s="31">
        <f t="shared" si="55"/>
        <v>5484510.0500000007</v>
      </c>
      <c r="S362" s="31">
        <f t="shared" si="55"/>
        <v>0</v>
      </c>
      <c r="T362" s="31">
        <f t="shared" si="55"/>
        <v>0</v>
      </c>
      <c r="U362" s="31">
        <f t="shared" si="55"/>
        <v>0</v>
      </c>
      <c r="V362" s="31">
        <f t="shared" si="55"/>
        <v>0</v>
      </c>
      <c r="W362" s="31">
        <f t="shared" si="55"/>
        <v>0</v>
      </c>
      <c r="X362" s="31">
        <f t="shared" si="55"/>
        <v>0</v>
      </c>
      <c r="Y362" s="31">
        <f t="shared" si="55"/>
        <v>0</v>
      </c>
      <c r="Z362" s="31">
        <f t="shared" si="55"/>
        <v>0</v>
      </c>
      <c r="AA362" s="31">
        <f t="shared" si="55"/>
        <v>0</v>
      </c>
      <c r="AB362" s="31">
        <f t="shared" si="55"/>
        <v>0</v>
      </c>
      <c r="AC362" s="31">
        <f t="shared" si="55"/>
        <v>441540.75</v>
      </c>
      <c r="AD362" s="31">
        <f t="shared" si="55"/>
        <v>603016.94999999995</v>
      </c>
      <c r="AE362" s="31">
        <f t="shared" si="55"/>
        <v>0</v>
      </c>
      <c r="AF362" s="65" t="s">
        <v>751</v>
      </c>
      <c r="AG362" s="65" t="s">
        <v>751</v>
      </c>
      <c r="AH362" s="79" t="s">
        <v>751</v>
      </c>
      <c r="AT362" s="20" t="e">
        <f t="shared" si="54"/>
        <v>#N/A</v>
      </c>
      <c r="AV362" s="20">
        <v>20654065.649999999</v>
      </c>
      <c r="AW362" s="64">
        <f>AV362-D362</f>
        <v>-23744891.68</v>
      </c>
      <c r="BZ362" s="31">
        <v>56051993.530000009</v>
      </c>
      <c r="CA362" s="31"/>
      <c r="CB362" s="31">
        <f>BZ362-D362</f>
        <v>11653036.20000001</v>
      </c>
      <c r="CD362" s="20" t="e">
        <f t="shared" si="47"/>
        <v>#N/A</v>
      </c>
    </row>
    <row r="363" spans="1:82" ht="61.5" x14ac:dyDescent="0.85">
      <c r="A363" s="20">
        <v>1</v>
      </c>
      <c r="B363" s="60">
        <f>SUBTOTAL(103,$A$22:A363)</f>
        <v>320</v>
      </c>
      <c r="C363" s="24" t="s">
        <v>114</v>
      </c>
      <c r="D363" s="31">
        <f t="shared" ref="D363:D379" si="56">E363+F363+G363+H363+I363+J363+L363+N363+P363+R363+T363+U363+V363+W363+X363+Y363+Z363+AA363+AB363+AC363+AD363+AE363</f>
        <v>54256.44</v>
      </c>
      <c r="E363" s="31">
        <v>0</v>
      </c>
      <c r="F363" s="31">
        <v>0</v>
      </c>
      <c r="G363" s="31">
        <v>0</v>
      </c>
      <c r="H363" s="31">
        <v>0</v>
      </c>
      <c r="I363" s="31">
        <v>0</v>
      </c>
      <c r="J363" s="31">
        <v>0</v>
      </c>
      <c r="K363" s="67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0</v>
      </c>
      <c r="AA363" s="31">
        <v>0</v>
      </c>
      <c r="AB363" s="31">
        <v>0</v>
      </c>
      <c r="AC363" s="31">
        <f>ROUND(N363*1.5%,2)</f>
        <v>0</v>
      </c>
      <c r="AD363" s="31">
        <v>54256.44</v>
      </c>
      <c r="AE363" s="31">
        <v>0</v>
      </c>
      <c r="AF363" s="33">
        <v>2020</v>
      </c>
      <c r="AG363" s="33" t="s">
        <v>268</v>
      </c>
      <c r="AH363" s="33" t="s">
        <v>268</v>
      </c>
      <c r="AT363" s="20" t="e">
        <f t="shared" si="54"/>
        <v>#N/A</v>
      </c>
      <c r="BZ363" s="64"/>
      <c r="CD363" s="20" t="e">
        <f t="shared" si="47"/>
        <v>#N/A</v>
      </c>
    </row>
    <row r="364" spans="1:82" ht="61.5" x14ac:dyDescent="0.85">
      <c r="A364" s="20">
        <v>1</v>
      </c>
      <c r="B364" s="60">
        <f>SUBTOTAL(103,$A$22:A364)</f>
        <v>321</v>
      </c>
      <c r="C364" s="24" t="s">
        <v>117</v>
      </c>
      <c r="D364" s="31">
        <f t="shared" si="56"/>
        <v>2480548.0700000003</v>
      </c>
      <c r="E364" s="31">
        <v>0</v>
      </c>
      <c r="F364" s="31">
        <v>0</v>
      </c>
      <c r="G364" s="31">
        <v>0</v>
      </c>
      <c r="H364" s="31">
        <v>0</v>
      </c>
      <c r="I364" s="31">
        <v>0</v>
      </c>
      <c r="J364" s="31">
        <v>0</v>
      </c>
      <c r="K364" s="67">
        <v>0</v>
      </c>
      <c r="L364" s="31">
        <v>0</v>
      </c>
      <c r="M364" s="38">
        <v>616.94000000000005</v>
      </c>
      <c r="N364" s="38">
        <v>2411642.35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  <c r="AC364" s="38">
        <v>14469.85</v>
      </c>
      <c r="AD364" s="31">
        <v>54435.87</v>
      </c>
      <c r="AE364" s="31">
        <v>0</v>
      </c>
      <c r="AF364" s="33">
        <v>2020</v>
      </c>
      <c r="AG364" s="33">
        <v>2020</v>
      </c>
      <c r="AH364" s="34">
        <v>2020</v>
      </c>
      <c r="AT364" s="20" t="e">
        <f t="shared" si="54"/>
        <v>#N/A</v>
      </c>
      <c r="BZ364" s="64"/>
      <c r="CD364" s="20" t="e">
        <f t="shared" si="47"/>
        <v>#N/A</v>
      </c>
    </row>
    <row r="365" spans="1:82" ht="61.5" x14ac:dyDescent="0.85">
      <c r="A365" s="20">
        <v>1</v>
      </c>
      <c r="B365" s="60">
        <f>SUBTOTAL(103,$A$22:A365)</f>
        <v>322</v>
      </c>
      <c r="C365" s="24" t="s">
        <v>113</v>
      </c>
      <c r="D365" s="31">
        <f t="shared" si="56"/>
        <v>1443898.48</v>
      </c>
      <c r="E365" s="31">
        <v>0</v>
      </c>
      <c r="F365" s="31">
        <v>0</v>
      </c>
      <c r="G365" s="31">
        <v>0</v>
      </c>
      <c r="H365" s="31">
        <v>0</v>
      </c>
      <c r="I365" s="31">
        <v>0</v>
      </c>
      <c r="J365" s="31">
        <v>0</v>
      </c>
      <c r="K365" s="67">
        <v>0</v>
      </c>
      <c r="L365" s="31">
        <v>0</v>
      </c>
      <c r="M365" s="38">
        <v>340.4</v>
      </c>
      <c r="N365" s="38">
        <v>1395122.85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  <c r="AC365" s="31">
        <v>8370.74</v>
      </c>
      <c r="AD365" s="31">
        <v>40404.89</v>
      </c>
      <c r="AE365" s="31">
        <v>0</v>
      </c>
      <c r="AF365" s="33">
        <v>2020</v>
      </c>
      <c r="AG365" s="33">
        <v>2020</v>
      </c>
      <c r="AH365" s="34">
        <v>2020</v>
      </c>
      <c r="AT365" s="20" t="e">
        <f t="shared" si="54"/>
        <v>#N/A</v>
      </c>
      <c r="BZ365" s="64"/>
      <c r="CD365" s="20" t="e">
        <f t="shared" si="47"/>
        <v>#N/A</v>
      </c>
    </row>
    <row r="366" spans="1:82" ht="61.5" x14ac:dyDescent="0.85">
      <c r="A366" s="20">
        <v>1</v>
      </c>
      <c r="B366" s="60">
        <f>SUBTOTAL(103,$A$22:A366)</f>
        <v>323</v>
      </c>
      <c r="C366" s="24" t="s">
        <v>115</v>
      </c>
      <c r="D366" s="31">
        <f t="shared" si="56"/>
        <v>4557103.54</v>
      </c>
      <c r="E366" s="31">
        <v>0</v>
      </c>
      <c r="F366" s="31">
        <v>0</v>
      </c>
      <c r="G366" s="31">
        <v>0</v>
      </c>
      <c r="H366" s="31">
        <v>0</v>
      </c>
      <c r="I366" s="31">
        <v>0</v>
      </c>
      <c r="J366" s="31">
        <v>0</v>
      </c>
      <c r="K366" s="67">
        <v>0</v>
      </c>
      <c r="L366" s="31">
        <v>0</v>
      </c>
      <c r="M366" s="38">
        <v>1235.5</v>
      </c>
      <c r="N366" s="38">
        <v>4529924</v>
      </c>
      <c r="O366" s="31">
        <v>0</v>
      </c>
      <c r="P366" s="31">
        <v>0</v>
      </c>
      <c r="Q366" s="31">
        <v>0</v>
      </c>
      <c r="R366" s="31">
        <v>0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0</v>
      </c>
      <c r="AA366" s="31">
        <v>0</v>
      </c>
      <c r="AB366" s="31">
        <v>0</v>
      </c>
      <c r="AC366" s="38">
        <v>27179.54</v>
      </c>
      <c r="AD366" s="31">
        <v>0</v>
      </c>
      <c r="AE366" s="31">
        <v>0</v>
      </c>
      <c r="AF366" s="33" t="s">
        <v>268</v>
      </c>
      <c r="AG366" s="33">
        <v>2020</v>
      </c>
      <c r="AH366" s="34">
        <v>2020</v>
      </c>
      <c r="AT366" s="20" t="e">
        <f t="shared" si="54"/>
        <v>#N/A</v>
      </c>
      <c r="BZ366" s="64"/>
      <c r="CD366" s="20">
        <f t="shared" si="47"/>
        <v>1256.9000000000001</v>
      </c>
    </row>
    <row r="367" spans="1:82" ht="61.5" x14ac:dyDescent="0.85">
      <c r="A367" s="20">
        <v>1</v>
      </c>
      <c r="B367" s="60">
        <f>SUBTOTAL(103,$A$22:A367)</f>
        <v>324</v>
      </c>
      <c r="C367" s="24" t="s">
        <v>116</v>
      </c>
      <c r="D367" s="31">
        <f t="shared" si="56"/>
        <v>4223582.3699999992</v>
      </c>
      <c r="E367" s="31">
        <v>0</v>
      </c>
      <c r="F367" s="31">
        <v>0</v>
      </c>
      <c r="G367" s="31">
        <v>0</v>
      </c>
      <c r="H367" s="31">
        <v>0</v>
      </c>
      <c r="I367" s="31">
        <v>0</v>
      </c>
      <c r="J367" s="31">
        <v>0</v>
      </c>
      <c r="K367" s="67">
        <v>0</v>
      </c>
      <c r="L367" s="31">
        <v>0</v>
      </c>
      <c r="M367" s="38">
        <v>1109.18</v>
      </c>
      <c r="N367" s="38">
        <v>4198392.0199999996</v>
      </c>
      <c r="O367" s="31">
        <v>0</v>
      </c>
      <c r="P367" s="31">
        <v>0</v>
      </c>
      <c r="Q367" s="31">
        <v>0</v>
      </c>
      <c r="R367" s="31">
        <v>0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  <c r="AA367" s="31">
        <v>0</v>
      </c>
      <c r="AB367" s="31">
        <v>0</v>
      </c>
      <c r="AC367" s="38">
        <v>25190.35</v>
      </c>
      <c r="AD367" s="31">
        <v>0</v>
      </c>
      <c r="AE367" s="31">
        <v>0</v>
      </c>
      <c r="AF367" s="33" t="s">
        <v>268</v>
      </c>
      <c r="AG367" s="33">
        <v>2020</v>
      </c>
      <c r="AH367" s="34">
        <v>2020</v>
      </c>
      <c r="AT367" s="20" t="e">
        <f t="shared" si="54"/>
        <v>#N/A</v>
      </c>
      <c r="BZ367" s="64"/>
      <c r="CD367" s="20">
        <f t="shared" si="47"/>
        <v>1151</v>
      </c>
    </row>
    <row r="368" spans="1:82" ht="61.5" x14ac:dyDescent="0.85">
      <c r="A368" s="20">
        <v>1</v>
      </c>
      <c r="B368" s="60">
        <f>SUBTOTAL(103,$A$22:A368)</f>
        <v>325</v>
      </c>
      <c r="C368" s="24" t="s">
        <v>118</v>
      </c>
      <c r="D368" s="31">
        <f t="shared" si="56"/>
        <v>3024337.71</v>
      </c>
      <c r="E368" s="31">
        <v>0</v>
      </c>
      <c r="F368" s="31">
        <v>0</v>
      </c>
      <c r="G368" s="31">
        <v>0</v>
      </c>
      <c r="H368" s="31">
        <v>0</v>
      </c>
      <c r="I368" s="31">
        <v>0</v>
      </c>
      <c r="J368" s="31">
        <v>0</v>
      </c>
      <c r="K368" s="67">
        <v>0</v>
      </c>
      <c r="L368" s="31">
        <v>0</v>
      </c>
      <c r="M368" s="38">
        <v>638.69000000000005</v>
      </c>
      <c r="N368" s="38">
        <v>2952062.85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  <c r="AC368" s="38">
        <v>17712.38</v>
      </c>
      <c r="AD368" s="31">
        <v>54562.48</v>
      </c>
      <c r="AE368" s="31">
        <v>0</v>
      </c>
      <c r="AF368" s="33">
        <v>2020</v>
      </c>
      <c r="AG368" s="33">
        <v>2020</v>
      </c>
      <c r="AH368" s="33">
        <v>2020</v>
      </c>
      <c r="AT368" s="20" t="e">
        <f t="shared" si="54"/>
        <v>#N/A</v>
      </c>
      <c r="BZ368" s="64"/>
      <c r="CD368" s="20" t="e">
        <f t="shared" si="47"/>
        <v>#N/A</v>
      </c>
    </row>
    <row r="369" spans="1:82" ht="61.5" x14ac:dyDescent="0.85">
      <c r="A369" s="20">
        <v>1</v>
      </c>
      <c r="B369" s="60">
        <f>SUBTOTAL(103,$A$22:A369)</f>
        <v>326</v>
      </c>
      <c r="C369" s="24" t="s">
        <v>1220</v>
      </c>
      <c r="D369" s="31">
        <f t="shared" si="56"/>
        <v>5566366.3600000003</v>
      </c>
      <c r="E369" s="31">
        <v>0</v>
      </c>
      <c r="F369" s="31">
        <v>0</v>
      </c>
      <c r="G369" s="31">
        <v>0</v>
      </c>
      <c r="H369" s="31">
        <v>0</v>
      </c>
      <c r="I369" s="31">
        <v>0</v>
      </c>
      <c r="J369" s="31">
        <v>0</v>
      </c>
      <c r="K369" s="67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8">
        <v>2836.8</v>
      </c>
      <c r="R369" s="38">
        <f>5358277.61+126232.44</f>
        <v>5484510.0500000007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0</v>
      </c>
      <c r="AA369" s="31">
        <v>0</v>
      </c>
      <c r="AB369" s="31">
        <v>0</v>
      </c>
      <c r="AC369" s="31">
        <f>ROUND(R369*1.4925%,2)</f>
        <v>81856.31</v>
      </c>
      <c r="AD369" s="31">
        <v>0</v>
      </c>
      <c r="AE369" s="31">
        <v>0</v>
      </c>
      <c r="AF369" s="33" t="s">
        <v>268</v>
      </c>
      <c r="AG369" s="33">
        <v>2020</v>
      </c>
      <c r="AH369" s="34">
        <v>2020</v>
      </c>
      <c r="BZ369" s="64"/>
      <c r="CD369" s="20" t="e">
        <f t="shared" si="47"/>
        <v>#N/A</v>
      </c>
    </row>
    <row r="370" spans="1:82" ht="61.5" x14ac:dyDescent="0.85">
      <c r="A370" s="20">
        <v>1</v>
      </c>
      <c r="B370" s="60">
        <f>SUBTOTAL(103,$A$22:A370)</f>
        <v>327</v>
      </c>
      <c r="C370" s="24" t="s">
        <v>1221</v>
      </c>
      <c r="D370" s="31">
        <f t="shared" si="56"/>
        <v>4137160</v>
      </c>
      <c r="E370" s="31">
        <v>0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67">
        <v>0</v>
      </c>
      <c r="L370" s="31">
        <v>0</v>
      </c>
      <c r="M370" s="38">
        <v>1159.3699999999999</v>
      </c>
      <c r="N370" s="38">
        <v>4076320.91</v>
      </c>
      <c r="O370" s="31">
        <v>0</v>
      </c>
      <c r="P370" s="31">
        <v>0</v>
      </c>
      <c r="Q370" s="31">
        <v>0</v>
      </c>
      <c r="R370" s="31">
        <v>0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0</v>
      </c>
      <c r="AA370" s="31">
        <v>0</v>
      </c>
      <c r="AB370" s="31">
        <v>0</v>
      </c>
      <c r="AC370" s="38">
        <v>60839.09</v>
      </c>
      <c r="AD370" s="31">
        <v>0</v>
      </c>
      <c r="AE370" s="31">
        <v>0</v>
      </c>
      <c r="AF370" s="33" t="s">
        <v>268</v>
      </c>
      <c r="AG370" s="33">
        <v>2020</v>
      </c>
      <c r="AH370" s="34">
        <v>2020</v>
      </c>
      <c r="BZ370" s="64"/>
      <c r="CD370" s="20">
        <f t="shared" si="47"/>
        <v>1150.3</v>
      </c>
    </row>
    <row r="371" spans="1:82" ht="61.5" x14ac:dyDescent="0.85">
      <c r="A371" s="20">
        <v>1</v>
      </c>
      <c r="B371" s="60">
        <f>SUBTOTAL(103,$A$22:A371)</f>
        <v>328</v>
      </c>
      <c r="C371" s="24" t="s">
        <v>1222</v>
      </c>
      <c r="D371" s="31">
        <f t="shared" si="56"/>
        <v>2786718.1</v>
      </c>
      <c r="E371" s="31">
        <v>0</v>
      </c>
      <c r="F371" s="31">
        <v>0</v>
      </c>
      <c r="G371" s="31">
        <v>0</v>
      </c>
      <c r="H371" s="31">
        <v>0</v>
      </c>
      <c r="I371" s="31">
        <v>0</v>
      </c>
      <c r="J371" s="31">
        <v>0</v>
      </c>
      <c r="K371" s="67">
        <v>0</v>
      </c>
      <c r="L371" s="31">
        <v>0</v>
      </c>
      <c r="M371" s="38">
        <v>765</v>
      </c>
      <c r="N371" s="38">
        <v>2745737.96</v>
      </c>
      <c r="O371" s="31">
        <v>0</v>
      </c>
      <c r="P371" s="31">
        <v>0</v>
      </c>
      <c r="Q371" s="31">
        <v>0</v>
      </c>
      <c r="R371" s="31">
        <v>0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0</v>
      </c>
      <c r="AA371" s="31">
        <v>0</v>
      </c>
      <c r="AB371" s="31">
        <v>0</v>
      </c>
      <c r="AC371" s="38">
        <v>40980.14</v>
      </c>
      <c r="AD371" s="31">
        <v>0</v>
      </c>
      <c r="AE371" s="31">
        <v>0</v>
      </c>
      <c r="AF371" s="33" t="s">
        <v>268</v>
      </c>
      <c r="AG371" s="33">
        <v>2020</v>
      </c>
      <c r="AH371" s="34">
        <v>2020</v>
      </c>
      <c r="BZ371" s="64"/>
      <c r="CD371" s="20">
        <f t="shared" si="47"/>
        <v>763.8</v>
      </c>
    </row>
    <row r="372" spans="1:82" ht="61.5" x14ac:dyDescent="0.85">
      <c r="A372" s="20">
        <v>1</v>
      </c>
      <c r="B372" s="60">
        <f>SUBTOTAL(103,$A$22:A372)</f>
        <v>329</v>
      </c>
      <c r="C372" s="24" t="s">
        <v>1223</v>
      </c>
      <c r="D372" s="31">
        <f t="shared" si="56"/>
        <v>1749750.39</v>
      </c>
      <c r="E372" s="31">
        <v>0</v>
      </c>
      <c r="F372" s="31">
        <v>0</v>
      </c>
      <c r="G372" s="31">
        <v>0</v>
      </c>
      <c r="H372" s="31">
        <v>0</v>
      </c>
      <c r="I372" s="31">
        <v>0</v>
      </c>
      <c r="J372" s="31">
        <v>0</v>
      </c>
      <c r="K372" s="67">
        <v>0</v>
      </c>
      <c r="L372" s="31">
        <v>0</v>
      </c>
      <c r="M372" s="38">
        <v>456.6</v>
      </c>
      <c r="N372" s="38">
        <v>1724019.4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0</v>
      </c>
      <c r="AA372" s="31">
        <v>0</v>
      </c>
      <c r="AB372" s="31">
        <v>0</v>
      </c>
      <c r="AC372" s="38">
        <v>25730.99</v>
      </c>
      <c r="AD372" s="31">
        <v>0</v>
      </c>
      <c r="AE372" s="31">
        <v>0</v>
      </c>
      <c r="AF372" s="33" t="s">
        <v>268</v>
      </c>
      <c r="AG372" s="33">
        <v>2020</v>
      </c>
      <c r="AH372" s="34">
        <v>2020</v>
      </c>
      <c r="BZ372" s="64"/>
      <c r="CD372" s="20">
        <f t="shared" si="47"/>
        <v>461.1</v>
      </c>
    </row>
    <row r="373" spans="1:82" ht="61.5" x14ac:dyDescent="0.85">
      <c r="A373" s="20">
        <v>1</v>
      </c>
      <c r="B373" s="60">
        <f>SUBTOTAL(103,$A$22:A373)</f>
        <v>330</v>
      </c>
      <c r="C373" s="24" t="s">
        <v>1224</v>
      </c>
      <c r="D373" s="31">
        <f t="shared" si="56"/>
        <v>119132.15</v>
      </c>
      <c r="E373" s="38">
        <v>117380.25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67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  <c r="AC373" s="31">
        <f>ROUND((E373+F373+G373+H373+I373+J373)*1.4925%,2)</f>
        <v>1751.9</v>
      </c>
      <c r="AD373" s="31">
        <v>0</v>
      </c>
      <c r="AE373" s="31">
        <v>0</v>
      </c>
      <c r="AF373" s="33" t="s">
        <v>268</v>
      </c>
      <c r="AG373" s="33">
        <v>2020</v>
      </c>
      <c r="AH373" s="34">
        <v>2020</v>
      </c>
      <c r="BZ373" s="64"/>
      <c r="CD373" s="20" t="e">
        <f t="shared" si="47"/>
        <v>#N/A</v>
      </c>
    </row>
    <row r="374" spans="1:82" ht="61.5" x14ac:dyDescent="0.85">
      <c r="A374" s="20">
        <v>1</v>
      </c>
      <c r="B374" s="60">
        <f>SUBTOTAL(103,$A$22:A374)</f>
        <v>331</v>
      </c>
      <c r="C374" s="24" t="s">
        <v>1225</v>
      </c>
      <c r="D374" s="31">
        <f t="shared" si="56"/>
        <v>6270786.4399999995</v>
      </c>
      <c r="E374" s="31">
        <v>0</v>
      </c>
      <c r="F374" s="31">
        <v>0</v>
      </c>
      <c r="G374" s="31">
        <v>0</v>
      </c>
      <c r="H374" s="31">
        <v>0</v>
      </c>
      <c r="I374" s="31">
        <v>0</v>
      </c>
      <c r="J374" s="31">
        <v>0</v>
      </c>
      <c r="K374" s="67">
        <v>0</v>
      </c>
      <c r="L374" s="31">
        <v>0</v>
      </c>
      <c r="M374" s="38">
        <v>1532.62</v>
      </c>
      <c r="N374" s="38">
        <v>6178571.2599999998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  <c r="AC374" s="31">
        <f>ROUND(N374*1.4925%,2)</f>
        <v>92215.18</v>
      </c>
      <c r="AD374" s="31">
        <v>0</v>
      </c>
      <c r="AE374" s="31">
        <v>0</v>
      </c>
      <c r="AF374" s="33" t="s">
        <v>268</v>
      </c>
      <c r="AG374" s="33">
        <v>2020</v>
      </c>
      <c r="AH374" s="34">
        <v>2020</v>
      </c>
      <c r="BZ374" s="64"/>
      <c r="CD374" s="20">
        <f t="shared" si="47"/>
        <v>1528.9</v>
      </c>
    </row>
    <row r="375" spans="1:82" ht="61.5" x14ac:dyDescent="0.85">
      <c r="A375" s="20">
        <v>1</v>
      </c>
      <c r="B375" s="60">
        <f>SUBTOTAL(103,$A$22:A375)</f>
        <v>332</v>
      </c>
      <c r="C375" s="24" t="s">
        <v>1554</v>
      </c>
      <c r="D375" s="31">
        <f t="shared" si="56"/>
        <v>3749769.7199999997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67">
        <v>0</v>
      </c>
      <c r="L375" s="31">
        <v>0</v>
      </c>
      <c r="M375" s="38">
        <v>909.07</v>
      </c>
      <c r="N375" s="38">
        <v>3634519.59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  <c r="AC375" s="38">
        <v>21807.11</v>
      </c>
      <c r="AD375" s="38">
        <v>93443.02</v>
      </c>
      <c r="AE375" s="31">
        <v>0</v>
      </c>
      <c r="AF375" s="33">
        <v>2020</v>
      </c>
      <c r="AG375" s="33">
        <v>2020</v>
      </c>
      <c r="AH375" s="34">
        <v>2020</v>
      </c>
      <c r="BZ375" s="64"/>
      <c r="CD375" s="20">
        <f t="shared" si="47"/>
        <v>870</v>
      </c>
    </row>
    <row r="376" spans="1:82" ht="61.5" x14ac:dyDescent="0.85">
      <c r="A376" s="20">
        <v>1</v>
      </c>
      <c r="B376" s="60">
        <f>SUBTOTAL(103,$A$22:A376)</f>
        <v>333</v>
      </c>
      <c r="C376" s="101" t="s">
        <v>135</v>
      </c>
      <c r="D376" s="31">
        <f t="shared" si="56"/>
        <v>3929633.31</v>
      </c>
      <c r="E376" s="31">
        <v>0</v>
      </c>
      <c r="F376" s="31">
        <v>0</v>
      </c>
      <c r="G376" s="31">
        <v>0</v>
      </c>
      <c r="H376" s="31">
        <v>0</v>
      </c>
      <c r="I376" s="31">
        <v>0</v>
      </c>
      <c r="J376" s="31">
        <v>0</v>
      </c>
      <c r="K376" s="67">
        <v>0</v>
      </c>
      <c r="L376" s="31">
        <v>0</v>
      </c>
      <c r="M376" s="38">
        <v>1110.42</v>
      </c>
      <c r="N376" s="144">
        <v>3906196.14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0</v>
      </c>
      <c r="AC376" s="144">
        <v>23437.17</v>
      </c>
      <c r="AD376" s="31">
        <v>0</v>
      </c>
      <c r="AE376" s="31">
        <v>0</v>
      </c>
      <c r="AF376" s="33" t="s">
        <v>268</v>
      </c>
      <c r="AG376" s="33">
        <v>2020</v>
      </c>
      <c r="AH376" s="34">
        <v>2020</v>
      </c>
      <c r="BZ376" s="64"/>
      <c r="CD376" s="20">
        <f t="shared" si="47"/>
        <v>1229.9000000000001</v>
      </c>
    </row>
    <row r="377" spans="1:82" ht="61.5" x14ac:dyDescent="0.85">
      <c r="A377" s="20">
        <v>1</v>
      </c>
      <c r="B377" s="60">
        <f>SUBTOTAL(103,$A377:A$553)</f>
        <v>133</v>
      </c>
      <c r="C377" s="24" t="s">
        <v>128</v>
      </c>
      <c r="D377" s="31">
        <f t="shared" si="56"/>
        <v>108615.8</v>
      </c>
      <c r="E377" s="31">
        <v>0</v>
      </c>
      <c r="F377" s="31">
        <v>0</v>
      </c>
      <c r="G377" s="31">
        <v>0</v>
      </c>
      <c r="H377" s="31">
        <v>0</v>
      </c>
      <c r="I377" s="31">
        <v>0</v>
      </c>
      <c r="J377" s="31">
        <v>0</v>
      </c>
      <c r="K377" s="67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  <c r="AC377" s="31">
        <f>ROUND(U377*1.5%,2)</f>
        <v>0</v>
      </c>
      <c r="AD377" s="31">
        <v>108615.8</v>
      </c>
      <c r="AE377" s="31">
        <v>0</v>
      </c>
      <c r="AF377" s="33">
        <v>2020</v>
      </c>
      <c r="AG377" s="33" t="s">
        <v>268</v>
      </c>
      <c r="AH377" s="33" t="s">
        <v>268</v>
      </c>
      <c r="AT377" s="20" t="e">
        <f>VLOOKUP(C377,AW:AX,2,FALSE)</f>
        <v>#N/A</v>
      </c>
      <c r="BZ377" s="64"/>
      <c r="CD377" s="20" t="e">
        <f t="shared" si="47"/>
        <v>#N/A</v>
      </c>
    </row>
    <row r="378" spans="1:82" ht="61.5" x14ac:dyDescent="0.85">
      <c r="A378" s="20">
        <v>1</v>
      </c>
      <c r="B378" s="60">
        <f>SUBTOTAL(103,$A378:A$553)</f>
        <v>132</v>
      </c>
      <c r="C378" s="24" t="s">
        <v>126</v>
      </c>
      <c r="D378" s="31">
        <f t="shared" si="56"/>
        <v>108130.57</v>
      </c>
      <c r="E378" s="31">
        <v>0</v>
      </c>
      <c r="F378" s="31">
        <v>0</v>
      </c>
      <c r="G378" s="31">
        <v>0</v>
      </c>
      <c r="H378" s="31">
        <v>0</v>
      </c>
      <c r="I378" s="31">
        <v>0</v>
      </c>
      <c r="J378" s="31">
        <v>0</v>
      </c>
      <c r="K378" s="67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  <c r="AC378" s="31">
        <f t="shared" ref="AC378:AC379" si="57">ROUND(N378*1.5%,2)</f>
        <v>0</v>
      </c>
      <c r="AD378" s="31">
        <v>108130.57</v>
      </c>
      <c r="AE378" s="31">
        <v>0</v>
      </c>
      <c r="AF378" s="33">
        <v>2020</v>
      </c>
      <c r="AG378" s="33" t="s">
        <v>268</v>
      </c>
      <c r="AH378" s="33" t="s">
        <v>268</v>
      </c>
      <c r="AT378" s="20" t="e">
        <f>VLOOKUP(C378,AW:AX,2,FALSE)</f>
        <v>#N/A</v>
      </c>
      <c r="BZ378" s="64"/>
      <c r="CD378" s="20" t="e">
        <f t="shared" si="47"/>
        <v>#N/A</v>
      </c>
    </row>
    <row r="379" spans="1:82" ht="61.5" x14ac:dyDescent="0.85">
      <c r="A379" s="20">
        <v>1</v>
      </c>
      <c r="B379" s="60">
        <f>SUBTOTAL(103,$A379:A$553)</f>
        <v>131</v>
      </c>
      <c r="C379" s="24" t="s">
        <v>129</v>
      </c>
      <c r="D379" s="31">
        <f t="shared" si="56"/>
        <v>89167.88</v>
      </c>
      <c r="E379" s="31">
        <v>0</v>
      </c>
      <c r="F379" s="31">
        <v>0</v>
      </c>
      <c r="G379" s="31">
        <v>0</v>
      </c>
      <c r="H379" s="31">
        <v>0</v>
      </c>
      <c r="I379" s="31">
        <v>0</v>
      </c>
      <c r="J379" s="31">
        <v>0</v>
      </c>
      <c r="K379" s="67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  <c r="AC379" s="31">
        <f t="shared" si="57"/>
        <v>0</v>
      </c>
      <c r="AD379" s="31">
        <v>89167.88</v>
      </c>
      <c r="AE379" s="31">
        <v>0</v>
      </c>
      <c r="AF379" s="33">
        <v>2020</v>
      </c>
      <c r="AG379" s="33" t="s">
        <v>268</v>
      </c>
      <c r="AH379" s="33" t="s">
        <v>268</v>
      </c>
      <c r="AT379" s="20">
        <f>VLOOKUP(C379,AW:AX,2,FALSE)</f>
        <v>1</v>
      </c>
      <c r="BZ379" s="64"/>
      <c r="CD379" s="20" t="e">
        <f t="shared" si="47"/>
        <v>#N/A</v>
      </c>
    </row>
    <row r="380" spans="1:82" ht="61.5" x14ac:dyDescent="0.85">
      <c r="B380" s="24" t="s">
        <v>832</v>
      </c>
      <c r="C380" s="24"/>
      <c r="D380" s="199">
        <f>D381+D382</f>
        <v>2076549.34</v>
      </c>
      <c r="E380" s="31">
        <f t="shared" ref="E380:AE380" si="58">E381+E382</f>
        <v>39534.75</v>
      </c>
      <c r="F380" s="31">
        <f t="shared" si="58"/>
        <v>0</v>
      </c>
      <c r="G380" s="31">
        <f t="shared" si="58"/>
        <v>0</v>
      </c>
      <c r="H380" s="31">
        <f t="shared" si="58"/>
        <v>12043.62</v>
      </c>
      <c r="I380" s="31">
        <f t="shared" si="58"/>
        <v>295538.62</v>
      </c>
      <c r="J380" s="31">
        <f t="shared" si="58"/>
        <v>0</v>
      </c>
      <c r="K380" s="67">
        <f t="shared" si="58"/>
        <v>0</v>
      </c>
      <c r="L380" s="31">
        <f t="shared" si="58"/>
        <v>0</v>
      </c>
      <c r="M380" s="31">
        <f t="shared" si="58"/>
        <v>538.16</v>
      </c>
      <c r="N380" s="31">
        <f t="shared" si="58"/>
        <v>1713967.82</v>
      </c>
      <c r="O380" s="31">
        <f t="shared" si="58"/>
        <v>0</v>
      </c>
      <c r="P380" s="31">
        <f t="shared" si="58"/>
        <v>0</v>
      </c>
      <c r="Q380" s="31">
        <f t="shared" si="58"/>
        <v>0</v>
      </c>
      <c r="R380" s="31">
        <f t="shared" si="58"/>
        <v>0</v>
      </c>
      <c r="S380" s="31">
        <f t="shared" si="58"/>
        <v>0</v>
      </c>
      <c r="T380" s="31">
        <f t="shared" si="58"/>
        <v>0</v>
      </c>
      <c r="U380" s="31">
        <f t="shared" si="58"/>
        <v>0</v>
      </c>
      <c r="V380" s="31">
        <f t="shared" si="58"/>
        <v>0</v>
      </c>
      <c r="W380" s="31">
        <f t="shared" si="58"/>
        <v>0</v>
      </c>
      <c r="X380" s="31">
        <f t="shared" si="58"/>
        <v>0</v>
      </c>
      <c r="Y380" s="31">
        <f t="shared" si="58"/>
        <v>0</v>
      </c>
      <c r="Z380" s="31">
        <f t="shared" si="58"/>
        <v>0</v>
      </c>
      <c r="AA380" s="31">
        <f t="shared" si="58"/>
        <v>0</v>
      </c>
      <c r="AB380" s="31">
        <f t="shared" si="58"/>
        <v>0</v>
      </c>
      <c r="AC380" s="31">
        <f t="shared" si="58"/>
        <v>15464.529999999999</v>
      </c>
      <c r="AD380" s="31">
        <f t="shared" si="58"/>
        <v>0</v>
      </c>
      <c r="AE380" s="31">
        <f t="shared" si="58"/>
        <v>0</v>
      </c>
      <c r="AF380" s="65" t="s">
        <v>751</v>
      </c>
      <c r="AG380" s="65" t="s">
        <v>751</v>
      </c>
      <c r="AH380" s="79" t="s">
        <v>751</v>
      </c>
      <c r="AT380" s="20" t="e">
        <f>VLOOKUP(C380,AW:AX,2,FALSE)</f>
        <v>#N/A</v>
      </c>
      <c r="BZ380" s="31">
        <v>2913286.51</v>
      </c>
      <c r="CA380" s="31"/>
      <c r="CB380" s="31">
        <f>BZ380-D380</f>
        <v>836737.16999999969</v>
      </c>
      <c r="CD380" s="20" t="e">
        <f t="shared" si="47"/>
        <v>#N/A</v>
      </c>
    </row>
    <row r="381" spans="1:82" ht="61.5" x14ac:dyDescent="0.85">
      <c r="A381" s="20">
        <v>1</v>
      </c>
      <c r="B381" s="60">
        <f>SUBTOTAL(103,$A$22:A381)</f>
        <v>337</v>
      </c>
      <c r="C381" s="24" t="s">
        <v>120</v>
      </c>
      <c r="D381" s="31">
        <f>E381+F381+G381+H381+I381+J381+L381+N381+P381+R381+T381+U381+V381+W381+X381+Y381+Z381+AA381+AB381+AC381+AD381+AE381</f>
        <v>1724251.6300000001</v>
      </c>
      <c r="E381" s="31">
        <v>0</v>
      </c>
      <c r="F381" s="31">
        <v>0</v>
      </c>
      <c r="G381" s="31">
        <v>0</v>
      </c>
      <c r="H381" s="31">
        <v>0</v>
      </c>
      <c r="I381" s="31">
        <v>0</v>
      </c>
      <c r="J381" s="31">
        <v>0</v>
      </c>
      <c r="K381" s="67">
        <v>0</v>
      </c>
      <c r="L381" s="31">
        <v>0</v>
      </c>
      <c r="M381" s="38">
        <v>538.16</v>
      </c>
      <c r="N381" s="38">
        <v>1713967.82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0</v>
      </c>
      <c r="AB381" s="31">
        <v>0</v>
      </c>
      <c r="AC381" s="38">
        <v>10283.81</v>
      </c>
      <c r="AD381" s="31">
        <v>0</v>
      </c>
      <c r="AE381" s="31">
        <v>0</v>
      </c>
      <c r="AF381" s="33" t="s">
        <v>268</v>
      </c>
      <c r="AG381" s="33">
        <v>2020</v>
      </c>
      <c r="AH381" s="34">
        <v>2020</v>
      </c>
      <c r="AT381" s="20" t="e">
        <f>VLOOKUP(C381,AW:AX,2,FALSE)</f>
        <v>#N/A</v>
      </c>
      <c r="BZ381" s="64"/>
      <c r="CD381" s="20">
        <f t="shared" si="47"/>
        <v>541.1</v>
      </c>
    </row>
    <row r="382" spans="1:82" ht="61.5" x14ac:dyDescent="0.85">
      <c r="A382" s="20">
        <v>1</v>
      </c>
      <c r="B382" s="60">
        <f>SUBTOTAL(103,$A$22:A382)</f>
        <v>338</v>
      </c>
      <c r="C382" s="24" t="s">
        <v>1226</v>
      </c>
      <c r="D382" s="31">
        <f>E382+F382+G382+H382+I382+J382+L382+N382+P382+R382+T382+U382+V382+W382+X382+Y382+Z382+AA382+AB382+AC382+AD382+AE382</f>
        <v>352297.70999999996</v>
      </c>
      <c r="E382" s="38">
        <v>39534.75</v>
      </c>
      <c r="F382" s="31">
        <v>0</v>
      </c>
      <c r="G382" s="31">
        <v>0</v>
      </c>
      <c r="H382" s="38">
        <v>12043.62</v>
      </c>
      <c r="I382" s="38">
        <v>295538.62</v>
      </c>
      <c r="J382" s="31">
        <v>0</v>
      </c>
      <c r="K382" s="67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0</v>
      </c>
      <c r="AC382" s="31">
        <f>ROUND((E382+F382+G382+H382+I382+J382)*1.4925%,2)</f>
        <v>5180.72</v>
      </c>
      <c r="AD382" s="31">
        <v>0</v>
      </c>
      <c r="AE382" s="31">
        <v>0</v>
      </c>
      <c r="AF382" s="33" t="s">
        <v>268</v>
      </c>
      <c r="AG382" s="33">
        <v>2020</v>
      </c>
      <c r="AH382" s="34">
        <v>2020</v>
      </c>
      <c r="BZ382" s="64"/>
      <c r="CD382" s="20" t="e">
        <f t="shared" si="47"/>
        <v>#N/A</v>
      </c>
    </row>
    <row r="383" spans="1:82" ht="61.5" x14ac:dyDescent="0.85">
      <c r="B383" s="24" t="s">
        <v>891</v>
      </c>
      <c r="C383" s="24"/>
      <c r="D383" s="199">
        <f t="shared" ref="D383:AE383" si="59">D384</f>
        <v>2005046.9200000002</v>
      </c>
      <c r="E383" s="31">
        <f t="shared" si="59"/>
        <v>0</v>
      </c>
      <c r="F383" s="31">
        <f t="shared" si="59"/>
        <v>0</v>
      </c>
      <c r="G383" s="31">
        <f t="shared" si="59"/>
        <v>0</v>
      </c>
      <c r="H383" s="31">
        <f t="shared" si="59"/>
        <v>0</v>
      </c>
      <c r="I383" s="31">
        <f t="shared" si="59"/>
        <v>0</v>
      </c>
      <c r="J383" s="31">
        <f t="shared" si="59"/>
        <v>0</v>
      </c>
      <c r="K383" s="67">
        <f t="shared" si="59"/>
        <v>0</v>
      </c>
      <c r="L383" s="31">
        <f t="shared" si="59"/>
        <v>0</v>
      </c>
      <c r="M383" s="31">
        <f t="shared" si="59"/>
        <v>317.68</v>
      </c>
      <c r="N383" s="31">
        <f t="shared" si="59"/>
        <v>1068295.6000000001</v>
      </c>
      <c r="O383" s="31">
        <f t="shared" si="59"/>
        <v>0</v>
      </c>
      <c r="P383" s="31">
        <f t="shared" si="59"/>
        <v>0</v>
      </c>
      <c r="Q383" s="31">
        <f t="shared" si="59"/>
        <v>364.69</v>
      </c>
      <c r="R383" s="31">
        <f t="shared" si="59"/>
        <v>915315.12</v>
      </c>
      <c r="S383" s="31">
        <f t="shared" si="59"/>
        <v>0</v>
      </c>
      <c r="T383" s="31">
        <f t="shared" si="59"/>
        <v>0</v>
      </c>
      <c r="U383" s="31">
        <f t="shared" si="59"/>
        <v>0</v>
      </c>
      <c r="V383" s="31">
        <f t="shared" si="59"/>
        <v>0</v>
      </c>
      <c r="W383" s="31">
        <f t="shared" si="59"/>
        <v>0</v>
      </c>
      <c r="X383" s="31">
        <f t="shared" si="59"/>
        <v>0</v>
      </c>
      <c r="Y383" s="31">
        <f t="shared" si="59"/>
        <v>0</v>
      </c>
      <c r="Z383" s="31">
        <f t="shared" si="59"/>
        <v>0</v>
      </c>
      <c r="AA383" s="31">
        <f t="shared" si="59"/>
        <v>0</v>
      </c>
      <c r="AB383" s="31">
        <f t="shared" si="59"/>
        <v>0</v>
      </c>
      <c r="AC383" s="31">
        <f t="shared" si="59"/>
        <v>21436.2</v>
      </c>
      <c r="AD383" s="31">
        <f t="shared" si="59"/>
        <v>0</v>
      </c>
      <c r="AE383" s="31">
        <f t="shared" si="59"/>
        <v>0</v>
      </c>
      <c r="AF383" s="65" t="s">
        <v>751</v>
      </c>
      <c r="AG383" s="65" t="s">
        <v>751</v>
      </c>
      <c r="AH383" s="79" t="s">
        <v>751</v>
      </c>
      <c r="AT383" s="20" t="e">
        <f t="shared" ref="AT383:AT390" si="60">VLOOKUP(C383,AW:AX,2,FALSE)</f>
        <v>#N/A</v>
      </c>
      <c r="BZ383" s="64">
        <v>2727875.44</v>
      </c>
      <c r="CD383" s="20" t="e">
        <f t="shared" si="47"/>
        <v>#N/A</v>
      </c>
    </row>
    <row r="384" spans="1:82" ht="61.5" x14ac:dyDescent="0.85">
      <c r="A384" s="20">
        <v>1</v>
      </c>
      <c r="B384" s="60">
        <f>SUBTOTAL(103,$A$22:A384)</f>
        <v>339</v>
      </c>
      <c r="C384" s="24" t="s">
        <v>121</v>
      </c>
      <c r="D384" s="31">
        <f>E384+F384+G384+H384+I384+J384+L384+N384+P384+R384+T384+U384+V384+W384+X384+Y384+Z384+AA384+AB384+AC384+AD384+AE384</f>
        <v>2005046.9200000002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67">
        <v>0</v>
      </c>
      <c r="L384" s="31">
        <v>0</v>
      </c>
      <c r="M384" s="38">
        <v>317.68</v>
      </c>
      <c r="N384" s="144">
        <v>1068295.6000000001</v>
      </c>
      <c r="O384" s="31">
        <v>0</v>
      </c>
      <c r="P384" s="31">
        <v>0</v>
      </c>
      <c r="Q384" s="38">
        <v>364.69</v>
      </c>
      <c r="R384" s="38">
        <v>915315.12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  <c r="AC384" s="31">
        <v>21436.2</v>
      </c>
      <c r="AD384" s="31">
        <v>0</v>
      </c>
      <c r="AE384" s="31">
        <v>0</v>
      </c>
      <c r="AF384" s="33" t="s">
        <v>268</v>
      </c>
      <c r="AG384" s="33">
        <v>2020</v>
      </c>
      <c r="AH384" s="34">
        <v>2020</v>
      </c>
      <c r="AT384" s="20" t="e">
        <f t="shared" si="60"/>
        <v>#N/A</v>
      </c>
      <c r="BZ384" s="64"/>
      <c r="CD384" s="20">
        <f t="shared" si="47"/>
        <v>313.10000000000002</v>
      </c>
    </row>
    <row r="385" spans="1:82" ht="61.5" x14ac:dyDescent="0.85">
      <c r="B385" s="24" t="s">
        <v>833</v>
      </c>
      <c r="C385" s="24"/>
      <c r="D385" s="199">
        <f t="shared" ref="D385:AE385" si="61">D386</f>
        <v>3716503.4299999997</v>
      </c>
      <c r="E385" s="31">
        <f t="shared" si="61"/>
        <v>0</v>
      </c>
      <c r="F385" s="31">
        <f t="shared" si="61"/>
        <v>0</v>
      </c>
      <c r="G385" s="31">
        <f t="shared" si="61"/>
        <v>0</v>
      </c>
      <c r="H385" s="31">
        <f t="shared" si="61"/>
        <v>0</v>
      </c>
      <c r="I385" s="31">
        <f t="shared" si="61"/>
        <v>0</v>
      </c>
      <c r="J385" s="31">
        <f t="shared" si="61"/>
        <v>0</v>
      </c>
      <c r="K385" s="67">
        <f t="shared" si="61"/>
        <v>0</v>
      </c>
      <c r="L385" s="31">
        <f t="shared" si="61"/>
        <v>0</v>
      </c>
      <c r="M385" s="31">
        <f t="shared" si="61"/>
        <v>836.6</v>
      </c>
      <c r="N385" s="31">
        <f t="shared" si="61"/>
        <v>3634368.59</v>
      </c>
      <c r="O385" s="31">
        <f t="shared" si="61"/>
        <v>0</v>
      </c>
      <c r="P385" s="31">
        <f t="shared" si="61"/>
        <v>0</v>
      </c>
      <c r="Q385" s="31">
        <f t="shared" si="61"/>
        <v>0</v>
      </c>
      <c r="R385" s="31">
        <f t="shared" si="61"/>
        <v>0</v>
      </c>
      <c r="S385" s="31">
        <f t="shared" si="61"/>
        <v>0</v>
      </c>
      <c r="T385" s="31">
        <f t="shared" si="61"/>
        <v>0</v>
      </c>
      <c r="U385" s="31">
        <f t="shared" si="61"/>
        <v>0</v>
      </c>
      <c r="V385" s="31">
        <f t="shared" si="61"/>
        <v>0</v>
      </c>
      <c r="W385" s="31">
        <f t="shared" si="61"/>
        <v>0</v>
      </c>
      <c r="X385" s="31">
        <f t="shared" si="61"/>
        <v>0</v>
      </c>
      <c r="Y385" s="31">
        <f t="shared" si="61"/>
        <v>0</v>
      </c>
      <c r="Z385" s="31">
        <f t="shared" si="61"/>
        <v>0</v>
      </c>
      <c r="AA385" s="31">
        <f t="shared" si="61"/>
        <v>0</v>
      </c>
      <c r="AB385" s="31">
        <f t="shared" si="61"/>
        <v>0</v>
      </c>
      <c r="AC385" s="31">
        <f t="shared" si="61"/>
        <v>20503.310000000001</v>
      </c>
      <c r="AD385" s="31">
        <f t="shared" si="61"/>
        <v>61631.53</v>
      </c>
      <c r="AE385" s="31">
        <f t="shared" si="61"/>
        <v>0</v>
      </c>
      <c r="AF385" s="65" t="s">
        <v>751</v>
      </c>
      <c r="AG385" s="65" t="s">
        <v>751</v>
      </c>
      <c r="AH385" s="79" t="s">
        <v>751</v>
      </c>
      <c r="AT385" s="20" t="e">
        <f t="shared" si="60"/>
        <v>#N/A</v>
      </c>
      <c r="BZ385" s="64">
        <v>3866903.76</v>
      </c>
      <c r="CD385" s="20" t="e">
        <f t="shared" si="47"/>
        <v>#N/A</v>
      </c>
    </row>
    <row r="386" spans="1:82" ht="61.5" x14ac:dyDescent="0.85">
      <c r="A386" s="20">
        <v>1</v>
      </c>
      <c r="B386" s="60">
        <f>SUBTOTAL(103,$A$22:A386)</f>
        <v>340</v>
      </c>
      <c r="C386" s="24" t="s">
        <v>122</v>
      </c>
      <c r="D386" s="31">
        <f>E386+F386+G386+H386+I386+J386+L386+N386+P386+R386+T386+U386+V386+W386+X386+Y386+Z386+AA386+AB386+AC386+AD386+AE386</f>
        <v>3716503.4299999997</v>
      </c>
      <c r="E386" s="31">
        <v>0</v>
      </c>
      <c r="F386" s="31">
        <v>0</v>
      </c>
      <c r="G386" s="31">
        <v>0</v>
      </c>
      <c r="H386" s="31">
        <v>0</v>
      </c>
      <c r="I386" s="31">
        <v>0</v>
      </c>
      <c r="J386" s="31">
        <v>0</v>
      </c>
      <c r="K386" s="67">
        <v>0</v>
      </c>
      <c r="L386" s="31">
        <v>0</v>
      </c>
      <c r="M386" s="38">
        <v>836.6</v>
      </c>
      <c r="N386" s="38">
        <f>3417217.79+217150.8</f>
        <v>3634368.59</v>
      </c>
      <c r="O386" s="31">
        <v>0</v>
      </c>
      <c r="P386" s="31">
        <v>0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0</v>
      </c>
      <c r="AA386" s="31">
        <v>0</v>
      </c>
      <c r="AB386" s="31">
        <v>0</v>
      </c>
      <c r="AC386" s="38">
        <v>20503.310000000001</v>
      </c>
      <c r="AD386" s="31">
        <v>61631.53</v>
      </c>
      <c r="AE386" s="31">
        <v>0</v>
      </c>
      <c r="AF386" s="33">
        <v>2020</v>
      </c>
      <c r="AG386" s="33">
        <v>2020</v>
      </c>
      <c r="AH386" s="33">
        <v>2020</v>
      </c>
      <c r="AT386" s="20" t="e">
        <f t="shared" si="60"/>
        <v>#N/A</v>
      </c>
      <c r="BZ386" s="64"/>
      <c r="CD386" s="20" t="e">
        <f t="shared" si="47"/>
        <v>#N/A</v>
      </c>
    </row>
    <row r="387" spans="1:82" ht="61.5" x14ac:dyDescent="0.85">
      <c r="B387" s="24" t="s">
        <v>834</v>
      </c>
      <c r="C387" s="198"/>
      <c r="D387" s="199">
        <f>SUM(D388:D391)</f>
        <v>4283070.8099999996</v>
      </c>
      <c r="E387" s="31">
        <f t="shared" ref="E387:AE387" si="62">SUM(E388:E391)</f>
        <v>0</v>
      </c>
      <c r="F387" s="31">
        <f t="shared" si="62"/>
        <v>0</v>
      </c>
      <c r="G387" s="31">
        <f t="shared" si="62"/>
        <v>0</v>
      </c>
      <c r="H387" s="31">
        <f t="shared" si="62"/>
        <v>0</v>
      </c>
      <c r="I387" s="31">
        <f t="shared" si="62"/>
        <v>0</v>
      </c>
      <c r="J387" s="31">
        <f t="shared" si="62"/>
        <v>0</v>
      </c>
      <c r="K387" s="67">
        <f t="shared" si="62"/>
        <v>0</v>
      </c>
      <c r="L387" s="31">
        <f t="shared" si="62"/>
        <v>0</v>
      </c>
      <c r="M387" s="31">
        <f t="shared" si="62"/>
        <v>678.3</v>
      </c>
      <c r="N387" s="31">
        <f t="shared" si="62"/>
        <v>2321700.09</v>
      </c>
      <c r="O387" s="31">
        <f t="shared" si="62"/>
        <v>0</v>
      </c>
      <c r="P387" s="31">
        <f t="shared" si="62"/>
        <v>0</v>
      </c>
      <c r="Q387" s="31">
        <f t="shared" si="62"/>
        <v>542.73</v>
      </c>
      <c r="R387" s="31">
        <f t="shared" si="62"/>
        <v>1785668.47</v>
      </c>
      <c r="S387" s="31">
        <f t="shared" si="62"/>
        <v>0</v>
      </c>
      <c r="T387" s="31">
        <f t="shared" si="62"/>
        <v>0</v>
      </c>
      <c r="U387" s="31">
        <f t="shared" si="62"/>
        <v>0</v>
      </c>
      <c r="V387" s="31">
        <f t="shared" si="62"/>
        <v>0</v>
      </c>
      <c r="W387" s="31">
        <f t="shared" si="62"/>
        <v>0</v>
      </c>
      <c r="X387" s="31">
        <f t="shared" si="62"/>
        <v>0</v>
      </c>
      <c r="Y387" s="31">
        <f t="shared" si="62"/>
        <v>0</v>
      </c>
      <c r="Z387" s="31">
        <f t="shared" si="62"/>
        <v>0</v>
      </c>
      <c r="AA387" s="31">
        <f t="shared" si="62"/>
        <v>0</v>
      </c>
      <c r="AB387" s="31">
        <f t="shared" si="62"/>
        <v>0</v>
      </c>
      <c r="AC387" s="31">
        <f t="shared" si="62"/>
        <v>23035.119999999999</v>
      </c>
      <c r="AD387" s="31">
        <f t="shared" si="62"/>
        <v>152667.13</v>
      </c>
      <c r="AE387" s="31">
        <f t="shared" si="62"/>
        <v>0</v>
      </c>
      <c r="AF387" s="65" t="s">
        <v>751</v>
      </c>
      <c r="AG387" s="65" t="s">
        <v>751</v>
      </c>
      <c r="AH387" s="79" t="s">
        <v>751</v>
      </c>
      <c r="AT387" s="20" t="e">
        <f t="shared" si="60"/>
        <v>#N/A</v>
      </c>
      <c r="BZ387" s="64">
        <v>11389569.279999999</v>
      </c>
      <c r="CC387" s="31">
        <v>10475726.369999999</v>
      </c>
      <c r="CD387" s="20" t="e">
        <f t="shared" si="47"/>
        <v>#N/A</v>
      </c>
    </row>
    <row r="388" spans="1:82" ht="61.5" x14ac:dyDescent="0.85">
      <c r="A388" s="20">
        <v>1</v>
      </c>
      <c r="B388" s="60">
        <f>SUBTOTAL(103,$A$22:A388)</f>
        <v>341</v>
      </c>
      <c r="C388" s="24" t="s">
        <v>170</v>
      </c>
      <c r="D388" s="31">
        <f>E388+F388+G388+H388+I388+J388+L388+N388+P388+R388+T388+U388+V388+W388+X388+Y388+Z388+AA388+AB388+AC388+AD388+AE388</f>
        <v>2321700.09</v>
      </c>
      <c r="E388" s="31">
        <v>0</v>
      </c>
      <c r="F388" s="31">
        <v>0</v>
      </c>
      <c r="G388" s="31">
        <v>0</v>
      </c>
      <c r="H388" s="31">
        <v>0</v>
      </c>
      <c r="I388" s="31">
        <v>0</v>
      </c>
      <c r="J388" s="31">
        <v>0</v>
      </c>
      <c r="K388" s="67">
        <v>0</v>
      </c>
      <c r="L388" s="31">
        <v>0</v>
      </c>
      <c r="M388" s="38">
        <v>678.3</v>
      </c>
      <c r="N388" s="38">
        <v>2321700.09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  <c r="AC388" s="31">
        <v>0</v>
      </c>
      <c r="AD388" s="31">
        <v>0</v>
      </c>
      <c r="AE388" s="31">
        <v>0</v>
      </c>
      <c r="AF388" s="33" t="s">
        <v>268</v>
      </c>
      <c r="AG388" s="33">
        <v>2020</v>
      </c>
      <c r="AH388" s="34" t="s">
        <v>268</v>
      </c>
      <c r="AT388" s="20" t="e">
        <f t="shared" si="60"/>
        <v>#N/A</v>
      </c>
      <c r="BZ388" s="64"/>
      <c r="CD388" s="20">
        <f t="shared" si="47"/>
        <v>678.3</v>
      </c>
    </row>
    <row r="389" spans="1:82" ht="61.5" x14ac:dyDescent="0.85">
      <c r="A389" s="20">
        <v>1</v>
      </c>
      <c r="B389" s="60">
        <f>SUBTOTAL(103,$A$22:A389)</f>
        <v>342</v>
      </c>
      <c r="C389" s="24" t="s">
        <v>171</v>
      </c>
      <c r="D389" s="31">
        <f>E389+F389+G389+H389+I389+J389+L389+N389+P389+R389+T389+U389+V389+W389+X389+Y389+Z389+AA389+AB389+AC389+AD389+AE389</f>
        <v>1808703.59</v>
      </c>
      <c r="E389" s="31">
        <v>0</v>
      </c>
      <c r="F389" s="31">
        <v>0</v>
      </c>
      <c r="G389" s="31">
        <v>0</v>
      </c>
      <c r="H389" s="31">
        <v>0</v>
      </c>
      <c r="I389" s="31">
        <v>0</v>
      </c>
      <c r="J389" s="31">
        <v>0</v>
      </c>
      <c r="K389" s="67">
        <v>0</v>
      </c>
      <c r="L389" s="31">
        <v>0</v>
      </c>
      <c r="M389" s="31">
        <v>0</v>
      </c>
      <c r="N389" s="31">
        <v>0</v>
      </c>
      <c r="O389" s="31">
        <v>0</v>
      </c>
      <c r="P389" s="31">
        <v>0</v>
      </c>
      <c r="Q389" s="38">
        <v>542.73</v>
      </c>
      <c r="R389" s="38">
        <v>1785668.47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</v>
      </c>
      <c r="AB389" s="31">
        <v>0</v>
      </c>
      <c r="AC389" s="38">
        <v>23035.119999999999</v>
      </c>
      <c r="AD389" s="31">
        <v>0</v>
      </c>
      <c r="AE389" s="31">
        <v>0</v>
      </c>
      <c r="AF389" s="33" t="s">
        <v>268</v>
      </c>
      <c r="AG389" s="33">
        <v>2020</v>
      </c>
      <c r="AH389" s="34">
        <v>2020</v>
      </c>
      <c r="AT389" s="20" t="e">
        <f t="shared" si="60"/>
        <v>#N/A</v>
      </c>
      <c r="BZ389" s="64"/>
      <c r="CD389" s="20" t="e">
        <f t="shared" si="47"/>
        <v>#N/A</v>
      </c>
    </row>
    <row r="390" spans="1:82" ht="61.5" x14ac:dyDescent="0.85">
      <c r="A390" s="20">
        <v>1</v>
      </c>
      <c r="B390" s="60">
        <f>SUBTOTAL(103,$A$22:A390)</f>
        <v>343</v>
      </c>
      <c r="C390" s="24" t="s">
        <v>169</v>
      </c>
      <c r="D390" s="31">
        <f>E390+F390+G390+H390+I390+J390+L390+N390+P390+R390+T390+U390+V390+W390+X390+Y390+Z390+AA390+AB390+AC390+AD390+AE390</f>
        <v>104027.61</v>
      </c>
      <c r="E390" s="31">
        <v>0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67">
        <v>0</v>
      </c>
      <c r="L390" s="31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0</v>
      </c>
      <c r="AA390" s="31">
        <v>0</v>
      </c>
      <c r="AB390" s="31">
        <v>0</v>
      </c>
      <c r="AC390" s="31">
        <f>ROUND(U390*1.5%,2)</f>
        <v>0</v>
      </c>
      <c r="AD390" s="144">
        <v>104027.61</v>
      </c>
      <c r="AE390" s="31">
        <v>0</v>
      </c>
      <c r="AF390" s="33">
        <v>2020</v>
      </c>
      <c r="AG390" s="33" t="s">
        <v>268</v>
      </c>
      <c r="AH390" s="33" t="s">
        <v>268</v>
      </c>
      <c r="AT390" s="20" t="e">
        <f t="shared" si="60"/>
        <v>#N/A</v>
      </c>
      <c r="BZ390" s="64"/>
      <c r="CD390" s="20" t="e">
        <f t="shared" si="47"/>
        <v>#N/A</v>
      </c>
    </row>
    <row r="391" spans="1:82" ht="61.5" x14ac:dyDescent="0.85">
      <c r="A391" s="20">
        <v>1</v>
      </c>
      <c r="B391" s="60">
        <f>SUBTOTAL(103,$A$22:A391)</f>
        <v>344</v>
      </c>
      <c r="C391" s="24" t="s">
        <v>1569</v>
      </c>
      <c r="D391" s="31">
        <f>E391+F391+G391+H391+I391+J391+L391+N391+P391+R391+T391+U391+V391+W391+X391+Y391+Z391+AA391+AB391+AC391+AD391+AE391</f>
        <v>48639.519999999997</v>
      </c>
      <c r="E391" s="31">
        <v>0</v>
      </c>
      <c r="F391" s="31">
        <v>0</v>
      </c>
      <c r="G391" s="31">
        <v>0</v>
      </c>
      <c r="H391" s="31">
        <v>0</v>
      </c>
      <c r="I391" s="31">
        <v>0</v>
      </c>
      <c r="J391" s="31">
        <v>0</v>
      </c>
      <c r="K391" s="67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0</v>
      </c>
      <c r="AC391" s="31">
        <f>ROUND(N391*1.5%,2)</f>
        <v>0</v>
      </c>
      <c r="AD391" s="38">
        <v>48639.519999999997</v>
      </c>
      <c r="AE391" s="31">
        <v>0</v>
      </c>
      <c r="AF391" s="33">
        <v>2020</v>
      </c>
      <c r="AG391" s="33" t="s">
        <v>268</v>
      </c>
      <c r="AH391" s="33" t="s">
        <v>268</v>
      </c>
      <c r="BZ391" s="64"/>
      <c r="CD391" s="20" t="e">
        <f t="shared" si="47"/>
        <v>#N/A</v>
      </c>
    </row>
    <row r="392" spans="1:82" ht="61.5" x14ac:dyDescent="0.85">
      <c r="B392" s="24" t="s">
        <v>835</v>
      </c>
      <c r="C392" s="24"/>
      <c r="D392" s="199">
        <f>SUM(D393:D394)</f>
        <v>3114731.1799999997</v>
      </c>
      <c r="E392" s="31">
        <f t="shared" ref="E392:AE392" si="63">SUM(E393:E394)</f>
        <v>104595</v>
      </c>
      <c r="F392" s="31">
        <f t="shared" si="63"/>
        <v>0</v>
      </c>
      <c r="G392" s="31">
        <f t="shared" si="63"/>
        <v>1449470</v>
      </c>
      <c r="H392" s="31">
        <f t="shared" si="63"/>
        <v>0</v>
      </c>
      <c r="I392" s="31">
        <f t="shared" si="63"/>
        <v>215247</v>
      </c>
      <c r="J392" s="31">
        <f t="shared" si="63"/>
        <v>0</v>
      </c>
      <c r="K392" s="67">
        <f t="shared" si="63"/>
        <v>0</v>
      </c>
      <c r="L392" s="31">
        <f t="shared" si="63"/>
        <v>0</v>
      </c>
      <c r="M392" s="31">
        <f t="shared" si="63"/>
        <v>401.44</v>
      </c>
      <c r="N392" s="31">
        <f t="shared" si="63"/>
        <v>1267442.73</v>
      </c>
      <c r="O392" s="31">
        <f t="shared" si="63"/>
        <v>0</v>
      </c>
      <c r="P392" s="31">
        <f t="shared" si="63"/>
        <v>0</v>
      </c>
      <c r="Q392" s="31">
        <f t="shared" si="63"/>
        <v>0</v>
      </c>
      <c r="R392" s="31">
        <f t="shared" si="63"/>
        <v>0</v>
      </c>
      <c r="S392" s="31">
        <f t="shared" si="63"/>
        <v>0</v>
      </c>
      <c r="T392" s="31">
        <f t="shared" si="63"/>
        <v>0</v>
      </c>
      <c r="U392" s="31">
        <f t="shared" si="63"/>
        <v>0</v>
      </c>
      <c r="V392" s="31">
        <f t="shared" si="63"/>
        <v>0</v>
      </c>
      <c r="W392" s="31">
        <f t="shared" si="63"/>
        <v>0</v>
      </c>
      <c r="X392" s="31">
        <f t="shared" si="63"/>
        <v>0</v>
      </c>
      <c r="Y392" s="31">
        <f t="shared" si="63"/>
        <v>0</v>
      </c>
      <c r="Z392" s="31">
        <f t="shared" si="63"/>
        <v>0</v>
      </c>
      <c r="AA392" s="31">
        <f t="shared" si="63"/>
        <v>0</v>
      </c>
      <c r="AB392" s="31">
        <f t="shared" si="63"/>
        <v>0</v>
      </c>
      <c r="AC392" s="31">
        <f t="shared" si="63"/>
        <v>33866.199999999997</v>
      </c>
      <c r="AD392" s="31">
        <f t="shared" si="63"/>
        <v>44110.25</v>
      </c>
      <c r="AE392" s="31">
        <f t="shared" si="63"/>
        <v>0</v>
      </c>
      <c r="AF392" s="65" t="s">
        <v>751</v>
      </c>
      <c r="AG392" s="65" t="s">
        <v>751</v>
      </c>
      <c r="AH392" s="79" t="s">
        <v>751</v>
      </c>
      <c r="AT392" s="20" t="e">
        <f>VLOOKUP(C392,AW:AX,2,FALSE)</f>
        <v>#N/A</v>
      </c>
      <c r="BZ392" s="64">
        <v>4635021.79</v>
      </c>
      <c r="CC392" s="31">
        <v>3960937.4299999997</v>
      </c>
      <c r="CD392" s="20" t="e">
        <f t="shared" si="47"/>
        <v>#N/A</v>
      </c>
    </row>
    <row r="393" spans="1:82" ht="61.5" x14ac:dyDescent="0.85">
      <c r="A393" s="20">
        <v>1</v>
      </c>
      <c r="B393" s="60">
        <f>SUBTOTAL(103,$A$22:A393)</f>
        <v>345</v>
      </c>
      <c r="C393" s="24" t="s">
        <v>168</v>
      </c>
      <c r="D393" s="31">
        <f>E393+F393+G393+H393+I393+J393+L393+N393+P393+R393+T393+U393+V393+W393+X393+Y393+Z393+AA393+AB393+AC393+AD393+AE393</f>
        <v>1327902.99</v>
      </c>
      <c r="E393" s="31">
        <v>0</v>
      </c>
      <c r="F393" s="31">
        <v>0</v>
      </c>
      <c r="G393" s="31">
        <v>0</v>
      </c>
      <c r="H393" s="31">
        <v>0</v>
      </c>
      <c r="I393" s="31">
        <v>0</v>
      </c>
      <c r="J393" s="31">
        <v>0</v>
      </c>
      <c r="K393" s="67">
        <v>0</v>
      </c>
      <c r="L393" s="31">
        <v>0</v>
      </c>
      <c r="M393" s="38">
        <v>401.44</v>
      </c>
      <c r="N393" s="144">
        <v>1267442.73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0</v>
      </c>
      <c r="AC393" s="144">
        <v>16350.01</v>
      </c>
      <c r="AD393" s="38">
        <v>44110.25</v>
      </c>
      <c r="AE393" s="31">
        <v>0</v>
      </c>
      <c r="AF393" s="33">
        <v>2020</v>
      </c>
      <c r="AG393" s="33">
        <v>2020</v>
      </c>
      <c r="AH393" s="34">
        <v>2020</v>
      </c>
      <c r="AT393" s="20" t="e">
        <f>VLOOKUP(C393,AW:AX,2,FALSE)</f>
        <v>#N/A</v>
      </c>
      <c r="BZ393" s="64"/>
      <c r="CD393" s="20">
        <f t="shared" si="47"/>
        <v>412.82</v>
      </c>
    </row>
    <row r="394" spans="1:82" ht="61.5" x14ac:dyDescent="0.85">
      <c r="A394" s="20">
        <v>1</v>
      </c>
      <c r="B394" s="60">
        <f>SUBTOTAL(103,$A$22:A394)</f>
        <v>346</v>
      </c>
      <c r="C394" s="24" t="s">
        <v>1229</v>
      </c>
      <c r="D394" s="31">
        <f>E394+F394+G394+H394+I394+J394+L394+N394+P394+R394+T394+U394+V394+W394+X394+Y394+Z394+AA394+AB394+AC394+AD394+AE394</f>
        <v>1786828.19</v>
      </c>
      <c r="E394" s="195">
        <v>104595</v>
      </c>
      <c r="F394" s="31">
        <v>0</v>
      </c>
      <c r="G394" s="195">
        <v>1449470</v>
      </c>
      <c r="H394" s="31">
        <v>0</v>
      </c>
      <c r="I394" s="195">
        <v>215247</v>
      </c>
      <c r="J394" s="31">
        <v>0</v>
      </c>
      <c r="K394" s="67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0</v>
      </c>
      <c r="AC394" s="31">
        <v>17516.189999999999</v>
      </c>
      <c r="AD394" s="31">
        <v>0</v>
      </c>
      <c r="AE394" s="31">
        <v>0</v>
      </c>
      <c r="AF394" s="33" t="s">
        <v>268</v>
      </c>
      <c r="AG394" s="33">
        <v>2020</v>
      </c>
      <c r="AH394" s="34">
        <v>2020</v>
      </c>
      <c r="BZ394" s="64"/>
      <c r="CD394" s="20" t="e">
        <f t="shared" ref="CD394:CD457" si="64">VLOOKUP(C394,CE:CF,2,FALSE)</f>
        <v>#N/A</v>
      </c>
    </row>
    <row r="395" spans="1:82" ht="61.5" x14ac:dyDescent="0.85">
      <c r="B395" s="24" t="s">
        <v>837</v>
      </c>
      <c r="C395" s="24"/>
      <c r="D395" s="199">
        <f>D396</f>
        <v>43566.44</v>
      </c>
      <c r="E395" s="31">
        <f t="shared" ref="E395:AE395" si="65">E396</f>
        <v>0</v>
      </c>
      <c r="F395" s="31">
        <f t="shared" si="65"/>
        <v>0</v>
      </c>
      <c r="G395" s="31">
        <f t="shared" si="65"/>
        <v>0</v>
      </c>
      <c r="H395" s="31">
        <f t="shared" si="65"/>
        <v>0</v>
      </c>
      <c r="I395" s="31">
        <f t="shared" si="65"/>
        <v>0</v>
      </c>
      <c r="J395" s="31">
        <f t="shared" si="65"/>
        <v>0</v>
      </c>
      <c r="K395" s="67">
        <f t="shared" si="65"/>
        <v>0</v>
      </c>
      <c r="L395" s="31">
        <f t="shared" si="65"/>
        <v>0</v>
      </c>
      <c r="M395" s="31">
        <f t="shared" si="65"/>
        <v>0</v>
      </c>
      <c r="N395" s="31">
        <f t="shared" si="65"/>
        <v>0</v>
      </c>
      <c r="O395" s="31">
        <f t="shared" si="65"/>
        <v>0</v>
      </c>
      <c r="P395" s="31">
        <f t="shared" si="65"/>
        <v>0</v>
      </c>
      <c r="Q395" s="31">
        <f t="shared" si="65"/>
        <v>0</v>
      </c>
      <c r="R395" s="31">
        <f t="shared" si="65"/>
        <v>0</v>
      </c>
      <c r="S395" s="31">
        <f t="shared" si="65"/>
        <v>0</v>
      </c>
      <c r="T395" s="31">
        <f t="shared" si="65"/>
        <v>0</v>
      </c>
      <c r="U395" s="31">
        <f t="shared" si="65"/>
        <v>0</v>
      </c>
      <c r="V395" s="31">
        <f t="shared" si="65"/>
        <v>0</v>
      </c>
      <c r="W395" s="31">
        <f t="shared" si="65"/>
        <v>0</v>
      </c>
      <c r="X395" s="31">
        <f t="shared" si="65"/>
        <v>0</v>
      </c>
      <c r="Y395" s="31">
        <f t="shared" si="65"/>
        <v>0</v>
      </c>
      <c r="Z395" s="31">
        <f t="shared" si="65"/>
        <v>0</v>
      </c>
      <c r="AA395" s="31">
        <f t="shared" si="65"/>
        <v>0</v>
      </c>
      <c r="AB395" s="31">
        <f t="shared" si="65"/>
        <v>0</v>
      </c>
      <c r="AC395" s="31">
        <f t="shared" si="65"/>
        <v>0</v>
      </c>
      <c r="AD395" s="31">
        <f t="shared" si="65"/>
        <v>43566.44</v>
      </c>
      <c r="AE395" s="31">
        <f t="shared" si="65"/>
        <v>0</v>
      </c>
      <c r="AF395" s="65" t="s">
        <v>751</v>
      </c>
      <c r="AG395" s="65" t="s">
        <v>751</v>
      </c>
      <c r="AH395" s="79" t="s">
        <v>751</v>
      </c>
      <c r="AT395" s="20" t="e">
        <f>VLOOKUP(C395,AW:AX,2,FALSE)</f>
        <v>#N/A</v>
      </c>
      <c r="BZ395" s="64">
        <v>1547699.36</v>
      </c>
      <c r="CD395" s="20" t="e">
        <f t="shared" si="64"/>
        <v>#N/A</v>
      </c>
    </row>
    <row r="396" spans="1:82" s="154" customFormat="1" ht="123" x14ac:dyDescent="0.85">
      <c r="A396" s="154">
        <v>1</v>
      </c>
      <c r="B396" s="60">
        <f>SUBTOTAL(103,$A$22:A396)</f>
        <v>347</v>
      </c>
      <c r="C396" s="155" t="s">
        <v>167</v>
      </c>
      <c r="D396" s="116">
        <f>E396+F396+G396+H396+I396+J396+L396+N396+P396+R396+T396+U396+V396+W396+X396+Y396+Z396+AA396+AB396+AC396+AD396+AE396</f>
        <v>43566.44</v>
      </c>
      <c r="E396" s="116">
        <v>0</v>
      </c>
      <c r="F396" s="116">
        <v>0</v>
      </c>
      <c r="G396" s="116">
        <v>0</v>
      </c>
      <c r="H396" s="116">
        <v>0</v>
      </c>
      <c r="I396" s="116">
        <v>0</v>
      </c>
      <c r="J396" s="116">
        <v>0</v>
      </c>
      <c r="K396" s="109">
        <v>0</v>
      </c>
      <c r="L396" s="116">
        <v>0</v>
      </c>
      <c r="M396" s="116">
        <v>0</v>
      </c>
      <c r="N396" s="116">
        <v>0</v>
      </c>
      <c r="O396" s="116">
        <v>0</v>
      </c>
      <c r="P396" s="116">
        <v>0</v>
      </c>
      <c r="Q396" s="116">
        <v>0</v>
      </c>
      <c r="R396" s="116">
        <v>0</v>
      </c>
      <c r="S396" s="116">
        <v>0</v>
      </c>
      <c r="T396" s="116">
        <v>0</v>
      </c>
      <c r="U396" s="116">
        <v>0</v>
      </c>
      <c r="V396" s="116">
        <v>0</v>
      </c>
      <c r="W396" s="116">
        <v>0</v>
      </c>
      <c r="X396" s="116">
        <v>0</v>
      </c>
      <c r="Y396" s="116">
        <v>0</v>
      </c>
      <c r="Z396" s="116">
        <v>0</v>
      </c>
      <c r="AA396" s="116">
        <v>0</v>
      </c>
      <c r="AB396" s="116">
        <v>0</v>
      </c>
      <c r="AC396" s="116">
        <f>ROUND(N396*1.5%,2)</f>
        <v>0</v>
      </c>
      <c r="AD396" s="116">
        <v>43566.44</v>
      </c>
      <c r="AE396" s="116">
        <v>0</v>
      </c>
      <c r="AF396" s="156">
        <v>2020</v>
      </c>
      <c r="AG396" s="156" t="s">
        <v>268</v>
      </c>
      <c r="AH396" s="156" t="s">
        <v>268</v>
      </c>
      <c r="AT396" s="154" t="e">
        <f>VLOOKUP(C396,AW:AX,2,FALSE)</f>
        <v>#N/A</v>
      </c>
      <c r="BZ396" s="158"/>
      <c r="CD396" s="154">
        <f t="shared" si="64"/>
        <v>336.14</v>
      </c>
    </row>
    <row r="397" spans="1:82" ht="61.5" x14ac:dyDescent="0.85">
      <c r="B397" s="24" t="s">
        <v>836</v>
      </c>
      <c r="C397" s="24"/>
      <c r="D397" s="199">
        <f>SUM(D398:D401)</f>
        <v>4166442.5</v>
      </c>
      <c r="E397" s="31">
        <f t="shared" ref="E397:AE397" si="66">SUM(E398:E401)</f>
        <v>0</v>
      </c>
      <c r="F397" s="31">
        <f t="shared" si="66"/>
        <v>0</v>
      </c>
      <c r="G397" s="31">
        <f t="shared" si="66"/>
        <v>0</v>
      </c>
      <c r="H397" s="31">
        <f t="shared" si="66"/>
        <v>0</v>
      </c>
      <c r="I397" s="31">
        <f t="shared" si="66"/>
        <v>0</v>
      </c>
      <c r="J397" s="31">
        <f t="shared" si="66"/>
        <v>0</v>
      </c>
      <c r="K397" s="67">
        <f t="shared" si="66"/>
        <v>0</v>
      </c>
      <c r="L397" s="31">
        <f t="shared" si="66"/>
        <v>0</v>
      </c>
      <c r="M397" s="31">
        <f t="shared" si="66"/>
        <v>542.66</v>
      </c>
      <c r="N397" s="31">
        <f t="shared" si="66"/>
        <v>2207932.36</v>
      </c>
      <c r="O397" s="31">
        <f t="shared" si="66"/>
        <v>0</v>
      </c>
      <c r="P397" s="31">
        <f t="shared" si="66"/>
        <v>0</v>
      </c>
      <c r="Q397" s="31">
        <f t="shared" si="66"/>
        <v>437.5</v>
      </c>
      <c r="R397" s="31">
        <f t="shared" si="66"/>
        <v>1813992.23</v>
      </c>
      <c r="S397" s="31">
        <f t="shared" si="66"/>
        <v>0</v>
      </c>
      <c r="T397" s="31">
        <f t="shared" si="66"/>
        <v>0</v>
      </c>
      <c r="U397" s="31">
        <f t="shared" si="66"/>
        <v>0</v>
      </c>
      <c r="V397" s="31">
        <f t="shared" si="66"/>
        <v>0</v>
      </c>
      <c r="W397" s="31">
        <f t="shared" si="66"/>
        <v>0</v>
      </c>
      <c r="X397" s="31">
        <f t="shared" si="66"/>
        <v>0</v>
      </c>
      <c r="Y397" s="31">
        <f t="shared" si="66"/>
        <v>0</v>
      </c>
      <c r="Z397" s="31">
        <f t="shared" si="66"/>
        <v>0</v>
      </c>
      <c r="AA397" s="31">
        <f t="shared" si="66"/>
        <v>0</v>
      </c>
      <c r="AB397" s="31">
        <f t="shared" si="66"/>
        <v>0</v>
      </c>
      <c r="AC397" s="31">
        <f t="shared" si="66"/>
        <v>17958.52</v>
      </c>
      <c r="AD397" s="31">
        <f t="shared" si="66"/>
        <v>126559.39</v>
      </c>
      <c r="AE397" s="31">
        <f t="shared" si="66"/>
        <v>0</v>
      </c>
      <c r="AF397" s="65" t="s">
        <v>751</v>
      </c>
      <c r="AG397" s="65" t="s">
        <v>751</v>
      </c>
      <c r="AH397" s="79" t="s">
        <v>751</v>
      </c>
      <c r="AT397" s="20" t="e">
        <f>VLOOKUP(C397,AW:AX,2,FALSE)</f>
        <v>#N/A</v>
      </c>
      <c r="BZ397" s="64">
        <v>7290181.6600000001</v>
      </c>
      <c r="CC397" s="31">
        <v>6271514.3100000005</v>
      </c>
      <c r="CD397" s="20" t="e">
        <f t="shared" si="64"/>
        <v>#N/A</v>
      </c>
    </row>
    <row r="398" spans="1:82" ht="61.5" x14ac:dyDescent="0.85">
      <c r="A398" s="20">
        <v>1</v>
      </c>
      <c r="B398" s="60">
        <f>SUBTOTAL(103,$A$22:A398)</f>
        <v>348</v>
      </c>
      <c r="C398" s="24" t="s">
        <v>181</v>
      </c>
      <c r="D398" s="31">
        <f>E398+F398+G398+H398+I398+J398+L398+N398+P398+R398+T398+U398+V398+W398+X398+Y398+Z398+AA398+AB398+AC398+AD398+AE398</f>
        <v>71741.72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0</v>
      </c>
      <c r="K398" s="67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0</v>
      </c>
      <c r="AC398" s="31">
        <f>ROUND(R398*1.5%,2)</f>
        <v>0</v>
      </c>
      <c r="AD398" s="38">
        <v>71741.72</v>
      </c>
      <c r="AE398" s="31">
        <v>0</v>
      </c>
      <c r="AF398" s="33">
        <v>2020</v>
      </c>
      <c r="AG398" s="33" t="s">
        <v>268</v>
      </c>
      <c r="AH398" s="33" t="s">
        <v>268</v>
      </c>
      <c r="AT398" s="20" t="e">
        <f>VLOOKUP(C398,AW:AX,2,FALSE)</f>
        <v>#N/A</v>
      </c>
      <c r="BZ398" s="64"/>
      <c r="CD398" s="20" t="e">
        <f t="shared" si="64"/>
        <v>#N/A</v>
      </c>
    </row>
    <row r="399" spans="1:82" ht="61.5" x14ac:dyDescent="0.85">
      <c r="A399" s="20">
        <v>1</v>
      </c>
      <c r="B399" s="60">
        <f>SUBTOTAL(103,$A$22:A399)</f>
        <v>349</v>
      </c>
      <c r="C399" s="24" t="s">
        <v>1227</v>
      </c>
      <c r="D399" s="31">
        <f>E399+F399+G399+H399+I399+J399+L399+N399+P399+R399+T399+U399+V399+W399+X399+Y399+Z399+AA399+AB399+AC399+AD399+AE399</f>
        <v>1831950.75</v>
      </c>
      <c r="E399" s="31">
        <v>0</v>
      </c>
      <c r="F399" s="31">
        <v>0</v>
      </c>
      <c r="G399" s="31">
        <v>0</v>
      </c>
      <c r="H399" s="31">
        <v>0</v>
      </c>
      <c r="I399" s="31">
        <v>0</v>
      </c>
      <c r="J399" s="31">
        <v>0</v>
      </c>
      <c r="K399" s="67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8">
        <v>437.5</v>
      </c>
      <c r="R399" s="38">
        <v>1813992.23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0</v>
      </c>
      <c r="AC399" s="38">
        <v>17958.52</v>
      </c>
      <c r="AD399" s="31">
        <v>0</v>
      </c>
      <c r="AE399" s="31">
        <v>0</v>
      </c>
      <c r="AF399" s="33" t="s">
        <v>268</v>
      </c>
      <c r="AG399" s="33">
        <v>2020</v>
      </c>
      <c r="AH399" s="34">
        <v>2020</v>
      </c>
      <c r="BZ399" s="64"/>
      <c r="CD399" s="20" t="e">
        <f t="shared" si="64"/>
        <v>#N/A</v>
      </c>
    </row>
    <row r="400" spans="1:82" ht="61.5" x14ac:dyDescent="0.85">
      <c r="A400" s="20">
        <v>1</v>
      </c>
      <c r="B400" s="60">
        <f>SUBTOTAL(103,$A$22:A400)</f>
        <v>350</v>
      </c>
      <c r="C400" s="24" t="s">
        <v>1228</v>
      </c>
      <c r="D400" s="31">
        <f>E400+F400+G400+H400+I400+J400+L400+N400+P400+R400+T400+U400+V400+W400+X400+Y400+Z400+AA400+AB400+AC400+AD400+AE400</f>
        <v>2207932.36</v>
      </c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v>0</v>
      </c>
      <c r="K400" s="67">
        <v>0</v>
      </c>
      <c r="L400" s="31">
        <v>0</v>
      </c>
      <c r="M400" s="38">
        <v>542.66</v>
      </c>
      <c r="N400" s="38">
        <v>2207932.36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0</v>
      </c>
      <c r="AC400" s="31">
        <v>0</v>
      </c>
      <c r="AD400" s="31">
        <v>0</v>
      </c>
      <c r="AE400" s="31">
        <v>0</v>
      </c>
      <c r="AF400" s="33" t="s">
        <v>268</v>
      </c>
      <c r="AG400" s="33">
        <v>2020</v>
      </c>
      <c r="AH400" s="34" t="s">
        <v>268</v>
      </c>
      <c r="BZ400" s="64"/>
      <c r="CD400" s="20">
        <f t="shared" si="64"/>
        <v>542.66</v>
      </c>
    </row>
    <row r="401" spans="1:82" ht="61.5" x14ac:dyDescent="0.85">
      <c r="A401" s="20">
        <v>1</v>
      </c>
      <c r="B401" s="60">
        <f>SUBTOTAL(103,$A$22:A401)</f>
        <v>351</v>
      </c>
      <c r="C401" s="24" t="s">
        <v>1568</v>
      </c>
      <c r="D401" s="31">
        <f>E401+F401+G401+H401+I401+J401+L401+N401+P401+R401+T401+U401+V401+W401+X401+Y401+Z401+AA401+AB401+AC401+AD401+AE401</f>
        <v>54817.67</v>
      </c>
      <c r="E401" s="31">
        <v>0</v>
      </c>
      <c r="F401" s="31">
        <v>0</v>
      </c>
      <c r="G401" s="31">
        <v>0</v>
      </c>
      <c r="H401" s="31">
        <v>0</v>
      </c>
      <c r="I401" s="31">
        <v>0</v>
      </c>
      <c r="J401" s="31">
        <v>0</v>
      </c>
      <c r="K401" s="67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  <c r="AC401" s="31">
        <f>ROUND(U401*1.5%,2)</f>
        <v>0</v>
      </c>
      <c r="AD401" s="38">
        <v>54817.67</v>
      </c>
      <c r="AE401" s="31">
        <v>0</v>
      </c>
      <c r="AF401" s="33">
        <v>2020</v>
      </c>
      <c r="AG401" s="33" t="s">
        <v>268</v>
      </c>
      <c r="AH401" s="33" t="s">
        <v>268</v>
      </c>
      <c r="BZ401" s="64"/>
      <c r="CD401" s="20" t="e">
        <f t="shared" si="64"/>
        <v>#N/A</v>
      </c>
    </row>
    <row r="402" spans="1:82" ht="61.5" x14ac:dyDescent="0.85">
      <c r="B402" s="24" t="s">
        <v>871</v>
      </c>
      <c r="C402" s="24"/>
      <c r="D402" s="199">
        <f>D403</f>
        <v>2786770.47</v>
      </c>
      <c r="E402" s="31">
        <f t="shared" ref="E402:AE402" si="67">E403</f>
        <v>0</v>
      </c>
      <c r="F402" s="31">
        <f t="shared" si="67"/>
        <v>0</v>
      </c>
      <c r="G402" s="31">
        <f t="shared" si="67"/>
        <v>0</v>
      </c>
      <c r="H402" s="31">
        <f t="shared" si="67"/>
        <v>0</v>
      </c>
      <c r="I402" s="31">
        <f t="shared" si="67"/>
        <v>0</v>
      </c>
      <c r="J402" s="31">
        <f t="shared" si="67"/>
        <v>0</v>
      </c>
      <c r="K402" s="67">
        <f t="shared" si="67"/>
        <v>0</v>
      </c>
      <c r="L402" s="31">
        <f t="shared" si="67"/>
        <v>0</v>
      </c>
      <c r="M402" s="31">
        <f t="shared" si="67"/>
        <v>0</v>
      </c>
      <c r="N402" s="31">
        <f t="shared" si="67"/>
        <v>0</v>
      </c>
      <c r="O402" s="31">
        <f t="shared" si="67"/>
        <v>0</v>
      </c>
      <c r="P402" s="31">
        <f t="shared" si="67"/>
        <v>0</v>
      </c>
      <c r="Q402" s="31">
        <f t="shared" si="67"/>
        <v>818.41</v>
      </c>
      <c r="R402" s="31">
        <f t="shared" si="67"/>
        <v>2759451.89</v>
      </c>
      <c r="S402" s="31">
        <f t="shared" si="67"/>
        <v>0</v>
      </c>
      <c r="T402" s="31">
        <f t="shared" si="67"/>
        <v>0</v>
      </c>
      <c r="U402" s="31">
        <f t="shared" si="67"/>
        <v>0</v>
      </c>
      <c r="V402" s="31">
        <f t="shared" si="67"/>
        <v>0</v>
      </c>
      <c r="W402" s="31">
        <f t="shared" si="67"/>
        <v>0</v>
      </c>
      <c r="X402" s="31">
        <f t="shared" si="67"/>
        <v>0</v>
      </c>
      <c r="Y402" s="31">
        <f t="shared" si="67"/>
        <v>0</v>
      </c>
      <c r="Z402" s="31">
        <f t="shared" si="67"/>
        <v>0</v>
      </c>
      <c r="AA402" s="31">
        <f t="shared" si="67"/>
        <v>0</v>
      </c>
      <c r="AB402" s="31">
        <f t="shared" si="67"/>
        <v>0</v>
      </c>
      <c r="AC402" s="31">
        <f t="shared" si="67"/>
        <v>27318.58</v>
      </c>
      <c r="AD402" s="31">
        <f t="shared" si="67"/>
        <v>0</v>
      </c>
      <c r="AE402" s="31">
        <f t="shared" si="67"/>
        <v>0</v>
      </c>
      <c r="AF402" s="65" t="s">
        <v>751</v>
      </c>
      <c r="AG402" s="65" t="s">
        <v>751</v>
      </c>
      <c r="AH402" s="79" t="s">
        <v>751</v>
      </c>
      <c r="BZ402" s="64">
        <v>3230853.85</v>
      </c>
      <c r="CC402" s="31">
        <v>3334643.9899999998</v>
      </c>
      <c r="CD402" s="20" t="e">
        <f t="shared" si="64"/>
        <v>#N/A</v>
      </c>
    </row>
    <row r="403" spans="1:82" ht="61.5" x14ac:dyDescent="0.85">
      <c r="A403" s="20">
        <v>1</v>
      </c>
      <c r="B403" s="60">
        <f>SUBTOTAL(103,$A$22:A403)</f>
        <v>352</v>
      </c>
      <c r="C403" s="24" t="s">
        <v>1230</v>
      </c>
      <c r="D403" s="31">
        <f>E403+F403+G403+H403+I403+J403+L403+N403+P403+R403+T403+U403+V403+W403+X403+Y403+Z403+AA403+AB403+AC403+AD403+AE403</f>
        <v>2786770.47</v>
      </c>
      <c r="E403" s="31">
        <v>0</v>
      </c>
      <c r="F403" s="31">
        <v>0</v>
      </c>
      <c r="G403" s="31">
        <v>0</v>
      </c>
      <c r="H403" s="31">
        <v>0</v>
      </c>
      <c r="I403" s="31">
        <v>0</v>
      </c>
      <c r="J403" s="31">
        <v>0</v>
      </c>
      <c r="K403" s="67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8">
        <v>818.41</v>
      </c>
      <c r="R403" s="38">
        <v>2759451.89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  <c r="AC403" s="38">
        <v>27318.58</v>
      </c>
      <c r="AD403" s="31">
        <v>0</v>
      </c>
      <c r="AE403" s="31">
        <v>0</v>
      </c>
      <c r="AF403" s="33" t="s">
        <v>268</v>
      </c>
      <c r="AG403" s="33">
        <v>2020</v>
      </c>
      <c r="AH403" s="34">
        <v>2020</v>
      </c>
      <c r="BZ403" s="64"/>
      <c r="CD403" s="20" t="e">
        <f t="shared" si="64"/>
        <v>#N/A</v>
      </c>
    </row>
    <row r="404" spans="1:82" ht="61.5" x14ac:dyDescent="0.85">
      <c r="B404" s="24" t="s">
        <v>838</v>
      </c>
      <c r="C404" s="198"/>
      <c r="D404" s="199">
        <f t="shared" ref="D404:AE404" si="68">SUM(D405:D411)</f>
        <v>8480737.0799999982</v>
      </c>
      <c r="E404" s="31">
        <f t="shared" si="68"/>
        <v>0</v>
      </c>
      <c r="F404" s="31">
        <f t="shared" si="68"/>
        <v>0</v>
      </c>
      <c r="G404" s="31">
        <f t="shared" si="68"/>
        <v>0</v>
      </c>
      <c r="H404" s="31">
        <f t="shared" si="68"/>
        <v>0</v>
      </c>
      <c r="I404" s="31">
        <f t="shared" si="68"/>
        <v>0</v>
      </c>
      <c r="J404" s="31">
        <f t="shared" si="68"/>
        <v>0</v>
      </c>
      <c r="K404" s="67">
        <f t="shared" si="68"/>
        <v>0</v>
      </c>
      <c r="L404" s="31">
        <f t="shared" si="68"/>
        <v>0</v>
      </c>
      <c r="M404" s="31">
        <f t="shared" si="68"/>
        <v>2092.46</v>
      </c>
      <c r="N404" s="31">
        <f t="shared" si="68"/>
        <v>7827572.0800000001</v>
      </c>
      <c r="O404" s="31">
        <f t="shared" si="68"/>
        <v>0</v>
      </c>
      <c r="P404" s="31">
        <f t="shared" si="68"/>
        <v>0</v>
      </c>
      <c r="Q404" s="31">
        <f t="shared" si="68"/>
        <v>0</v>
      </c>
      <c r="R404" s="31">
        <f t="shared" si="68"/>
        <v>0</v>
      </c>
      <c r="S404" s="31">
        <f t="shared" si="68"/>
        <v>0</v>
      </c>
      <c r="T404" s="31">
        <f t="shared" si="68"/>
        <v>0</v>
      </c>
      <c r="U404" s="31">
        <f t="shared" si="68"/>
        <v>0</v>
      </c>
      <c r="V404" s="31">
        <f t="shared" si="68"/>
        <v>0</v>
      </c>
      <c r="W404" s="31">
        <f t="shared" si="68"/>
        <v>0</v>
      </c>
      <c r="X404" s="31">
        <f t="shared" si="68"/>
        <v>0</v>
      </c>
      <c r="Y404" s="31">
        <f t="shared" si="68"/>
        <v>0</v>
      </c>
      <c r="Z404" s="31">
        <f t="shared" si="68"/>
        <v>0</v>
      </c>
      <c r="AA404" s="31">
        <f t="shared" si="68"/>
        <v>0</v>
      </c>
      <c r="AB404" s="31">
        <f t="shared" si="68"/>
        <v>0</v>
      </c>
      <c r="AC404" s="31">
        <f t="shared" si="68"/>
        <v>75981.540000000008</v>
      </c>
      <c r="AD404" s="31">
        <f t="shared" si="68"/>
        <v>577183.46</v>
      </c>
      <c r="AE404" s="31">
        <f t="shared" si="68"/>
        <v>0</v>
      </c>
      <c r="AF404" s="65" t="s">
        <v>751</v>
      </c>
      <c r="AG404" s="65" t="s">
        <v>751</v>
      </c>
      <c r="AH404" s="79" t="s">
        <v>751</v>
      </c>
      <c r="AT404" s="20" t="e">
        <f>VLOOKUP(C404,AW:AX,2,FALSE)</f>
        <v>#N/A</v>
      </c>
      <c r="BZ404" s="64">
        <v>22440468.149999999</v>
      </c>
      <c r="CD404" s="20" t="e">
        <f t="shared" si="64"/>
        <v>#N/A</v>
      </c>
    </row>
    <row r="405" spans="1:82" ht="61.5" x14ac:dyDescent="0.85">
      <c r="A405" s="20">
        <v>1</v>
      </c>
      <c r="B405" s="60">
        <f>SUBTOTAL(103,$A$22:A405)</f>
        <v>353</v>
      </c>
      <c r="C405" s="24" t="s">
        <v>75</v>
      </c>
      <c r="D405" s="31">
        <f t="shared" ref="D405:D411" si="69">E405+F405+G405+H405+I405+J405+L405+N405+P405+R405+T405+U405+V405+W405+X405+Y405+Z405+AA405+AB405+AC405+AD405+AE405</f>
        <v>2519278.3999999994</v>
      </c>
      <c r="E405" s="31">
        <v>0</v>
      </c>
      <c r="F405" s="31">
        <v>0</v>
      </c>
      <c r="G405" s="31">
        <v>0</v>
      </c>
      <c r="H405" s="31">
        <v>0</v>
      </c>
      <c r="I405" s="31">
        <v>0</v>
      </c>
      <c r="J405" s="31">
        <v>0</v>
      </c>
      <c r="K405" s="67">
        <v>0</v>
      </c>
      <c r="L405" s="31">
        <v>0</v>
      </c>
      <c r="M405" s="38">
        <v>625</v>
      </c>
      <c r="N405" s="38">
        <v>2404974.7999999998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0</v>
      </c>
      <c r="AC405" s="38">
        <v>14429.84</v>
      </c>
      <c r="AD405" s="38">
        <v>99873.76</v>
      </c>
      <c r="AE405" s="31">
        <v>0</v>
      </c>
      <c r="AF405" s="33">
        <v>2020</v>
      </c>
      <c r="AG405" s="33">
        <v>2020</v>
      </c>
      <c r="AH405" s="34">
        <v>2020</v>
      </c>
      <c r="AT405" s="20" t="e">
        <f>VLOOKUP(C405,AW:AX,2,FALSE)</f>
        <v>#N/A</v>
      </c>
      <c r="BZ405" s="64"/>
      <c r="CD405" s="20" t="e">
        <f t="shared" si="64"/>
        <v>#N/A</v>
      </c>
    </row>
    <row r="406" spans="1:82" ht="61.5" x14ac:dyDescent="0.85">
      <c r="A406" s="20">
        <v>1</v>
      </c>
      <c r="B406" s="60">
        <f>SUBTOTAL(103,$A$22:A406)</f>
        <v>354</v>
      </c>
      <c r="C406" s="24" t="s">
        <v>74</v>
      </c>
      <c r="D406" s="31">
        <f t="shared" si="69"/>
        <v>2316768.9099999997</v>
      </c>
      <c r="E406" s="31">
        <v>0</v>
      </c>
      <c r="F406" s="31">
        <v>0</v>
      </c>
      <c r="G406" s="31">
        <v>0</v>
      </c>
      <c r="H406" s="31">
        <v>0</v>
      </c>
      <c r="I406" s="31">
        <v>0</v>
      </c>
      <c r="J406" s="31">
        <v>0</v>
      </c>
      <c r="K406" s="67">
        <v>0</v>
      </c>
      <c r="L406" s="31">
        <v>0</v>
      </c>
      <c r="M406" s="38">
        <v>492.3</v>
      </c>
      <c r="N406" s="144">
        <v>2171491.13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  <c r="AC406" s="38">
        <v>13028.94</v>
      </c>
      <c r="AD406" s="38">
        <v>132248.84</v>
      </c>
      <c r="AE406" s="31">
        <v>0</v>
      </c>
      <c r="AF406" s="33">
        <v>2020</v>
      </c>
      <c r="AG406" s="33">
        <v>2020</v>
      </c>
      <c r="AH406" s="34">
        <v>2020</v>
      </c>
      <c r="AT406" s="20" t="e">
        <f>VLOOKUP(C406,AW:AX,2,FALSE)</f>
        <v>#N/A</v>
      </c>
      <c r="BZ406" s="64"/>
      <c r="CD406" s="20" t="e">
        <f t="shared" si="64"/>
        <v>#N/A</v>
      </c>
    </row>
    <row r="407" spans="1:82" ht="61.5" x14ac:dyDescent="0.85">
      <c r="A407" s="20">
        <v>1</v>
      </c>
      <c r="B407" s="60">
        <f>SUBTOTAL(103,$A$22:A407)</f>
        <v>355</v>
      </c>
      <c r="C407" s="24" t="s">
        <v>76</v>
      </c>
      <c r="D407" s="31">
        <f t="shared" si="69"/>
        <v>132502.74</v>
      </c>
      <c r="E407" s="31">
        <v>0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67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0</v>
      </c>
      <c r="AC407" s="31">
        <f>ROUND(N407*1.5%,2)</f>
        <v>0</v>
      </c>
      <c r="AD407" s="38">
        <v>132502.74</v>
      </c>
      <c r="AE407" s="31">
        <v>0</v>
      </c>
      <c r="AF407" s="33">
        <v>2020</v>
      </c>
      <c r="AG407" s="33" t="s">
        <v>268</v>
      </c>
      <c r="AH407" s="33" t="s">
        <v>268</v>
      </c>
      <c r="AT407" s="20" t="e">
        <f>VLOOKUP(C407,AW:AX,2,FALSE)</f>
        <v>#N/A</v>
      </c>
      <c r="BZ407" s="64"/>
      <c r="CD407" s="20" t="e">
        <f t="shared" si="64"/>
        <v>#N/A</v>
      </c>
    </row>
    <row r="408" spans="1:82" ht="61.5" x14ac:dyDescent="0.85">
      <c r="A408" s="20">
        <v>1</v>
      </c>
      <c r="B408" s="60">
        <f>SUBTOTAL(103,$A$22:A408)</f>
        <v>356</v>
      </c>
      <c r="C408" s="24" t="s">
        <v>1231</v>
      </c>
      <c r="D408" s="31">
        <f t="shared" si="69"/>
        <v>3299628.9099999997</v>
      </c>
      <c r="E408" s="31">
        <v>0</v>
      </c>
      <c r="F408" s="31">
        <v>0</v>
      </c>
      <c r="G408" s="31">
        <v>0</v>
      </c>
      <c r="H408" s="31">
        <v>0</v>
      </c>
      <c r="I408" s="31">
        <v>0</v>
      </c>
      <c r="J408" s="31">
        <v>0</v>
      </c>
      <c r="K408" s="67">
        <v>0</v>
      </c>
      <c r="L408" s="31">
        <v>0</v>
      </c>
      <c r="M408" s="38">
        <v>975.16</v>
      </c>
      <c r="N408" s="38">
        <v>3251106.15</v>
      </c>
      <c r="O408" s="31">
        <v>0</v>
      </c>
      <c r="P408" s="31">
        <v>0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0</v>
      </c>
      <c r="Z408" s="31">
        <v>0</v>
      </c>
      <c r="AA408" s="31">
        <v>0</v>
      </c>
      <c r="AB408" s="31">
        <v>0</v>
      </c>
      <c r="AC408" s="31">
        <f>ROUND(N408*1.4925%,2)</f>
        <v>48522.76</v>
      </c>
      <c r="AD408" s="31">
        <v>0</v>
      </c>
      <c r="AE408" s="31">
        <v>0</v>
      </c>
      <c r="AF408" s="33" t="s">
        <v>268</v>
      </c>
      <c r="AG408" s="33">
        <v>2020</v>
      </c>
      <c r="AH408" s="34">
        <v>2020</v>
      </c>
      <c r="BZ408" s="64"/>
      <c r="CD408" s="20">
        <f t="shared" si="64"/>
        <v>975.2</v>
      </c>
    </row>
    <row r="409" spans="1:82" ht="61.5" x14ac:dyDescent="0.85">
      <c r="A409" s="20">
        <v>1</v>
      </c>
      <c r="B409" s="60">
        <f>SUBTOTAL(103,$A$22:A409)</f>
        <v>357</v>
      </c>
      <c r="C409" s="24" t="s">
        <v>79</v>
      </c>
      <c r="D409" s="31">
        <f t="shared" si="69"/>
        <v>60672.79</v>
      </c>
      <c r="E409" s="31">
        <v>0</v>
      </c>
      <c r="F409" s="31">
        <v>0</v>
      </c>
      <c r="G409" s="31">
        <v>0</v>
      </c>
      <c r="H409" s="31">
        <v>0</v>
      </c>
      <c r="I409" s="31">
        <v>0</v>
      </c>
      <c r="J409" s="31">
        <v>0</v>
      </c>
      <c r="K409" s="67">
        <v>0</v>
      </c>
      <c r="L409" s="31">
        <v>0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  <c r="AA409" s="31">
        <v>0</v>
      </c>
      <c r="AB409" s="31">
        <v>0</v>
      </c>
      <c r="AC409" s="31">
        <f>ROUND(N409*1.5%,2)</f>
        <v>0</v>
      </c>
      <c r="AD409" s="31">
        <v>60672.79</v>
      </c>
      <c r="AE409" s="31">
        <v>0</v>
      </c>
      <c r="AF409" s="33">
        <v>2020</v>
      </c>
      <c r="AG409" s="33" t="s">
        <v>268</v>
      </c>
      <c r="AH409" s="33" t="s">
        <v>268</v>
      </c>
      <c r="AT409" s="20" t="e">
        <v>#N/A</v>
      </c>
      <c r="BZ409" s="64"/>
      <c r="CD409" s="20" t="e">
        <v>#N/A</v>
      </c>
    </row>
    <row r="410" spans="1:82" ht="61.5" x14ac:dyDescent="0.85">
      <c r="A410" s="20">
        <v>1</v>
      </c>
      <c r="B410" s="60">
        <f>SUBTOTAL(103,$A$22:A410)</f>
        <v>358</v>
      </c>
      <c r="C410" s="24" t="s">
        <v>80</v>
      </c>
      <c r="D410" s="31">
        <f t="shared" si="69"/>
        <v>60672.79</v>
      </c>
      <c r="E410" s="31">
        <v>0</v>
      </c>
      <c r="F410" s="31">
        <v>0</v>
      </c>
      <c r="G410" s="31">
        <v>0</v>
      </c>
      <c r="H410" s="31">
        <v>0</v>
      </c>
      <c r="I410" s="31">
        <v>0</v>
      </c>
      <c r="J410" s="31">
        <v>0</v>
      </c>
      <c r="K410" s="67">
        <v>0</v>
      </c>
      <c r="L410" s="31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0</v>
      </c>
      <c r="Z410" s="31">
        <v>0</v>
      </c>
      <c r="AA410" s="31">
        <v>0</v>
      </c>
      <c r="AB410" s="31">
        <v>0</v>
      </c>
      <c r="AC410" s="31">
        <f>ROUND(N410*1.5%,2)</f>
        <v>0</v>
      </c>
      <c r="AD410" s="31">
        <v>60672.79</v>
      </c>
      <c r="AE410" s="31">
        <v>0</v>
      </c>
      <c r="AF410" s="33">
        <v>2020</v>
      </c>
      <c r="AG410" s="33" t="s">
        <v>268</v>
      </c>
      <c r="AH410" s="33" t="s">
        <v>268</v>
      </c>
      <c r="AT410" s="20" t="e">
        <v>#N/A</v>
      </c>
      <c r="BZ410" s="64"/>
      <c r="CD410" s="20" t="e">
        <v>#N/A</v>
      </c>
    </row>
    <row r="411" spans="1:82" ht="61.5" x14ac:dyDescent="0.85">
      <c r="A411" s="20">
        <v>1</v>
      </c>
      <c r="B411" s="60">
        <f>SUBTOTAL(103,$A$22:A411)</f>
        <v>359</v>
      </c>
      <c r="C411" s="24" t="s">
        <v>1675</v>
      </c>
      <c r="D411" s="31">
        <f t="shared" si="69"/>
        <v>91212.54</v>
      </c>
      <c r="E411" s="31">
        <v>0</v>
      </c>
      <c r="F411" s="31">
        <v>0</v>
      </c>
      <c r="G411" s="31">
        <v>0</v>
      </c>
      <c r="H411" s="31">
        <v>0</v>
      </c>
      <c r="I411" s="31">
        <v>0</v>
      </c>
      <c r="J411" s="31">
        <v>0</v>
      </c>
      <c r="K411" s="67">
        <v>0</v>
      </c>
      <c r="L411" s="31">
        <v>0</v>
      </c>
      <c r="M411" s="31">
        <v>0</v>
      </c>
      <c r="N411" s="31">
        <v>0</v>
      </c>
      <c r="O411" s="31">
        <v>0</v>
      </c>
      <c r="P411" s="31">
        <v>0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0</v>
      </c>
      <c r="Z411" s="31">
        <v>0</v>
      </c>
      <c r="AA411" s="31">
        <v>0</v>
      </c>
      <c r="AB411" s="31">
        <v>0</v>
      </c>
      <c r="AC411" s="31">
        <f>ROUND(N411*1.5%,2)</f>
        <v>0</v>
      </c>
      <c r="AD411" s="31">
        <v>91212.54</v>
      </c>
      <c r="AE411" s="31">
        <v>0</v>
      </c>
      <c r="AF411" s="33">
        <v>2020</v>
      </c>
      <c r="AG411" s="33" t="s">
        <v>268</v>
      </c>
      <c r="AH411" s="33" t="s">
        <v>268</v>
      </c>
      <c r="BZ411" s="64"/>
      <c r="CD411" s="20" t="e">
        <v>#N/A</v>
      </c>
    </row>
    <row r="412" spans="1:82" ht="61.5" x14ac:dyDescent="0.85">
      <c r="B412" s="24" t="s">
        <v>839</v>
      </c>
      <c r="C412" s="24"/>
      <c r="D412" s="199">
        <f>D413</f>
        <v>2358530.46</v>
      </c>
      <c r="E412" s="31">
        <f t="shared" ref="E412:AE412" si="70">E413</f>
        <v>0</v>
      </c>
      <c r="F412" s="31">
        <f t="shared" si="70"/>
        <v>0</v>
      </c>
      <c r="G412" s="31">
        <f t="shared" si="70"/>
        <v>0</v>
      </c>
      <c r="H412" s="31">
        <f t="shared" si="70"/>
        <v>0</v>
      </c>
      <c r="I412" s="31">
        <f t="shared" si="70"/>
        <v>0</v>
      </c>
      <c r="J412" s="31">
        <f t="shared" si="70"/>
        <v>0</v>
      </c>
      <c r="K412" s="67">
        <f t="shared" si="70"/>
        <v>0</v>
      </c>
      <c r="L412" s="31">
        <f t="shared" si="70"/>
        <v>0</v>
      </c>
      <c r="M412" s="31">
        <f t="shared" si="70"/>
        <v>540.25</v>
      </c>
      <c r="N412" s="31">
        <f t="shared" si="70"/>
        <v>2261640.71</v>
      </c>
      <c r="O412" s="31">
        <f t="shared" si="70"/>
        <v>0</v>
      </c>
      <c r="P412" s="31">
        <f t="shared" si="70"/>
        <v>0</v>
      </c>
      <c r="Q412" s="31">
        <f t="shared" si="70"/>
        <v>0</v>
      </c>
      <c r="R412" s="31">
        <f t="shared" si="70"/>
        <v>0</v>
      </c>
      <c r="S412" s="31">
        <f t="shared" si="70"/>
        <v>0</v>
      </c>
      <c r="T412" s="31">
        <f t="shared" si="70"/>
        <v>0</v>
      </c>
      <c r="U412" s="31">
        <f t="shared" si="70"/>
        <v>0</v>
      </c>
      <c r="V412" s="31">
        <f t="shared" si="70"/>
        <v>0</v>
      </c>
      <c r="W412" s="31">
        <f t="shared" si="70"/>
        <v>0</v>
      </c>
      <c r="X412" s="31">
        <f t="shared" si="70"/>
        <v>0</v>
      </c>
      <c r="Y412" s="31">
        <f t="shared" si="70"/>
        <v>0</v>
      </c>
      <c r="Z412" s="31">
        <f t="shared" si="70"/>
        <v>0</v>
      </c>
      <c r="AA412" s="31">
        <f t="shared" si="70"/>
        <v>0</v>
      </c>
      <c r="AB412" s="31">
        <f t="shared" si="70"/>
        <v>0</v>
      </c>
      <c r="AC412" s="31">
        <f t="shared" si="70"/>
        <v>13569.84</v>
      </c>
      <c r="AD412" s="31">
        <f t="shared" si="70"/>
        <v>83319.91</v>
      </c>
      <c r="AE412" s="31">
        <f t="shared" si="70"/>
        <v>0</v>
      </c>
      <c r="AF412" s="65" t="s">
        <v>751</v>
      </c>
      <c r="AG412" s="65" t="s">
        <v>751</v>
      </c>
      <c r="AH412" s="79" t="s">
        <v>751</v>
      </c>
      <c r="AT412" s="20" t="e">
        <f>VLOOKUP(C412,AW:AX,2,FALSE)</f>
        <v>#N/A</v>
      </c>
      <c r="BZ412" s="64">
        <v>3182125.2199999997</v>
      </c>
      <c r="CD412" s="20" t="e">
        <f t="shared" ref="CD412:CD444" si="71">VLOOKUP(C412,CE:CF,2,FALSE)</f>
        <v>#N/A</v>
      </c>
    </row>
    <row r="413" spans="1:82" ht="61.5" x14ac:dyDescent="0.85">
      <c r="A413" s="20">
        <v>1</v>
      </c>
      <c r="B413" s="60">
        <f>SUBTOTAL(103,$A$22:A413)</f>
        <v>360</v>
      </c>
      <c r="C413" s="24" t="s">
        <v>77</v>
      </c>
      <c r="D413" s="31">
        <f>E413+F413+G413+H413+I413+J413+L413+N413+P413+R413+T413+U413+V413+W413+X413+Y413+Z413+AA413+AB413+AC413+AD413+AE413</f>
        <v>2358530.46</v>
      </c>
      <c r="E413" s="31">
        <v>0</v>
      </c>
      <c r="F413" s="31">
        <v>0</v>
      </c>
      <c r="G413" s="31">
        <v>0</v>
      </c>
      <c r="H413" s="31">
        <v>0</v>
      </c>
      <c r="I413" s="31">
        <v>0</v>
      </c>
      <c r="J413" s="31">
        <v>0</v>
      </c>
      <c r="K413" s="67">
        <v>0</v>
      </c>
      <c r="L413" s="31">
        <v>0</v>
      </c>
      <c r="M413" s="38">
        <v>540.25</v>
      </c>
      <c r="N413" s="38">
        <v>2261640.71</v>
      </c>
      <c r="O413" s="31">
        <v>0</v>
      </c>
      <c r="P413" s="31">
        <v>0</v>
      </c>
      <c r="Q413" s="31">
        <v>0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0</v>
      </c>
      <c r="Z413" s="31">
        <v>0</v>
      </c>
      <c r="AA413" s="31">
        <v>0</v>
      </c>
      <c r="AB413" s="31">
        <v>0</v>
      </c>
      <c r="AC413" s="38">
        <v>13569.84</v>
      </c>
      <c r="AD413" s="38">
        <v>83319.91</v>
      </c>
      <c r="AE413" s="31">
        <v>0</v>
      </c>
      <c r="AF413" s="33">
        <v>2020</v>
      </c>
      <c r="AG413" s="33">
        <v>2020</v>
      </c>
      <c r="AH413" s="34">
        <v>2020</v>
      </c>
      <c r="AT413" s="20" t="e">
        <f>VLOOKUP(C413,AW:AX,2,FALSE)</f>
        <v>#N/A</v>
      </c>
      <c r="BZ413" s="64"/>
      <c r="CD413" s="20" t="e">
        <f t="shared" si="71"/>
        <v>#N/A</v>
      </c>
    </row>
    <row r="414" spans="1:82" ht="61.5" x14ac:dyDescent="0.85">
      <c r="B414" s="24" t="s">
        <v>872</v>
      </c>
      <c r="C414" s="24"/>
      <c r="D414" s="199">
        <f>SUM(D415:D417)</f>
        <v>178408.21000000002</v>
      </c>
      <c r="E414" s="31">
        <f t="shared" ref="E414:AE414" si="72">SUM(E415:E417)</f>
        <v>0</v>
      </c>
      <c r="F414" s="31">
        <f t="shared" si="72"/>
        <v>0</v>
      </c>
      <c r="G414" s="31">
        <f t="shared" si="72"/>
        <v>0</v>
      </c>
      <c r="H414" s="31">
        <f t="shared" si="72"/>
        <v>86514.08</v>
      </c>
      <c r="I414" s="31">
        <f t="shared" si="72"/>
        <v>0</v>
      </c>
      <c r="J414" s="31">
        <f t="shared" si="72"/>
        <v>0</v>
      </c>
      <c r="K414" s="67">
        <f t="shared" si="72"/>
        <v>0</v>
      </c>
      <c r="L414" s="31">
        <f t="shared" si="72"/>
        <v>0</v>
      </c>
      <c r="M414" s="31">
        <f t="shared" si="72"/>
        <v>0</v>
      </c>
      <c r="N414" s="31">
        <f t="shared" si="72"/>
        <v>0</v>
      </c>
      <c r="O414" s="31">
        <f t="shared" si="72"/>
        <v>0</v>
      </c>
      <c r="P414" s="31">
        <f t="shared" si="72"/>
        <v>0</v>
      </c>
      <c r="Q414" s="31">
        <f t="shared" si="72"/>
        <v>0</v>
      </c>
      <c r="R414" s="31">
        <f t="shared" si="72"/>
        <v>0</v>
      </c>
      <c r="S414" s="31">
        <f t="shared" si="72"/>
        <v>0</v>
      </c>
      <c r="T414" s="31">
        <f t="shared" si="72"/>
        <v>0</v>
      </c>
      <c r="U414" s="31">
        <f t="shared" si="72"/>
        <v>0</v>
      </c>
      <c r="V414" s="31">
        <f t="shared" si="72"/>
        <v>0</v>
      </c>
      <c r="W414" s="31">
        <f t="shared" si="72"/>
        <v>0</v>
      </c>
      <c r="X414" s="31">
        <f t="shared" si="72"/>
        <v>0</v>
      </c>
      <c r="Y414" s="31">
        <f t="shared" si="72"/>
        <v>0</v>
      </c>
      <c r="Z414" s="31">
        <f t="shared" si="72"/>
        <v>0</v>
      </c>
      <c r="AA414" s="31">
        <f t="shared" si="72"/>
        <v>0</v>
      </c>
      <c r="AB414" s="31">
        <f t="shared" si="72"/>
        <v>0</v>
      </c>
      <c r="AC414" s="31">
        <f t="shared" si="72"/>
        <v>1291.22</v>
      </c>
      <c r="AD414" s="31">
        <f t="shared" si="72"/>
        <v>90602.91</v>
      </c>
      <c r="AE414" s="31">
        <f t="shared" si="72"/>
        <v>0</v>
      </c>
      <c r="AF414" s="65" t="s">
        <v>751</v>
      </c>
      <c r="AG414" s="65" t="s">
        <v>751</v>
      </c>
      <c r="AH414" s="79" t="s">
        <v>751</v>
      </c>
      <c r="BZ414" s="64">
        <v>522383.64</v>
      </c>
      <c r="CD414" s="20" t="e">
        <f t="shared" si="71"/>
        <v>#N/A</v>
      </c>
    </row>
    <row r="415" spans="1:82" ht="61.5" x14ac:dyDescent="0.85">
      <c r="A415" s="20">
        <v>1</v>
      </c>
      <c r="B415" s="60">
        <f>SUBTOTAL(103,$A$22:A415)</f>
        <v>361</v>
      </c>
      <c r="C415" s="24" t="s">
        <v>1233</v>
      </c>
      <c r="D415" s="31">
        <f>E415+F415+G415+H415+I415+J415+L415+N415+P415+R415+T415+U415+V415+W415+X415+Y415+Z415+AA415+AB415+AC415+AD415+AE415</f>
        <v>87805.3</v>
      </c>
      <c r="E415" s="31">
        <v>0</v>
      </c>
      <c r="F415" s="31">
        <v>0</v>
      </c>
      <c r="G415" s="31">
        <v>0</v>
      </c>
      <c r="H415" s="38">
        <v>86514.08</v>
      </c>
      <c r="I415" s="31">
        <v>0</v>
      </c>
      <c r="J415" s="31">
        <v>0</v>
      </c>
      <c r="K415" s="67">
        <v>0</v>
      </c>
      <c r="L415" s="31">
        <v>0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  <c r="AA415" s="31">
        <v>0</v>
      </c>
      <c r="AB415" s="31">
        <v>0</v>
      </c>
      <c r="AC415" s="31">
        <f>ROUND((E415+F415+G415+H415+I415+J415)*1.4925%,2)</f>
        <v>1291.22</v>
      </c>
      <c r="AD415" s="31">
        <v>0</v>
      </c>
      <c r="AE415" s="31">
        <v>0</v>
      </c>
      <c r="AF415" s="33" t="s">
        <v>268</v>
      </c>
      <c r="AG415" s="33">
        <v>2020</v>
      </c>
      <c r="AH415" s="34">
        <v>2020</v>
      </c>
      <c r="BZ415" s="64"/>
      <c r="CD415" s="20" t="e">
        <f t="shared" si="71"/>
        <v>#N/A</v>
      </c>
    </row>
    <row r="416" spans="1:82" ht="61.5" x14ac:dyDescent="0.85">
      <c r="A416" s="20">
        <v>1</v>
      </c>
      <c r="B416" s="60">
        <f>SUBTOTAL(103,$A$22:A416)</f>
        <v>362</v>
      </c>
      <c r="C416" s="24" t="s">
        <v>81</v>
      </c>
      <c r="D416" s="31">
        <f>E416+F416+G416+H416+I416+J416+L416+N416+P416+R416+T416+U416+V416+W416+X416+Y416+Z416+AA416+AB416+AC416+AD416+AE416</f>
        <v>50003.71</v>
      </c>
      <c r="E416" s="31">
        <v>0</v>
      </c>
      <c r="F416" s="31">
        <v>0</v>
      </c>
      <c r="G416" s="31">
        <v>0</v>
      </c>
      <c r="H416" s="31">
        <v>0</v>
      </c>
      <c r="I416" s="31">
        <v>0</v>
      </c>
      <c r="J416" s="31">
        <v>0</v>
      </c>
      <c r="K416" s="67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1">
        <v>0</v>
      </c>
      <c r="S416" s="31">
        <v>0</v>
      </c>
      <c r="T416" s="31">
        <v>0</v>
      </c>
      <c r="U416" s="31">
        <v>0</v>
      </c>
      <c r="V416" s="31">
        <v>0</v>
      </c>
      <c r="W416" s="31">
        <v>0</v>
      </c>
      <c r="X416" s="31">
        <v>0</v>
      </c>
      <c r="Y416" s="31">
        <v>0</v>
      </c>
      <c r="Z416" s="31">
        <v>0</v>
      </c>
      <c r="AA416" s="31">
        <v>0</v>
      </c>
      <c r="AB416" s="31">
        <v>0</v>
      </c>
      <c r="AC416" s="31">
        <f>ROUND(N416*1.5%,2)</f>
        <v>0</v>
      </c>
      <c r="AD416" s="31">
        <v>50003.71</v>
      </c>
      <c r="AE416" s="31">
        <v>0</v>
      </c>
      <c r="AF416" s="33">
        <v>2020</v>
      </c>
      <c r="AG416" s="33" t="s">
        <v>268</v>
      </c>
      <c r="AH416" s="33" t="s">
        <v>268</v>
      </c>
      <c r="AT416" s="20" t="e">
        <f>VLOOKUP(C416,AW:AX,2,FALSE)</f>
        <v>#N/A</v>
      </c>
      <c r="BZ416" s="64"/>
      <c r="CD416" s="20" t="e">
        <f t="shared" si="71"/>
        <v>#N/A</v>
      </c>
    </row>
    <row r="417" spans="1:82" ht="61.5" x14ac:dyDescent="0.85">
      <c r="A417" s="20">
        <v>1</v>
      </c>
      <c r="B417" s="60">
        <f>SUBTOTAL(103,$A$22:A417)</f>
        <v>363</v>
      </c>
      <c r="C417" s="24" t="s">
        <v>82</v>
      </c>
      <c r="D417" s="31">
        <f>E417+F417+G417+H417+I417+J417+L417+N417+P417+R417+T417+U417+V417+W417+X417+Y417+Z417+AA417+AB417+AC417+AD417+AE417</f>
        <v>40599.199999999997</v>
      </c>
      <c r="E417" s="31">
        <v>0</v>
      </c>
      <c r="F417" s="31">
        <v>0</v>
      </c>
      <c r="G417" s="31">
        <v>0</v>
      </c>
      <c r="H417" s="31">
        <v>0</v>
      </c>
      <c r="I417" s="31">
        <v>0</v>
      </c>
      <c r="J417" s="31">
        <v>0</v>
      </c>
      <c r="K417" s="67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0</v>
      </c>
      <c r="AC417" s="31">
        <f>ROUND(N417*1.5%,2)</f>
        <v>0</v>
      </c>
      <c r="AD417" s="31">
        <v>40599.199999999997</v>
      </c>
      <c r="AE417" s="31">
        <v>0</v>
      </c>
      <c r="AF417" s="33">
        <v>2020</v>
      </c>
      <c r="AG417" s="33" t="s">
        <v>268</v>
      </c>
      <c r="AH417" s="33" t="s">
        <v>268</v>
      </c>
      <c r="AT417" s="20" t="e">
        <f>VLOOKUP(C417,AW:AX,2,FALSE)</f>
        <v>#N/A</v>
      </c>
      <c r="BZ417" s="64"/>
      <c r="CD417" s="20" t="e">
        <f t="shared" si="71"/>
        <v>#N/A</v>
      </c>
    </row>
    <row r="418" spans="1:82" ht="61.5" x14ac:dyDescent="0.85">
      <c r="B418" s="24" t="s">
        <v>840</v>
      </c>
      <c r="C418" s="198"/>
      <c r="D418" s="199">
        <f t="shared" ref="D418:AE418" si="73">SUM(D419:D421)</f>
        <v>8700170.3300000001</v>
      </c>
      <c r="E418" s="31">
        <f t="shared" si="73"/>
        <v>0</v>
      </c>
      <c r="F418" s="31">
        <f t="shared" si="73"/>
        <v>0</v>
      </c>
      <c r="G418" s="31">
        <f t="shared" si="73"/>
        <v>0</v>
      </c>
      <c r="H418" s="31">
        <f t="shared" si="73"/>
        <v>0</v>
      </c>
      <c r="I418" s="31">
        <f t="shared" si="73"/>
        <v>0</v>
      </c>
      <c r="J418" s="31">
        <f t="shared" si="73"/>
        <v>0</v>
      </c>
      <c r="K418" s="67">
        <f t="shared" si="73"/>
        <v>0</v>
      </c>
      <c r="L418" s="31">
        <f t="shared" si="73"/>
        <v>0</v>
      </c>
      <c r="M418" s="31">
        <f t="shared" si="73"/>
        <v>2296.96</v>
      </c>
      <c r="N418" s="31">
        <f t="shared" si="73"/>
        <v>8569425.0999999996</v>
      </c>
      <c r="O418" s="31">
        <f t="shared" si="73"/>
        <v>0</v>
      </c>
      <c r="P418" s="31">
        <f t="shared" si="73"/>
        <v>0</v>
      </c>
      <c r="Q418" s="31">
        <f t="shared" si="73"/>
        <v>0</v>
      </c>
      <c r="R418" s="31">
        <f t="shared" si="73"/>
        <v>0</v>
      </c>
      <c r="S418" s="31">
        <f t="shared" si="73"/>
        <v>0</v>
      </c>
      <c r="T418" s="31">
        <f t="shared" si="73"/>
        <v>0</v>
      </c>
      <c r="U418" s="31">
        <f t="shared" si="73"/>
        <v>0</v>
      </c>
      <c r="V418" s="31">
        <f t="shared" si="73"/>
        <v>0</v>
      </c>
      <c r="W418" s="31">
        <f t="shared" si="73"/>
        <v>0</v>
      </c>
      <c r="X418" s="31">
        <f t="shared" si="73"/>
        <v>0</v>
      </c>
      <c r="Y418" s="31">
        <f t="shared" si="73"/>
        <v>0</v>
      </c>
      <c r="Z418" s="31">
        <f t="shared" si="73"/>
        <v>0</v>
      </c>
      <c r="AA418" s="31">
        <f t="shared" si="73"/>
        <v>0</v>
      </c>
      <c r="AB418" s="31">
        <f t="shared" si="73"/>
        <v>0</v>
      </c>
      <c r="AC418" s="31">
        <f t="shared" si="73"/>
        <v>46312.56</v>
      </c>
      <c r="AD418" s="31">
        <f t="shared" si="73"/>
        <v>84432.67</v>
      </c>
      <c r="AE418" s="31">
        <f t="shared" si="73"/>
        <v>0</v>
      </c>
      <c r="AF418" s="65" t="s">
        <v>751</v>
      </c>
      <c r="AG418" s="65" t="s">
        <v>751</v>
      </c>
      <c r="AH418" s="79" t="s">
        <v>751</v>
      </c>
      <c r="AT418" s="20" t="e">
        <f>VLOOKUP(C418,AW:AX,2,FALSE)</f>
        <v>#N/A</v>
      </c>
      <c r="BZ418" s="64">
        <v>18514841.960000001</v>
      </c>
      <c r="CD418" s="20" t="e">
        <f t="shared" si="71"/>
        <v>#N/A</v>
      </c>
    </row>
    <row r="419" spans="1:82" ht="61.5" x14ac:dyDescent="0.85">
      <c r="A419" s="20">
        <v>1</v>
      </c>
      <c r="B419" s="60">
        <f>SUBTOTAL(103,$A$22:A419)</f>
        <v>364</v>
      </c>
      <c r="C419" s="24" t="s">
        <v>107</v>
      </c>
      <c r="D419" s="31">
        <f>E419+F419+G419+H419+I419+J419+L419+N419+P419+R419+T419+U419+V419+W419+X419+Y419+Z419+AA419+AB419+AC419+AD419+AE419</f>
        <v>1877560.0999999999</v>
      </c>
      <c r="E419" s="31">
        <v>0</v>
      </c>
      <c r="F419" s="31">
        <v>0</v>
      </c>
      <c r="G419" s="31">
        <v>0</v>
      </c>
      <c r="H419" s="31">
        <v>0</v>
      </c>
      <c r="I419" s="31">
        <v>0</v>
      </c>
      <c r="J419" s="31">
        <v>0</v>
      </c>
      <c r="K419" s="67">
        <v>0</v>
      </c>
      <c r="L419" s="31">
        <v>0</v>
      </c>
      <c r="M419" s="38">
        <v>549.33000000000004</v>
      </c>
      <c r="N419" s="144">
        <v>1871524.43</v>
      </c>
      <c r="O419" s="31">
        <v>0</v>
      </c>
      <c r="P419" s="31">
        <v>0</v>
      </c>
      <c r="Q419" s="31">
        <v>0</v>
      </c>
      <c r="R419" s="31">
        <v>0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0</v>
      </c>
      <c r="Z419" s="31">
        <v>0</v>
      </c>
      <c r="AA419" s="31">
        <v>0</v>
      </c>
      <c r="AB419" s="31">
        <v>0</v>
      </c>
      <c r="AC419" s="38">
        <v>6035.67</v>
      </c>
      <c r="AD419" s="31">
        <v>0</v>
      </c>
      <c r="AE419" s="31">
        <v>0</v>
      </c>
      <c r="AF419" s="33" t="s">
        <v>268</v>
      </c>
      <c r="AG419" s="33">
        <v>2020</v>
      </c>
      <c r="AH419" s="34">
        <v>2020</v>
      </c>
      <c r="AT419" s="20" t="e">
        <f>VLOOKUP(C419,AW:AX,2,FALSE)</f>
        <v>#N/A</v>
      </c>
      <c r="BZ419" s="64"/>
      <c r="CD419" s="20">
        <f t="shared" si="71"/>
        <v>596.4</v>
      </c>
    </row>
    <row r="420" spans="1:82" ht="61.5" x14ac:dyDescent="0.85">
      <c r="A420" s="20">
        <v>1</v>
      </c>
      <c r="B420" s="60">
        <f>SUBTOTAL(103,$A$22:A420)</f>
        <v>365</v>
      </c>
      <c r="C420" s="24" t="s">
        <v>109</v>
      </c>
      <c r="D420" s="31">
        <f>E420+F420+G420+H420+I420+J420+L420+N420+P420+R420+T420+U420+V420+W420+X420+Y420+Z420+AA420+AB420+AC420+AD420+AE420</f>
        <v>3555061.2899999996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67">
        <v>0</v>
      </c>
      <c r="L420" s="31">
        <v>0</v>
      </c>
      <c r="M420" s="38">
        <v>940.23</v>
      </c>
      <c r="N420" s="38">
        <v>3448386.53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8">
        <v>22242.09</v>
      </c>
      <c r="AD420" s="38">
        <v>84432.67</v>
      </c>
      <c r="AE420" s="31">
        <v>0</v>
      </c>
      <c r="AF420" s="33">
        <v>2020</v>
      </c>
      <c r="AG420" s="33">
        <v>2020</v>
      </c>
      <c r="AH420" s="34">
        <v>2020</v>
      </c>
      <c r="AT420" s="20" t="e">
        <f>VLOOKUP(C420,AW:AX,2,FALSE)</f>
        <v>#N/A</v>
      </c>
      <c r="BZ420" s="64"/>
      <c r="CD420" s="20">
        <f t="shared" si="71"/>
        <v>936.1</v>
      </c>
    </row>
    <row r="421" spans="1:82" ht="61.5" x14ac:dyDescent="0.85">
      <c r="A421" s="20">
        <v>1</v>
      </c>
      <c r="B421" s="60">
        <f>SUBTOTAL(103,$A$22:A421)</f>
        <v>366</v>
      </c>
      <c r="C421" s="24" t="s">
        <v>1234</v>
      </c>
      <c r="D421" s="31">
        <f>E421+F421+G421+H421+I421+J421+L421+N421+P421+R421+T421+U421+V421+W421+X421+Y421+Z421+AA421+AB421+AC421+AD421+AE421</f>
        <v>3267548.94</v>
      </c>
      <c r="E421" s="31">
        <v>0</v>
      </c>
      <c r="F421" s="31">
        <v>0</v>
      </c>
      <c r="G421" s="31">
        <v>0</v>
      </c>
      <c r="H421" s="31">
        <v>0</v>
      </c>
      <c r="I421" s="31">
        <v>0</v>
      </c>
      <c r="J421" s="31">
        <v>0</v>
      </c>
      <c r="K421" s="67">
        <v>0</v>
      </c>
      <c r="L421" s="31">
        <v>0</v>
      </c>
      <c r="M421" s="38">
        <v>807.4</v>
      </c>
      <c r="N421" s="38">
        <v>3249514.14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0</v>
      </c>
      <c r="AC421" s="38">
        <v>18034.8</v>
      </c>
      <c r="AD421" s="31">
        <v>0</v>
      </c>
      <c r="AE421" s="31">
        <v>0</v>
      </c>
      <c r="AF421" s="33" t="s">
        <v>268</v>
      </c>
      <c r="AG421" s="33">
        <v>2020</v>
      </c>
      <c r="AH421" s="34">
        <v>2020</v>
      </c>
      <c r="BZ421" s="64"/>
      <c r="CD421" s="20">
        <f t="shared" si="71"/>
        <v>807.4</v>
      </c>
    </row>
    <row r="422" spans="1:82" ht="61.5" x14ac:dyDescent="0.85">
      <c r="B422" s="24" t="s">
        <v>841</v>
      </c>
      <c r="C422" s="198"/>
      <c r="D422" s="199">
        <f>D423</f>
        <v>4281723.32</v>
      </c>
      <c r="E422" s="31">
        <f t="shared" ref="E422:AE422" si="74">E423</f>
        <v>0</v>
      </c>
      <c r="F422" s="31">
        <f t="shared" si="74"/>
        <v>0</v>
      </c>
      <c r="G422" s="31">
        <f t="shared" si="74"/>
        <v>0</v>
      </c>
      <c r="H422" s="31">
        <f t="shared" si="74"/>
        <v>0</v>
      </c>
      <c r="I422" s="31">
        <f t="shared" si="74"/>
        <v>0</v>
      </c>
      <c r="J422" s="31">
        <f t="shared" si="74"/>
        <v>0</v>
      </c>
      <c r="K422" s="67">
        <f t="shared" si="74"/>
        <v>0</v>
      </c>
      <c r="L422" s="31">
        <f t="shared" si="74"/>
        <v>0</v>
      </c>
      <c r="M422" s="31">
        <f t="shared" si="74"/>
        <v>965.75</v>
      </c>
      <c r="N422" s="31">
        <f t="shared" si="74"/>
        <v>4066944.18</v>
      </c>
      <c r="O422" s="31">
        <f t="shared" si="74"/>
        <v>0</v>
      </c>
      <c r="P422" s="31">
        <f t="shared" si="74"/>
        <v>0</v>
      </c>
      <c r="Q422" s="31">
        <f t="shared" si="74"/>
        <v>0</v>
      </c>
      <c r="R422" s="31">
        <f t="shared" si="74"/>
        <v>0</v>
      </c>
      <c r="S422" s="31">
        <f t="shared" si="74"/>
        <v>0</v>
      </c>
      <c r="T422" s="31">
        <f t="shared" si="74"/>
        <v>0</v>
      </c>
      <c r="U422" s="31">
        <f t="shared" si="74"/>
        <v>0</v>
      </c>
      <c r="V422" s="31">
        <f t="shared" si="74"/>
        <v>0</v>
      </c>
      <c r="W422" s="31">
        <f t="shared" si="74"/>
        <v>0</v>
      </c>
      <c r="X422" s="31">
        <f t="shared" si="74"/>
        <v>0</v>
      </c>
      <c r="Y422" s="31">
        <f t="shared" si="74"/>
        <v>0</v>
      </c>
      <c r="Z422" s="31">
        <f t="shared" si="74"/>
        <v>0</v>
      </c>
      <c r="AA422" s="31">
        <f t="shared" si="74"/>
        <v>0</v>
      </c>
      <c r="AB422" s="31">
        <f t="shared" si="74"/>
        <v>0</v>
      </c>
      <c r="AC422" s="31">
        <f t="shared" si="74"/>
        <v>57038.89</v>
      </c>
      <c r="AD422" s="31">
        <f t="shared" si="74"/>
        <v>157740.25</v>
      </c>
      <c r="AE422" s="31">
        <f t="shared" si="74"/>
        <v>0</v>
      </c>
      <c r="AF422" s="65" t="s">
        <v>751</v>
      </c>
      <c r="AG422" s="65" t="s">
        <v>751</v>
      </c>
      <c r="AH422" s="79" t="s">
        <v>751</v>
      </c>
      <c r="AT422" s="20" t="e">
        <f>VLOOKUP(C422,AW:AX,2,FALSE)</f>
        <v>#N/A</v>
      </c>
      <c r="BZ422" s="64">
        <v>5141890.2</v>
      </c>
      <c r="CD422" s="20" t="e">
        <f t="shared" si="71"/>
        <v>#N/A</v>
      </c>
    </row>
    <row r="423" spans="1:82" ht="61.5" x14ac:dyDescent="0.85">
      <c r="A423" s="20">
        <v>1</v>
      </c>
      <c r="B423" s="60">
        <f>SUBTOTAL(103,$A$22:A423)</f>
        <v>367</v>
      </c>
      <c r="C423" s="24" t="s">
        <v>40</v>
      </c>
      <c r="D423" s="31">
        <f>E423+F423+G423+H423+I423+J423+L423+N423+P423+R423+T423+U423+V423+W423+X423+Y423+Z423+AA423+AB423+AC423+AD423+AE423</f>
        <v>4281723.32</v>
      </c>
      <c r="E423" s="31">
        <v>0</v>
      </c>
      <c r="F423" s="31">
        <v>0</v>
      </c>
      <c r="G423" s="31">
        <v>0</v>
      </c>
      <c r="H423" s="31">
        <v>0</v>
      </c>
      <c r="I423" s="31">
        <v>0</v>
      </c>
      <c r="J423" s="31">
        <v>0</v>
      </c>
      <c r="K423" s="67">
        <v>0</v>
      </c>
      <c r="L423" s="31">
        <v>0</v>
      </c>
      <c r="M423" s="38">
        <v>965.75</v>
      </c>
      <c r="N423" s="38">
        <v>4066944.18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0</v>
      </c>
      <c r="AC423" s="38">
        <v>57038.89</v>
      </c>
      <c r="AD423" s="38">
        <v>157740.25</v>
      </c>
      <c r="AE423" s="31">
        <v>0</v>
      </c>
      <c r="AF423" s="33">
        <v>2020</v>
      </c>
      <c r="AG423" s="33">
        <v>2020</v>
      </c>
      <c r="AH423" s="34">
        <v>2020</v>
      </c>
      <c r="AT423" s="20" t="e">
        <f>VLOOKUP(C423,AW:AX,2,FALSE)</f>
        <v>#N/A</v>
      </c>
      <c r="BZ423" s="64"/>
      <c r="CD423" s="20" t="e">
        <f t="shared" si="71"/>
        <v>#N/A</v>
      </c>
    </row>
    <row r="424" spans="1:82" ht="61.5" x14ac:dyDescent="0.85">
      <c r="B424" s="24" t="s">
        <v>842</v>
      </c>
      <c r="C424" s="24"/>
      <c r="D424" s="199">
        <f>SUM(D425:D427)</f>
        <v>2434186.5799999996</v>
      </c>
      <c r="E424" s="31">
        <f t="shared" ref="E424:AE424" si="75">SUM(E425:E427)</f>
        <v>226701.24</v>
      </c>
      <c r="F424" s="31">
        <f t="shared" si="75"/>
        <v>164883.43</v>
      </c>
      <c r="G424" s="31">
        <f t="shared" si="75"/>
        <v>1350679.88</v>
      </c>
      <c r="H424" s="31">
        <f t="shared" si="75"/>
        <v>377296.73</v>
      </c>
      <c r="I424" s="31">
        <f t="shared" si="75"/>
        <v>0</v>
      </c>
      <c r="J424" s="31">
        <f t="shared" si="75"/>
        <v>0</v>
      </c>
      <c r="K424" s="67">
        <f t="shared" si="75"/>
        <v>0</v>
      </c>
      <c r="L424" s="31">
        <f t="shared" si="75"/>
        <v>0</v>
      </c>
      <c r="M424" s="31">
        <f t="shared" si="75"/>
        <v>0</v>
      </c>
      <c r="N424" s="31">
        <f t="shared" si="75"/>
        <v>0</v>
      </c>
      <c r="O424" s="31">
        <f t="shared" si="75"/>
        <v>0</v>
      </c>
      <c r="P424" s="31">
        <f t="shared" si="75"/>
        <v>0</v>
      </c>
      <c r="Q424" s="31">
        <f t="shared" si="75"/>
        <v>0</v>
      </c>
      <c r="R424" s="31">
        <f t="shared" si="75"/>
        <v>0</v>
      </c>
      <c r="S424" s="31">
        <f t="shared" si="75"/>
        <v>0</v>
      </c>
      <c r="T424" s="31">
        <f t="shared" si="75"/>
        <v>0</v>
      </c>
      <c r="U424" s="31">
        <f t="shared" si="75"/>
        <v>0</v>
      </c>
      <c r="V424" s="31">
        <f t="shared" si="75"/>
        <v>0</v>
      </c>
      <c r="W424" s="31">
        <f t="shared" si="75"/>
        <v>0</v>
      </c>
      <c r="X424" s="31">
        <f t="shared" si="75"/>
        <v>0</v>
      </c>
      <c r="Y424" s="31">
        <f t="shared" si="75"/>
        <v>0</v>
      </c>
      <c r="Z424" s="31">
        <f t="shared" si="75"/>
        <v>0</v>
      </c>
      <c r="AA424" s="31">
        <f t="shared" si="75"/>
        <v>0</v>
      </c>
      <c r="AB424" s="31">
        <f t="shared" si="75"/>
        <v>0</v>
      </c>
      <c r="AC424" s="31">
        <f t="shared" si="75"/>
        <v>31634.45</v>
      </c>
      <c r="AD424" s="31">
        <f t="shared" si="75"/>
        <v>282990.84999999998</v>
      </c>
      <c r="AE424" s="31">
        <f t="shared" si="75"/>
        <v>0</v>
      </c>
      <c r="AF424" s="65" t="s">
        <v>751</v>
      </c>
      <c r="AG424" s="65" t="s">
        <v>751</v>
      </c>
      <c r="AH424" s="79" t="s">
        <v>751</v>
      </c>
      <c r="AT424" s="20" t="e">
        <f>VLOOKUP(C424,AW:AX,2,FALSE)</f>
        <v>#N/A</v>
      </c>
      <c r="BZ424" s="64">
        <v>21864677.539999999</v>
      </c>
      <c r="CD424" s="20" t="e">
        <f t="shared" si="71"/>
        <v>#N/A</v>
      </c>
    </row>
    <row r="425" spans="1:82" ht="61.5" x14ac:dyDescent="0.85">
      <c r="A425" s="20">
        <v>1</v>
      </c>
      <c r="B425" s="60">
        <f>SUBTOTAL(103,$A$22:A425)</f>
        <v>368</v>
      </c>
      <c r="C425" s="24" t="s">
        <v>63</v>
      </c>
      <c r="D425" s="31">
        <f>E425+F425+G425+H425+I425+J425+L425+N425+P425+R425+T425+U425+V425+W425+X425+Y425+Z425+AA425+AB425+AC425+AD425+AE425</f>
        <v>158769.03</v>
      </c>
      <c r="E425" s="31">
        <v>0</v>
      </c>
      <c r="F425" s="31">
        <v>0</v>
      </c>
      <c r="G425" s="31">
        <v>0</v>
      </c>
      <c r="H425" s="31">
        <v>0</v>
      </c>
      <c r="I425" s="31">
        <v>0</v>
      </c>
      <c r="J425" s="31">
        <v>0</v>
      </c>
      <c r="K425" s="67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  <c r="AC425" s="31">
        <f>ROUND(N425*1.5%,2)</f>
        <v>0</v>
      </c>
      <c r="AD425" s="38">
        <v>158769.03</v>
      </c>
      <c r="AE425" s="31">
        <v>0</v>
      </c>
      <c r="AF425" s="33">
        <v>2020</v>
      </c>
      <c r="AG425" s="33" t="s">
        <v>268</v>
      </c>
      <c r="AH425" s="33" t="s">
        <v>268</v>
      </c>
      <c r="AT425" s="20" t="e">
        <f>VLOOKUP(C425,AW:AX,2,FALSE)</f>
        <v>#N/A</v>
      </c>
      <c r="BZ425" s="64"/>
      <c r="CD425" s="20" t="e">
        <f t="shared" si="71"/>
        <v>#N/A</v>
      </c>
    </row>
    <row r="426" spans="1:82" ht="61.5" x14ac:dyDescent="0.85">
      <c r="A426" s="20">
        <v>1</v>
      </c>
      <c r="B426" s="60">
        <f>SUBTOTAL(103,$A$22:A426)</f>
        <v>369</v>
      </c>
      <c r="C426" s="24" t="s">
        <v>1249</v>
      </c>
      <c r="D426" s="31">
        <f>E426+F426+G426+H426+I426+J426+L426+N426+P426+R426+T426+U426+V426+W426+X426+Y426+Z426+AA426+AB426+AC426+AD426+AE426</f>
        <v>2151195.73</v>
      </c>
      <c r="E426" s="38">
        <v>226701.24</v>
      </c>
      <c r="F426" s="38">
        <v>164883.43</v>
      </c>
      <c r="G426" s="38">
        <v>1350679.88</v>
      </c>
      <c r="H426" s="38">
        <v>377296.73</v>
      </c>
      <c r="I426" s="31">
        <v>0</v>
      </c>
      <c r="J426" s="31">
        <v>0</v>
      </c>
      <c r="K426" s="67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  <c r="AC426" s="31">
        <f>ROUND((E426+F426+G426+H426+I426+J426)*1.4925%,2)</f>
        <v>31634.45</v>
      </c>
      <c r="AD426" s="31">
        <v>0</v>
      </c>
      <c r="AE426" s="31">
        <v>0</v>
      </c>
      <c r="AF426" s="33" t="s">
        <v>268</v>
      </c>
      <c r="AG426" s="33">
        <v>2020</v>
      </c>
      <c r="AH426" s="34">
        <v>2020</v>
      </c>
      <c r="BZ426" s="64"/>
      <c r="CD426" s="20" t="e">
        <f t="shared" si="71"/>
        <v>#N/A</v>
      </c>
    </row>
    <row r="427" spans="1:82" ht="61.5" x14ac:dyDescent="0.85">
      <c r="A427" s="20">
        <v>1</v>
      </c>
      <c r="B427" s="60">
        <f>SUBTOTAL(103,$A$22:A427)</f>
        <v>370</v>
      </c>
      <c r="C427" s="24" t="s">
        <v>52</v>
      </c>
      <c r="D427" s="31">
        <f>E427+F427+G427+H427+I427+J427+L427+N427+P427+R427+T427+U427+V427+W427+X427+Y427+Z427+AA427+AB427+AC427+AD427+AE427</f>
        <v>124221.82</v>
      </c>
      <c r="E427" s="31">
        <v>0</v>
      </c>
      <c r="F427" s="31">
        <v>0</v>
      </c>
      <c r="G427" s="31">
        <v>0</v>
      </c>
      <c r="H427" s="31">
        <v>0</v>
      </c>
      <c r="I427" s="31">
        <v>0</v>
      </c>
      <c r="J427" s="31">
        <v>0</v>
      </c>
      <c r="K427" s="67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  <c r="AC427" s="31">
        <f>ROUND(N427*1.5%,2)</f>
        <v>0</v>
      </c>
      <c r="AD427" s="38">
        <v>124221.82</v>
      </c>
      <c r="AE427" s="31">
        <v>0</v>
      </c>
      <c r="AF427" s="33">
        <v>2020</v>
      </c>
      <c r="AG427" s="33" t="s">
        <v>268</v>
      </c>
      <c r="AH427" s="33" t="s">
        <v>268</v>
      </c>
      <c r="AT427" s="20" t="e">
        <f>VLOOKUP(C427,AW:AX,2,FALSE)</f>
        <v>#N/A</v>
      </c>
      <c r="BZ427" s="64"/>
      <c r="CD427" s="20" t="e">
        <f t="shared" si="71"/>
        <v>#N/A</v>
      </c>
    </row>
    <row r="428" spans="1:82" ht="61.5" x14ac:dyDescent="0.85">
      <c r="B428" s="24" t="s">
        <v>843</v>
      </c>
      <c r="C428" s="24"/>
      <c r="D428" s="199">
        <f t="shared" ref="D428:AE428" si="76">SUM(D429:D434)</f>
        <v>19736488.870000001</v>
      </c>
      <c r="E428" s="31">
        <f t="shared" si="76"/>
        <v>1000351.54</v>
      </c>
      <c r="F428" s="31">
        <f t="shared" si="76"/>
        <v>1810542.37</v>
      </c>
      <c r="G428" s="31">
        <f t="shared" si="76"/>
        <v>9395223.0500000007</v>
      </c>
      <c r="H428" s="31">
        <f t="shared" si="76"/>
        <v>986303.66</v>
      </c>
      <c r="I428" s="31">
        <f t="shared" si="76"/>
        <v>0</v>
      </c>
      <c r="J428" s="31">
        <f t="shared" si="76"/>
        <v>0</v>
      </c>
      <c r="K428" s="67">
        <f t="shared" si="76"/>
        <v>0</v>
      </c>
      <c r="L428" s="31">
        <f t="shared" si="76"/>
        <v>0</v>
      </c>
      <c r="M428" s="31">
        <f t="shared" si="76"/>
        <v>619</v>
      </c>
      <c r="N428" s="31">
        <f t="shared" si="76"/>
        <v>2465528.8199999998</v>
      </c>
      <c r="O428" s="31">
        <f t="shared" si="76"/>
        <v>0</v>
      </c>
      <c r="P428" s="31">
        <f t="shared" si="76"/>
        <v>0</v>
      </c>
      <c r="Q428" s="31">
        <f t="shared" si="76"/>
        <v>858.98</v>
      </c>
      <c r="R428" s="31">
        <f t="shared" si="76"/>
        <v>3617645.64</v>
      </c>
      <c r="S428" s="31">
        <f t="shared" si="76"/>
        <v>0</v>
      </c>
      <c r="T428" s="31">
        <f t="shared" si="76"/>
        <v>0</v>
      </c>
      <c r="U428" s="31">
        <f t="shared" si="76"/>
        <v>0</v>
      </c>
      <c r="V428" s="31">
        <f t="shared" si="76"/>
        <v>0</v>
      </c>
      <c r="W428" s="31">
        <f t="shared" si="76"/>
        <v>0</v>
      </c>
      <c r="X428" s="31">
        <f t="shared" si="76"/>
        <v>0</v>
      </c>
      <c r="Y428" s="31">
        <f t="shared" si="76"/>
        <v>0</v>
      </c>
      <c r="Z428" s="31">
        <f t="shared" si="76"/>
        <v>0</v>
      </c>
      <c r="AA428" s="31">
        <f t="shared" si="76"/>
        <v>0</v>
      </c>
      <c r="AB428" s="31">
        <f t="shared" si="76"/>
        <v>0</v>
      </c>
      <c r="AC428" s="31">
        <f t="shared" si="76"/>
        <v>247715.52999999997</v>
      </c>
      <c r="AD428" s="31">
        <f t="shared" si="76"/>
        <v>213178.26</v>
      </c>
      <c r="AE428" s="31">
        <f t="shared" si="76"/>
        <v>0</v>
      </c>
      <c r="AF428" s="65" t="s">
        <v>751</v>
      </c>
      <c r="AG428" s="65" t="s">
        <v>751</v>
      </c>
      <c r="AH428" s="79" t="s">
        <v>751</v>
      </c>
      <c r="AT428" s="20" t="e">
        <f>VLOOKUP(C428,AW:AX,2,FALSE)</f>
        <v>#N/A</v>
      </c>
      <c r="BZ428" s="64">
        <v>34570625.039999999</v>
      </c>
      <c r="CD428" s="20" t="e">
        <f t="shared" si="71"/>
        <v>#N/A</v>
      </c>
    </row>
    <row r="429" spans="1:82" ht="61.5" x14ac:dyDescent="0.85">
      <c r="A429" s="20">
        <v>1</v>
      </c>
      <c r="B429" s="60">
        <f>SUBTOTAL(103,$A$22:A429)</f>
        <v>371</v>
      </c>
      <c r="C429" s="24" t="s">
        <v>47</v>
      </c>
      <c r="D429" s="31">
        <f t="shared" ref="D429:D434" si="77">E429+F429+G429+H429+I429+J429+L429+N429+P429+R429+T429+U429+V429+W429+X429+Y429+Z429+AA429+AB429+AC429+AD429+AE429</f>
        <v>106790.64</v>
      </c>
      <c r="E429" s="31">
        <v>0</v>
      </c>
      <c r="F429" s="31">
        <v>0</v>
      </c>
      <c r="G429" s="31">
        <v>0</v>
      </c>
      <c r="H429" s="31">
        <v>0</v>
      </c>
      <c r="I429" s="31">
        <v>0</v>
      </c>
      <c r="J429" s="31">
        <v>0</v>
      </c>
      <c r="K429" s="67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  <c r="AC429" s="31">
        <f>ROUND(N429*1.5%,2)</f>
        <v>0</v>
      </c>
      <c r="AD429" s="38">
        <v>106790.64</v>
      </c>
      <c r="AE429" s="31">
        <v>0</v>
      </c>
      <c r="AF429" s="33">
        <v>2020</v>
      </c>
      <c r="AG429" s="33" t="s">
        <v>268</v>
      </c>
      <c r="AH429" s="33" t="s">
        <v>268</v>
      </c>
      <c r="AT429" s="20" t="e">
        <f>VLOOKUP(C429,AW:AX,2,FALSE)</f>
        <v>#N/A</v>
      </c>
      <c r="BZ429" s="64"/>
      <c r="CD429" s="20" t="e">
        <f t="shared" si="71"/>
        <v>#N/A</v>
      </c>
    </row>
    <row r="430" spans="1:82" ht="61.5" x14ac:dyDescent="0.85">
      <c r="A430" s="20">
        <v>1</v>
      </c>
      <c r="B430" s="60">
        <f>SUBTOTAL(103,$A$22:A430)</f>
        <v>372</v>
      </c>
      <c r="C430" s="24" t="s">
        <v>796</v>
      </c>
      <c r="D430" s="31">
        <f t="shared" si="77"/>
        <v>2606495.48</v>
      </c>
      <c r="E430" s="31">
        <v>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67">
        <v>0</v>
      </c>
      <c r="L430" s="31">
        <v>0</v>
      </c>
      <c r="M430" s="38">
        <v>619</v>
      </c>
      <c r="N430" s="38">
        <v>2465528.8199999998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  <c r="AC430" s="31">
        <v>34579.040000000001</v>
      </c>
      <c r="AD430" s="38">
        <v>106387.62</v>
      </c>
      <c r="AE430" s="31">
        <v>0</v>
      </c>
      <c r="AF430" s="33">
        <v>2020</v>
      </c>
      <c r="AG430" s="33">
        <v>2020</v>
      </c>
      <c r="AH430" s="34">
        <v>2020</v>
      </c>
      <c r="AT430" s="20" t="e">
        <f>VLOOKUP(C430,AW:AX,2,FALSE)</f>
        <v>#N/A</v>
      </c>
      <c r="BZ430" s="64"/>
      <c r="CD430" s="20" t="e">
        <f t="shared" si="71"/>
        <v>#N/A</v>
      </c>
    </row>
    <row r="431" spans="1:82" ht="61.5" x14ac:dyDescent="0.85">
      <c r="A431" s="20">
        <v>1</v>
      </c>
      <c r="B431" s="60">
        <f>SUBTOTAL(103,$A$22:A431)</f>
        <v>373</v>
      </c>
      <c r="C431" s="24" t="s">
        <v>1237</v>
      </c>
      <c r="D431" s="31">
        <f t="shared" si="77"/>
        <v>5055398.59</v>
      </c>
      <c r="E431" s="38">
        <v>420192.57</v>
      </c>
      <c r="F431" s="38">
        <v>698894.43</v>
      </c>
      <c r="G431" s="38">
        <v>3335941.54</v>
      </c>
      <c r="H431" s="38">
        <v>526027.78</v>
      </c>
      <c r="I431" s="31">
        <v>0</v>
      </c>
      <c r="J431" s="31">
        <v>0</v>
      </c>
      <c r="K431" s="67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  <c r="AC431" s="31">
        <f>ROUND((E431+F431+G431+H431+I431+J431)*1.4925%,2)</f>
        <v>74342.27</v>
      </c>
      <c r="AD431" s="31">
        <v>0</v>
      </c>
      <c r="AE431" s="31">
        <v>0</v>
      </c>
      <c r="AF431" s="33" t="s">
        <v>268</v>
      </c>
      <c r="AG431" s="33">
        <v>2020</v>
      </c>
      <c r="AH431" s="34">
        <v>2020</v>
      </c>
      <c r="BZ431" s="64"/>
      <c r="CD431" s="20" t="e">
        <f t="shared" si="71"/>
        <v>#N/A</v>
      </c>
    </row>
    <row r="432" spans="1:82" ht="61.5" x14ac:dyDescent="0.85">
      <c r="A432" s="20">
        <v>1</v>
      </c>
      <c r="B432" s="60">
        <f>SUBTOTAL(103,$A$22:A432)</f>
        <v>374</v>
      </c>
      <c r="C432" s="24" t="s">
        <v>1238</v>
      </c>
      <c r="D432" s="31">
        <f t="shared" si="77"/>
        <v>5685725.29</v>
      </c>
      <c r="E432" s="38">
        <v>580158.97</v>
      </c>
      <c r="F432" s="38">
        <v>1111647.94</v>
      </c>
      <c r="G432" s="38">
        <v>3450030.95</v>
      </c>
      <c r="H432" s="38">
        <v>460275.88</v>
      </c>
      <c r="I432" s="31">
        <v>0</v>
      </c>
      <c r="J432" s="31">
        <v>0</v>
      </c>
      <c r="K432" s="67">
        <v>0</v>
      </c>
      <c r="L432" s="31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  <c r="AC432" s="31">
        <f>ROUND((E432+F432+G432+H432+I432+J432)*1.4925%,2)</f>
        <v>83611.55</v>
      </c>
      <c r="AD432" s="31">
        <v>0</v>
      </c>
      <c r="AE432" s="31">
        <v>0</v>
      </c>
      <c r="AF432" s="33" t="s">
        <v>268</v>
      </c>
      <c r="AG432" s="33">
        <v>2020</v>
      </c>
      <c r="AH432" s="34">
        <v>2020</v>
      </c>
      <c r="BZ432" s="64"/>
      <c r="CD432" s="20" t="e">
        <f t="shared" si="71"/>
        <v>#N/A</v>
      </c>
    </row>
    <row r="433" spans="1:82" ht="61.5" x14ac:dyDescent="0.85">
      <c r="A433" s="20">
        <v>1</v>
      </c>
      <c r="B433" s="60">
        <f>SUBTOTAL(103,$A$22:A433)</f>
        <v>375</v>
      </c>
      <c r="C433" s="24" t="s">
        <v>1239</v>
      </c>
      <c r="D433" s="31">
        <f t="shared" si="77"/>
        <v>2648193.62</v>
      </c>
      <c r="E433" s="31">
        <v>0</v>
      </c>
      <c r="F433" s="31">
        <v>0</v>
      </c>
      <c r="G433" s="144">
        <v>2609250.56</v>
      </c>
      <c r="H433" s="31">
        <v>0</v>
      </c>
      <c r="I433" s="31">
        <v>0</v>
      </c>
      <c r="J433" s="31">
        <v>0</v>
      </c>
      <c r="K433" s="67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  <c r="AC433" s="31">
        <f>ROUND((E433+F433+G433+H433+I433+J433)*1.4925%,2)</f>
        <v>38943.06</v>
      </c>
      <c r="AD433" s="31">
        <v>0</v>
      </c>
      <c r="AE433" s="31">
        <v>0</v>
      </c>
      <c r="AF433" s="33" t="s">
        <v>268</v>
      </c>
      <c r="AG433" s="33">
        <v>2020</v>
      </c>
      <c r="AH433" s="34">
        <v>2020</v>
      </c>
      <c r="BZ433" s="64"/>
      <c r="CD433" s="20" t="e">
        <f t="shared" si="71"/>
        <v>#N/A</v>
      </c>
    </row>
    <row r="434" spans="1:82" ht="61.5" x14ac:dyDescent="0.85">
      <c r="A434" s="20">
        <v>1</v>
      </c>
      <c r="B434" s="60">
        <f>SUBTOTAL(103,$A$22:A434)</f>
        <v>376</v>
      </c>
      <c r="C434" s="24" t="s">
        <v>1241</v>
      </c>
      <c r="D434" s="31">
        <f t="shared" si="77"/>
        <v>3633885.25</v>
      </c>
      <c r="E434" s="31">
        <v>0</v>
      </c>
      <c r="F434" s="31">
        <v>0</v>
      </c>
      <c r="G434" s="31">
        <v>0</v>
      </c>
      <c r="H434" s="31">
        <v>0</v>
      </c>
      <c r="I434" s="31">
        <v>0</v>
      </c>
      <c r="J434" s="31">
        <v>0</v>
      </c>
      <c r="K434" s="67">
        <v>0</v>
      </c>
      <c r="L434" s="31">
        <v>0</v>
      </c>
      <c r="M434" s="31">
        <v>0</v>
      </c>
      <c r="N434" s="31">
        <v>0</v>
      </c>
      <c r="O434" s="31">
        <v>0</v>
      </c>
      <c r="P434" s="31">
        <v>0</v>
      </c>
      <c r="Q434" s="38">
        <v>858.98</v>
      </c>
      <c r="R434" s="38">
        <v>3617645.64</v>
      </c>
      <c r="S434" s="31">
        <v>0</v>
      </c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0</v>
      </c>
      <c r="AB434" s="31">
        <v>0</v>
      </c>
      <c r="AC434" s="31">
        <f>ROUND(R434*0.4489%,2)</f>
        <v>16239.61</v>
      </c>
      <c r="AD434" s="31">
        <v>0</v>
      </c>
      <c r="AE434" s="31">
        <v>0</v>
      </c>
      <c r="AF434" s="33" t="s">
        <v>268</v>
      </c>
      <c r="AG434" s="33">
        <v>2020</v>
      </c>
      <c r="AH434" s="34">
        <v>2020</v>
      </c>
      <c r="BZ434" s="64"/>
      <c r="CD434" s="20" t="e">
        <f t="shared" si="71"/>
        <v>#N/A</v>
      </c>
    </row>
    <row r="435" spans="1:82" ht="61.5" x14ac:dyDescent="0.85">
      <c r="B435" s="24" t="s">
        <v>844</v>
      </c>
      <c r="C435" s="24"/>
      <c r="D435" s="199">
        <f>SUM(D436:D440)</f>
        <v>9389545.5600000005</v>
      </c>
      <c r="E435" s="31">
        <f t="shared" ref="E435:AE435" si="78">SUM(E436:E440)</f>
        <v>167835.45</v>
      </c>
      <c r="F435" s="31">
        <f t="shared" si="78"/>
        <v>0</v>
      </c>
      <c r="G435" s="31">
        <f t="shared" si="78"/>
        <v>658789.53</v>
      </c>
      <c r="H435" s="31">
        <f t="shared" si="78"/>
        <v>0</v>
      </c>
      <c r="I435" s="31">
        <f t="shared" si="78"/>
        <v>618954.18000000005</v>
      </c>
      <c r="J435" s="31">
        <f t="shared" si="78"/>
        <v>0</v>
      </c>
      <c r="K435" s="67">
        <f t="shared" si="78"/>
        <v>0</v>
      </c>
      <c r="L435" s="31">
        <f t="shared" si="78"/>
        <v>0</v>
      </c>
      <c r="M435" s="31">
        <f t="shared" si="78"/>
        <v>2187.2200000000003</v>
      </c>
      <c r="N435" s="31">
        <f t="shared" si="78"/>
        <v>7825011.9399999995</v>
      </c>
      <c r="O435" s="31">
        <f t="shared" si="78"/>
        <v>0</v>
      </c>
      <c r="P435" s="31">
        <f t="shared" si="78"/>
        <v>0</v>
      </c>
      <c r="Q435" s="31">
        <f t="shared" si="78"/>
        <v>0</v>
      </c>
      <c r="R435" s="31">
        <f t="shared" si="78"/>
        <v>0</v>
      </c>
      <c r="S435" s="31">
        <f t="shared" si="78"/>
        <v>0</v>
      </c>
      <c r="T435" s="31">
        <f t="shared" si="78"/>
        <v>0</v>
      </c>
      <c r="U435" s="31">
        <f t="shared" si="78"/>
        <v>0</v>
      </c>
      <c r="V435" s="31">
        <f t="shared" si="78"/>
        <v>0</v>
      </c>
      <c r="W435" s="31">
        <f t="shared" si="78"/>
        <v>0</v>
      </c>
      <c r="X435" s="31">
        <f t="shared" si="78"/>
        <v>0</v>
      </c>
      <c r="Y435" s="31">
        <f t="shared" si="78"/>
        <v>0</v>
      </c>
      <c r="Z435" s="31">
        <f t="shared" si="78"/>
        <v>0</v>
      </c>
      <c r="AA435" s="31">
        <f t="shared" si="78"/>
        <v>0</v>
      </c>
      <c r="AB435" s="31">
        <f t="shared" si="78"/>
        <v>0</v>
      </c>
      <c r="AC435" s="31">
        <f t="shared" si="78"/>
        <v>118954.45999999999</v>
      </c>
      <c r="AD435" s="31">
        <f t="shared" si="78"/>
        <v>0</v>
      </c>
      <c r="AE435" s="31">
        <f t="shared" si="78"/>
        <v>0</v>
      </c>
      <c r="AF435" s="65" t="s">
        <v>751</v>
      </c>
      <c r="AG435" s="65" t="s">
        <v>751</v>
      </c>
      <c r="AH435" s="79" t="s">
        <v>751</v>
      </c>
      <c r="AT435" s="20" t="e">
        <f>VLOOKUP(C435,AW:AX,2,FALSE)</f>
        <v>#N/A</v>
      </c>
      <c r="BZ435" s="64">
        <v>12742956.99</v>
      </c>
      <c r="CB435" s="64">
        <f>BZ435-D435</f>
        <v>3353411.4299999997</v>
      </c>
      <c r="CD435" s="20" t="e">
        <f t="shared" si="71"/>
        <v>#N/A</v>
      </c>
    </row>
    <row r="436" spans="1:82" ht="61.5" x14ac:dyDescent="0.85">
      <c r="A436" s="20">
        <v>1</v>
      </c>
      <c r="B436" s="60">
        <f>SUBTOTAL(103,$A$22:A436)</f>
        <v>377</v>
      </c>
      <c r="C436" s="24" t="s">
        <v>44</v>
      </c>
      <c r="D436" s="31">
        <f>E436+F436+G436+H436+I436+J436+L436+N436+P436+R436+T436+U436+V436+W436+X436+Y436+Z436+AA436+AB436+AC436+AD436+AE436</f>
        <v>2250143.48</v>
      </c>
      <c r="E436" s="31">
        <v>0</v>
      </c>
      <c r="F436" s="31">
        <v>0</v>
      </c>
      <c r="G436" s="31">
        <v>0</v>
      </c>
      <c r="H436" s="31">
        <v>0</v>
      </c>
      <c r="I436" s="31">
        <v>0</v>
      </c>
      <c r="J436" s="31">
        <v>0</v>
      </c>
      <c r="K436" s="67">
        <v>0</v>
      </c>
      <c r="L436" s="31">
        <v>0</v>
      </c>
      <c r="M436" s="38">
        <v>631</v>
      </c>
      <c r="N436" s="38">
        <v>2219021.7000000002</v>
      </c>
      <c r="O436" s="31">
        <v>0</v>
      </c>
      <c r="P436" s="31">
        <v>0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0</v>
      </c>
      <c r="AB436" s="31">
        <v>0</v>
      </c>
      <c r="AC436" s="38">
        <v>31121.78</v>
      </c>
      <c r="AD436" s="31">
        <v>0</v>
      </c>
      <c r="AE436" s="31">
        <v>0</v>
      </c>
      <c r="AF436" s="33" t="s">
        <v>268</v>
      </c>
      <c r="AG436" s="33">
        <v>2020</v>
      </c>
      <c r="AH436" s="34">
        <v>2020</v>
      </c>
      <c r="AT436" s="20" t="e">
        <f>VLOOKUP(C436,AW:AX,2,FALSE)</f>
        <v>#N/A</v>
      </c>
      <c r="BZ436" s="64"/>
      <c r="CD436" s="20">
        <f t="shared" si="71"/>
        <v>631</v>
      </c>
    </row>
    <row r="437" spans="1:82" ht="61.5" x14ac:dyDescent="0.85">
      <c r="A437" s="20">
        <v>1</v>
      </c>
      <c r="B437" s="60">
        <f>SUBTOTAL(103,$A$22:A437)</f>
        <v>378</v>
      </c>
      <c r="C437" s="24" t="s">
        <v>43</v>
      </c>
      <c r="D437" s="31">
        <f>E437+F437+G437+H437+I437+J437+L437+N437+P437+R437+T437+U437+V437+W437+X437+Y437+Z437+AA437+AB437+AC437+AD437+AE437</f>
        <v>2167263.7000000002</v>
      </c>
      <c r="E437" s="31">
        <v>0</v>
      </c>
      <c r="F437" s="31">
        <v>0</v>
      </c>
      <c r="G437" s="31">
        <v>0</v>
      </c>
      <c r="H437" s="31">
        <v>0</v>
      </c>
      <c r="I437" s="31">
        <v>0</v>
      </c>
      <c r="J437" s="31">
        <v>0</v>
      </c>
      <c r="K437" s="67">
        <v>0</v>
      </c>
      <c r="L437" s="31">
        <v>0</v>
      </c>
      <c r="M437" s="38">
        <v>554.9</v>
      </c>
      <c r="N437" s="38">
        <v>2137288.23</v>
      </c>
      <c r="O437" s="31">
        <v>0</v>
      </c>
      <c r="P437" s="31">
        <v>0</v>
      </c>
      <c r="Q437" s="31">
        <v>0</v>
      </c>
      <c r="R437" s="31">
        <v>0</v>
      </c>
      <c r="S437" s="31">
        <v>0</v>
      </c>
      <c r="T437" s="31">
        <v>0</v>
      </c>
      <c r="U437" s="31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  <c r="AA437" s="31">
        <v>0</v>
      </c>
      <c r="AB437" s="31">
        <v>0</v>
      </c>
      <c r="AC437" s="38">
        <v>29975.47</v>
      </c>
      <c r="AD437" s="31">
        <v>0</v>
      </c>
      <c r="AE437" s="31">
        <v>0</v>
      </c>
      <c r="AF437" s="33" t="s">
        <v>268</v>
      </c>
      <c r="AG437" s="33">
        <v>2020</v>
      </c>
      <c r="AH437" s="34">
        <v>2020</v>
      </c>
      <c r="AT437" s="20" t="e">
        <f>VLOOKUP(C437,AW:AX,2,FALSE)</f>
        <v>#N/A</v>
      </c>
      <c r="BZ437" s="64"/>
      <c r="CD437" s="20">
        <f t="shared" si="71"/>
        <v>566</v>
      </c>
    </row>
    <row r="438" spans="1:82" ht="61.5" x14ac:dyDescent="0.85">
      <c r="A438" s="20">
        <v>1</v>
      </c>
      <c r="B438" s="60">
        <f>SUBTOTAL(103,$A$22:A438)</f>
        <v>379</v>
      </c>
      <c r="C438" s="24" t="s">
        <v>45</v>
      </c>
      <c r="D438" s="31">
        <f>E438+F438+G438+H438+I438+J438+L438+N438+P438+R438+T438+U438+V438+W438+X438+Y438+Z438+AA438+AB438+AC438+AD438+AE438</f>
        <v>2202329.54</v>
      </c>
      <c r="E438" s="31">
        <v>0</v>
      </c>
      <c r="F438" s="31">
        <v>0</v>
      </c>
      <c r="G438" s="31">
        <v>0</v>
      </c>
      <c r="H438" s="31">
        <v>0</v>
      </c>
      <c r="I438" s="31">
        <v>0</v>
      </c>
      <c r="J438" s="31">
        <v>0</v>
      </c>
      <c r="K438" s="67">
        <v>0</v>
      </c>
      <c r="L438" s="31">
        <v>0</v>
      </c>
      <c r="M438" s="38">
        <v>562</v>
      </c>
      <c r="N438" s="38">
        <v>2171869.08</v>
      </c>
      <c r="O438" s="31">
        <v>0</v>
      </c>
      <c r="P438" s="31">
        <v>0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0</v>
      </c>
      <c r="AB438" s="31">
        <v>0</v>
      </c>
      <c r="AC438" s="38">
        <v>30460.46</v>
      </c>
      <c r="AD438" s="31">
        <v>0</v>
      </c>
      <c r="AE438" s="31">
        <v>0</v>
      </c>
      <c r="AF438" s="33" t="s">
        <v>268</v>
      </c>
      <c r="AG438" s="33">
        <v>2020</v>
      </c>
      <c r="AH438" s="34">
        <v>2020</v>
      </c>
      <c r="AT438" s="20" t="e">
        <f>VLOOKUP(C438,AW:AX,2,FALSE)</f>
        <v>#N/A</v>
      </c>
      <c r="BZ438" s="64"/>
      <c r="CD438" s="20">
        <f t="shared" si="71"/>
        <v>562</v>
      </c>
    </row>
    <row r="439" spans="1:82" ht="61.5" x14ac:dyDescent="0.85">
      <c r="A439" s="20">
        <v>1</v>
      </c>
      <c r="B439" s="60">
        <f>SUBTOTAL(103,$A$22:A439)</f>
        <v>380</v>
      </c>
      <c r="C439" s="24" t="s">
        <v>1247</v>
      </c>
      <c r="D439" s="31">
        <f>E439+F439+G439+H439+I439+J439+L439+N439+P439+R439+T439+U439+V439+W439+X439+Y439+Z439+AA439+AB439+AC439+AD439+AE439</f>
        <v>1467154.4300000002</v>
      </c>
      <c r="E439" s="38">
        <v>167835.45</v>
      </c>
      <c r="F439" s="31">
        <v>0</v>
      </c>
      <c r="G439" s="38">
        <v>658789.53</v>
      </c>
      <c r="H439" s="31">
        <v>0</v>
      </c>
      <c r="I439" s="38">
        <v>618954.18000000005</v>
      </c>
      <c r="J439" s="31">
        <v>0</v>
      </c>
      <c r="K439" s="67">
        <v>0</v>
      </c>
      <c r="L439" s="31">
        <v>0</v>
      </c>
      <c r="M439" s="38">
        <v>0</v>
      </c>
      <c r="N439" s="38">
        <v>0</v>
      </c>
      <c r="O439" s="31">
        <v>0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0</v>
      </c>
      <c r="AC439" s="31">
        <f>ROUND((E439+F439+G439+H439+I439+J439)*1.4925%,2)</f>
        <v>21575.27</v>
      </c>
      <c r="AD439" s="31">
        <v>0</v>
      </c>
      <c r="AE439" s="31">
        <v>0</v>
      </c>
      <c r="AF439" s="33" t="s">
        <v>268</v>
      </c>
      <c r="AG439" s="33">
        <v>2020</v>
      </c>
      <c r="AH439" s="34">
        <v>2020</v>
      </c>
      <c r="BZ439" s="64"/>
      <c r="CD439" s="20" t="e">
        <f t="shared" si="71"/>
        <v>#N/A</v>
      </c>
    </row>
    <row r="440" spans="1:82" ht="61.5" x14ac:dyDescent="0.85">
      <c r="A440" s="20">
        <v>1</v>
      </c>
      <c r="B440" s="60">
        <f>SUBTOTAL(103,$A$22:A440)</f>
        <v>381</v>
      </c>
      <c r="C440" s="24" t="s">
        <v>1248</v>
      </c>
      <c r="D440" s="31">
        <f>E440+F440+G440+H440+I440+J440+L440+N440+P440+R440+T440+U440+V440+W440+X440+Y440+Z440+AA440+AB440+AC440+AD440+AE440</f>
        <v>1302654.4099999999</v>
      </c>
      <c r="E440" s="31">
        <v>0</v>
      </c>
      <c r="F440" s="31">
        <v>0</v>
      </c>
      <c r="G440" s="31">
        <v>0</v>
      </c>
      <c r="H440" s="31">
        <v>0</v>
      </c>
      <c r="I440" s="31">
        <v>0</v>
      </c>
      <c r="J440" s="31">
        <v>0</v>
      </c>
      <c r="K440" s="67">
        <v>0</v>
      </c>
      <c r="L440" s="31">
        <v>0</v>
      </c>
      <c r="M440" s="38">
        <v>439.32</v>
      </c>
      <c r="N440" s="38">
        <v>1296832.93</v>
      </c>
      <c r="O440" s="31">
        <v>0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f>ROUND(N440*0.4489%,2)</f>
        <v>5821.48</v>
      </c>
      <c r="AD440" s="31">
        <v>0</v>
      </c>
      <c r="AE440" s="31">
        <v>0</v>
      </c>
      <c r="AF440" s="33" t="s">
        <v>268</v>
      </c>
      <c r="AG440" s="33">
        <v>2020</v>
      </c>
      <c r="AH440" s="34">
        <v>2020</v>
      </c>
      <c r="BZ440" s="64"/>
      <c r="CD440" s="20">
        <f t="shared" si="71"/>
        <v>454</v>
      </c>
    </row>
    <row r="441" spans="1:82" ht="61.5" x14ac:dyDescent="0.85">
      <c r="B441" s="24" t="s">
        <v>845</v>
      </c>
      <c r="C441" s="24"/>
      <c r="D441" s="199">
        <f>D442+D443</f>
        <v>5138784.57</v>
      </c>
      <c r="E441" s="31">
        <f t="shared" ref="E441:AE441" si="79">E442+E443</f>
        <v>0</v>
      </c>
      <c r="F441" s="31">
        <f t="shared" si="79"/>
        <v>0</v>
      </c>
      <c r="G441" s="31">
        <f t="shared" si="79"/>
        <v>0</v>
      </c>
      <c r="H441" s="31">
        <f t="shared" si="79"/>
        <v>0</v>
      </c>
      <c r="I441" s="31">
        <f t="shared" si="79"/>
        <v>0</v>
      </c>
      <c r="J441" s="31">
        <f t="shared" si="79"/>
        <v>0</v>
      </c>
      <c r="K441" s="67">
        <f t="shared" si="79"/>
        <v>0</v>
      </c>
      <c r="L441" s="31">
        <f t="shared" si="79"/>
        <v>0</v>
      </c>
      <c r="M441" s="31">
        <f t="shared" si="79"/>
        <v>1371.3600000000001</v>
      </c>
      <c r="N441" s="31">
        <f t="shared" si="79"/>
        <v>5095125.3600000003</v>
      </c>
      <c r="O441" s="31">
        <f t="shared" si="79"/>
        <v>0</v>
      </c>
      <c r="P441" s="31">
        <f t="shared" si="79"/>
        <v>0</v>
      </c>
      <c r="Q441" s="31">
        <f t="shared" si="79"/>
        <v>0</v>
      </c>
      <c r="R441" s="31">
        <f t="shared" si="79"/>
        <v>0</v>
      </c>
      <c r="S441" s="31">
        <f t="shared" si="79"/>
        <v>0</v>
      </c>
      <c r="T441" s="31">
        <f t="shared" si="79"/>
        <v>0</v>
      </c>
      <c r="U441" s="31">
        <f t="shared" si="79"/>
        <v>0</v>
      </c>
      <c r="V441" s="31">
        <f t="shared" si="79"/>
        <v>0</v>
      </c>
      <c r="W441" s="31">
        <f t="shared" si="79"/>
        <v>0</v>
      </c>
      <c r="X441" s="31">
        <f t="shared" si="79"/>
        <v>0</v>
      </c>
      <c r="Y441" s="31">
        <f t="shared" si="79"/>
        <v>0</v>
      </c>
      <c r="Z441" s="31">
        <f t="shared" si="79"/>
        <v>0</v>
      </c>
      <c r="AA441" s="31">
        <f t="shared" si="79"/>
        <v>0</v>
      </c>
      <c r="AB441" s="31">
        <f t="shared" si="79"/>
        <v>0</v>
      </c>
      <c r="AC441" s="31">
        <f t="shared" si="79"/>
        <v>43659.21</v>
      </c>
      <c r="AD441" s="31">
        <f t="shared" si="79"/>
        <v>0</v>
      </c>
      <c r="AE441" s="31">
        <f t="shared" si="79"/>
        <v>0</v>
      </c>
      <c r="AF441" s="65" t="s">
        <v>751</v>
      </c>
      <c r="AG441" s="65" t="s">
        <v>751</v>
      </c>
      <c r="AH441" s="79" t="s">
        <v>751</v>
      </c>
      <c r="AT441" s="20" t="e">
        <f>VLOOKUP(C441,AW:AX,2,FALSE)</f>
        <v>#N/A</v>
      </c>
      <c r="BZ441" s="64">
        <v>6025381.3300000001</v>
      </c>
      <c r="CD441" s="20" t="e">
        <f t="shared" si="71"/>
        <v>#N/A</v>
      </c>
    </row>
    <row r="442" spans="1:82" ht="61.5" x14ac:dyDescent="0.85">
      <c r="A442" s="20">
        <v>1</v>
      </c>
      <c r="B442" s="60">
        <f>SUBTOTAL(103,$A$22:A442)</f>
        <v>382</v>
      </c>
      <c r="C442" s="24" t="s">
        <v>42</v>
      </c>
      <c r="D442" s="31">
        <f>E442+F442+G442+H442+I442+J442+L442+N442+P442+R442+T442+U442+V442+W442+X442+Y442+Z442+AA442+AB442+AC442+AD442+AE442</f>
        <v>2210436.8400000003</v>
      </c>
      <c r="E442" s="31">
        <v>0</v>
      </c>
      <c r="F442" s="31">
        <v>0</v>
      </c>
      <c r="G442" s="31">
        <v>0</v>
      </c>
      <c r="H442" s="31">
        <v>0</v>
      </c>
      <c r="I442" s="31">
        <v>0</v>
      </c>
      <c r="J442" s="31">
        <v>0</v>
      </c>
      <c r="K442" s="67">
        <v>0</v>
      </c>
      <c r="L442" s="31">
        <v>0</v>
      </c>
      <c r="M442" s="38">
        <v>595.09</v>
      </c>
      <c r="N442" s="38">
        <v>2179864.2400000002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8">
        <v>30572.6</v>
      </c>
      <c r="AD442" s="31">
        <v>0</v>
      </c>
      <c r="AE442" s="31">
        <v>0</v>
      </c>
      <c r="AF442" s="33" t="s">
        <v>268</v>
      </c>
      <c r="AG442" s="33">
        <v>2020</v>
      </c>
      <c r="AH442" s="34">
        <v>2020</v>
      </c>
      <c r="AT442" s="20" t="e">
        <f>VLOOKUP(C442,AW:AX,2,FALSE)</f>
        <v>#N/A</v>
      </c>
      <c r="BZ442" s="64"/>
      <c r="CD442" s="20">
        <f t="shared" si="71"/>
        <v>595</v>
      </c>
    </row>
    <row r="443" spans="1:82" ht="61.5" x14ac:dyDescent="0.85">
      <c r="A443" s="20">
        <v>1</v>
      </c>
      <c r="B443" s="60">
        <f>SUBTOTAL(103,$A$22:A443)</f>
        <v>383</v>
      </c>
      <c r="C443" s="24" t="s">
        <v>1549</v>
      </c>
      <c r="D443" s="31">
        <f>E443+F443+G443+H443+I443+J443+L443+N443+P443+R443+T443+U443+V443+W443+X443+Y443+Z443+AA443+AB443+AC443+AD443+AE443</f>
        <v>2928347.73</v>
      </c>
      <c r="E443" s="31">
        <v>0</v>
      </c>
      <c r="F443" s="31">
        <v>0</v>
      </c>
      <c r="G443" s="31">
        <v>0</v>
      </c>
      <c r="H443" s="31">
        <v>0</v>
      </c>
      <c r="I443" s="31">
        <v>0</v>
      </c>
      <c r="J443" s="31">
        <v>0</v>
      </c>
      <c r="K443" s="67">
        <v>0</v>
      </c>
      <c r="L443" s="31">
        <v>0</v>
      </c>
      <c r="M443" s="38">
        <v>776.27</v>
      </c>
      <c r="N443" s="38">
        <v>2915261.12</v>
      </c>
      <c r="O443" s="31">
        <v>0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f>ROUND(N443*0.4489%,2)</f>
        <v>13086.61</v>
      </c>
      <c r="AD443" s="31">
        <v>0</v>
      </c>
      <c r="AE443" s="31">
        <v>0</v>
      </c>
      <c r="AF443" s="33" t="s">
        <v>268</v>
      </c>
      <c r="AG443" s="33">
        <v>2020</v>
      </c>
      <c r="AH443" s="34">
        <v>2020</v>
      </c>
      <c r="BZ443" s="64"/>
      <c r="CD443" s="20">
        <f t="shared" si="71"/>
        <v>747.3</v>
      </c>
    </row>
    <row r="444" spans="1:82" ht="61.5" x14ac:dyDescent="0.85">
      <c r="B444" s="24" t="s">
        <v>846</v>
      </c>
      <c r="C444" s="24"/>
      <c r="D444" s="199">
        <f t="shared" ref="D444:AE444" si="80">SUM(D445:D454)</f>
        <v>17752085.210000001</v>
      </c>
      <c r="E444" s="31">
        <f t="shared" si="80"/>
        <v>0</v>
      </c>
      <c r="F444" s="31">
        <f t="shared" si="80"/>
        <v>0</v>
      </c>
      <c r="G444" s="31">
        <f t="shared" si="80"/>
        <v>0</v>
      </c>
      <c r="H444" s="31">
        <f t="shared" si="80"/>
        <v>0</v>
      </c>
      <c r="I444" s="31">
        <f t="shared" si="80"/>
        <v>0</v>
      </c>
      <c r="J444" s="31">
        <f t="shared" si="80"/>
        <v>0</v>
      </c>
      <c r="K444" s="67">
        <f t="shared" si="80"/>
        <v>0</v>
      </c>
      <c r="L444" s="31">
        <f t="shared" si="80"/>
        <v>0</v>
      </c>
      <c r="M444" s="31">
        <f t="shared" si="80"/>
        <v>4633.74</v>
      </c>
      <c r="N444" s="31">
        <f t="shared" si="80"/>
        <v>16944207.860000003</v>
      </c>
      <c r="O444" s="31">
        <f t="shared" si="80"/>
        <v>0</v>
      </c>
      <c r="P444" s="31">
        <f t="shared" si="80"/>
        <v>0</v>
      </c>
      <c r="Q444" s="31">
        <f t="shared" si="80"/>
        <v>0</v>
      </c>
      <c r="R444" s="31">
        <f t="shared" si="80"/>
        <v>0</v>
      </c>
      <c r="S444" s="31">
        <f t="shared" si="80"/>
        <v>0</v>
      </c>
      <c r="T444" s="31">
        <f t="shared" si="80"/>
        <v>0</v>
      </c>
      <c r="U444" s="31">
        <f t="shared" si="80"/>
        <v>0</v>
      </c>
      <c r="V444" s="31">
        <f t="shared" si="80"/>
        <v>0</v>
      </c>
      <c r="W444" s="31">
        <f t="shared" si="80"/>
        <v>0</v>
      </c>
      <c r="X444" s="31">
        <f t="shared" si="80"/>
        <v>0</v>
      </c>
      <c r="Y444" s="31">
        <f t="shared" si="80"/>
        <v>0</v>
      </c>
      <c r="Z444" s="31">
        <f t="shared" si="80"/>
        <v>0</v>
      </c>
      <c r="AA444" s="31">
        <f t="shared" si="80"/>
        <v>0</v>
      </c>
      <c r="AB444" s="31">
        <f t="shared" si="80"/>
        <v>0</v>
      </c>
      <c r="AC444" s="31">
        <f t="shared" si="80"/>
        <v>223043.93000000002</v>
      </c>
      <c r="AD444" s="31">
        <f t="shared" si="80"/>
        <v>584833.42000000004</v>
      </c>
      <c r="AE444" s="31">
        <f t="shared" si="80"/>
        <v>0</v>
      </c>
      <c r="AF444" s="65" t="s">
        <v>751</v>
      </c>
      <c r="AG444" s="65" t="s">
        <v>751</v>
      </c>
      <c r="AH444" s="79" t="s">
        <v>751</v>
      </c>
      <c r="AT444" s="20" t="e">
        <f>VLOOKUP(C444,AW:AX,2,FALSE)</f>
        <v>#N/A</v>
      </c>
      <c r="BZ444" s="64">
        <v>29961094.709999993</v>
      </c>
      <c r="CD444" s="20" t="e">
        <f t="shared" si="71"/>
        <v>#N/A</v>
      </c>
    </row>
    <row r="445" spans="1:82" ht="61.5" x14ac:dyDescent="0.85">
      <c r="A445" s="20">
        <v>1</v>
      </c>
      <c r="B445" s="60">
        <f>SUBTOTAL(103,$A$22:A445)</f>
        <v>384</v>
      </c>
      <c r="C445" s="24" t="s">
        <v>50</v>
      </c>
      <c r="D445" s="31">
        <f t="shared" ref="D445:D451" si="81">E445+F445+G445+H445+I445+J445+L445+N445+P445+R445+T445+U445+V445+W445+X445+Y445+Z445+AA445+AB445+AC445+AD445+AE445</f>
        <v>4771616.71</v>
      </c>
      <c r="E445" s="31">
        <v>0</v>
      </c>
      <c r="F445" s="31">
        <v>0</v>
      </c>
      <c r="G445" s="31">
        <v>0</v>
      </c>
      <c r="H445" s="31">
        <v>0</v>
      </c>
      <c r="I445" s="31">
        <v>0</v>
      </c>
      <c r="J445" s="31">
        <v>0</v>
      </c>
      <c r="K445" s="67">
        <v>0</v>
      </c>
      <c r="L445" s="31">
        <v>0</v>
      </c>
      <c r="M445" s="38">
        <v>766.79</v>
      </c>
      <c r="N445" s="38">
        <v>4576340</v>
      </c>
      <c r="O445" s="31">
        <v>0</v>
      </c>
      <c r="P445" s="31">
        <v>0</v>
      </c>
      <c r="Q445" s="31">
        <v>0</v>
      </c>
      <c r="R445" s="31">
        <v>0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64183.17</v>
      </c>
      <c r="AD445" s="38">
        <v>131093.54</v>
      </c>
      <c r="AE445" s="31">
        <v>0</v>
      </c>
      <c r="AF445" s="33">
        <v>2020</v>
      </c>
      <c r="AG445" s="33">
        <v>2020</v>
      </c>
      <c r="AH445" s="34">
        <v>2020</v>
      </c>
      <c r="AT445" s="20" t="e">
        <v>#N/A</v>
      </c>
      <c r="BZ445" s="64"/>
      <c r="CD445" s="20" t="e">
        <v>#N/A</v>
      </c>
    </row>
    <row r="446" spans="1:82" ht="61.5" x14ac:dyDescent="0.85">
      <c r="A446" s="20">
        <v>1</v>
      </c>
      <c r="B446" s="60">
        <f>SUBTOTAL(103,$A$22:A446)</f>
        <v>385</v>
      </c>
      <c r="C446" s="24" t="s">
        <v>48</v>
      </c>
      <c r="D446" s="31">
        <f t="shared" si="81"/>
        <v>2810575.6300000004</v>
      </c>
      <c r="E446" s="31">
        <v>0</v>
      </c>
      <c r="F446" s="31">
        <v>0</v>
      </c>
      <c r="G446" s="31">
        <v>0</v>
      </c>
      <c r="H446" s="31">
        <v>0</v>
      </c>
      <c r="I446" s="31">
        <v>0</v>
      </c>
      <c r="J446" s="31">
        <v>0</v>
      </c>
      <c r="K446" s="67">
        <v>0</v>
      </c>
      <c r="L446" s="31">
        <v>0</v>
      </c>
      <c r="M446" s="38">
        <v>653</v>
      </c>
      <c r="N446" s="38">
        <v>2689261</v>
      </c>
      <c r="O446" s="31">
        <v>0</v>
      </c>
      <c r="P446" s="31">
        <v>0</v>
      </c>
      <c r="Q446" s="31">
        <v>0</v>
      </c>
      <c r="R446" s="31">
        <v>0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8">
        <v>37716.89</v>
      </c>
      <c r="AD446" s="38">
        <v>83597.740000000005</v>
      </c>
      <c r="AE446" s="31">
        <v>0</v>
      </c>
      <c r="AF446" s="33">
        <v>2020</v>
      </c>
      <c r="AG446" s="33">
        <v>2020</v>
      </c>
      <c r="AH446" s="34">
        <v>2020</v>
      </c>
      <c r="AT446" s="20" t="e">
        <f>VLOOKUP(C446,AW:AX,2,FALSE)</f>
        <v>#N/A</v>
      </c>
      <c r="BZ446" s="64"/>
      <c r="CD446" s="20" t="e">
        <f t="shared" ref="CD446:CD477" si="82">VLOOKUP(C446,CE:CF,2,FALSE)</f>
        <v>#N/A</v>
      </c>
    </row>
    <row r="447" spans="1:82" ht="61.5" x14ac:dyDescent="0.85">
      <c r="A447" s="20">
        <v>1</v>
      </c>
      <c r="B447" s="60">
        <f>SUBTOTAL(103,$A$22:A447)</f>
        <v>386</v>
      </c>
      <c r="C447" s="24" t="s">
        <v>49</v>
      </c>
      <c r="D447" s="31">
        <f t="shared" si="81"/>
        <v>131037.61</v>
      </c>
      <c r="E447" s="31">
        <v>0</v>
      </c>
      <c r="F447" s="31">
        <v>0</v>
      </c>
      <c r="G447" s="31">
        <v>0</v>
      </c>
      <c r="H447" s="31">
        <v>0</v>
      </c>
      <c r="I447" s="31">
        <v>0</v>
      </c>
      <c r="J447" s="31">
        <v>0</v>
      </c>
      <c r="K447" s="67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f>ROUND(N447*1.5%,2)</f>
        <v>0</v>
      </c>
      <c r="AD447" s="38">
        <v>131037.61</v>
      </c>
      <c r="AE447" s="31">
        <v>0</v>
      </c>
      <c r="AF447" s="33">
        <v>2020</v>
      </c>
      <c r="AG447" s="33" t="s">
        <v>268</v>
      </c>
      <c r="AH447" s="33" t="s">
        <v>268</v>
      </c>
      <c r="AT447" s="20">
        <f>VLOOKUP(C447,AW:AX,2,FALSE)</f>
        <v>1</v>
      </c>
      <c r="BZ447" s="64"/>
      <c r="CD447" s="20" t="e">
        <f t="shared" si="82"/>
        <v>#N/A</v>
      </c>
    </row>
    <row r="448" spans="1:82" ht="61.5" x14ac:dyDescent="0.85">
      <c r="A448" s="20">
        <v>1</v>
      </c>
      <c r="B448" s="60">
        <f>SUBTOTAL(103,$A$22:A448)</f>
        <v>387</v>
      </c>
      <c r="C448" s="24" t="s">
        <v>51</v>
      </c>
      <c r="D448" s="31">
        <f t="shared" si="81"/>
        <v>2938871.62</v>
      </c>
      <c r="E448" s="31">
        <v>0</v>
      </c>
      <c r="F448" s="31">
        <v>0</v>
      </c>
      <c r="G448" s="31">
        <v>0</v>
      </c>
      <c r="H448" s="31">
        <v>0</v>
      </c>
      <c r="I448" s="31">
        <v>0</v>
      </c>
      <c r="J448" s="31">
        <v>0</v>
      </c>
      <c r="K448" s="67">
        <v>0</v>
      </c>
      <c r="L448" s="31">
        <v>0</v>
      </c>
      <c r="M448" s="38">
        <v>680</v>
      </c>
      <c r="N448" s="38">
        <v>2814506</v>
      </c>
      <c r="O448" s="31">
        <v>0</v>
      </c>
      <c r="P448" s="31">
        <v>0</v>
      </c>
      <c r="Q448" s="31">
        <v>0</v>
      </c>
      <c r="R448" s="31">
        <v>0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8">
        <v>39473.449999999997</v>
      </c>
      <c r="AD448" s="38">
        <v>84892.17</v>
      </c>
      <c r="AE448" s="31">
        <v>0</v>
      </c>
      <c r="AF448" s="33">
        <v>2020</v>
      </c>
      <c r="AG448" s="33">
        <v>2020</v>
      </c>
      <c r="AH448" s="34">
        <v>2020</v>
      </c>
      <c r="AT448" s="20" t="e">
        <f>VLOOKUP(C448,AW:AX,2,FALSE)</f>
        <v>#N/A</v>
      </c>
      <c r="BZ448" s="64"/>
      <c r="CD448" s="20" t="e">
        <f t="shared" si="82"/>
        <v>#N/A</v>
      </c>
    </row>
    <row r="449" spans="1:82" ht="61.5" x14ac:dyDescent="0.85">
      <c r="A449" s="20">
        <v>1</v>
      </c>
      <c r="B449" s="60">
        <f>SUBTOTAL(103,$A$22:A449)</f>
        <v>388</v>
      </c>
      <c r="C449" s="24" t="s">
        <v>1242</v>
      </c>
      <c r="D449" s="31">
        <f t="shared" si="81"/>
        <v>2250237.6300000004</v>
      </c>
      <c r="E449" s="31">
        <v>0</v>
      </c>
      <c r="F449" s="31">
        <v>0</v>
      </c>
      <c r="G449" s="31">
        <v>0</v>
      </c>
      <c r="H449" s="31">
        <v>0</v>
      </c>
      <c r="I449" s="31">
        <v>0</v>
      </c>
      <c r="J449" s="31">
        <v>0</v>
      </c>
      <c r="K449" s="67">
        <v>0</v>
      </c>
      <c r="L449" s="31">
        <v>0</v>
      </c>
      <c r="M449" s="38">
        <v>678.5</v>
      </c>
      <c r="N449" s="38">
        <v>2217146.7200000002</v>
      </c>
      <c r="O449" s="31">
        <v>0</v>
      </c>
      <c r="P449" s="31">
        <v>0</v>
      </c>
      <c r="Q449" s="31">
        <v>0</v>
      </c>
      <c r="R449" s="31">
        <v>0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f>ROUND(N449*1.4925%,2)</f>
        <v>33090.910000000003</v>
      </c>
      <c r="AD449" s="31">
        <v>0</v>
      </c>
      <c r="AE449" s="31">
        <v>0</v>
      </c>
      <c r="AF449" s="33" t="s">
        <v>268</v>
      </c>
      <c r="AG449" s="33">
        <v>2020</v>
      </c>
      <c r="AH449" s="34">
        <v>2020</v>
      </c>
      <c r="BZ449" s="64"/>
      <c r="CD449" s="20">
        <f t="shared" si="82"/>
        <v>678.5</v>
      </c>
    </row>
    <row r="450" spans="1:82" ht="61.5" x14ac:dyDescent="0.85">
      <c r="A450" s="20">
        <v>1</v>
      </c>
      <c r="B450" s="60">
        <f>SUBTOTAL(103,$A$22:A450)</f>
        <v>389</v>
      </c>
      <c r="C450" s="24" t="s">
        <v>1243</v>
      </c>
      <c r="D450" s="31">
        <f t="shared" si="81"/>
        <v>2695769.57</v>
      </c>
      <c r="E450" s="31">
        <v>0</v>
      </c>
      <c r="F450" s="31">
        <v>0</v>
      </c>
      <c r="G450" s="31">
        <v>0</v>
      </c>
      <c r="H450" s="31">
        <v>0</v>
      </c>
      <c r="I450" s="31">
        <v>0</v>
      </c>
      <c r="J450" s="31">
        <v>0</v>
      </c>
      <c r="K450" s="67">
        <v>0</v>
      </c>
      <c r="L450" s="31">
        <v>0</v>
      </c>
      <c r="M450" s="38">
        <v>1273.99</v>
      </c>
      <c r="N450" s="38">
        <v>2656126.88</v>
      </c>
      <c r="O450" s="31">
        <v>0</v>
      </c>
      <c r="P450" s="31">
        <v>0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f>ROUND(N450*1.4925%,2)</f>
        <v>39642.69</v>
      </c>
      <c r="AD450" s="31">
        <v>0</v>
      </c>
      <c r="AE450" s="31">
        <v>0</v>
      </c>
      <c r="AF450" s="33" t="s">
        <v>268</v>
      </c>
      <c r="AG450" s="33">
        <v>2020</v>
      </c>
      <c r="AH450" s="34">
        <v>2020</v>
      </c>
      <c r="BZ450" s="64"/>
      <c r="CD450" s="20">
        <f t="shared" si="82"/>
        <v>1278.8</v>
      </c>
    </row>
    <row r="451" spans="1:82" ht="61.5" x14ac:dyDescent="0.85">
      <c r="A451" s="20">
        <v>1</v>
      </c>
      <c r="B451" s="60">
        <f>SUBTOTAL(103,$A$22:A451)</f>
        <v>390</v>
      </c>
      <c r="C451" s="24" t="s">
        <v>1245</v>
      </c>
      <c r="D451" s="31">
        <f t="shared" si="81"/>
        <v>791834.9</v>
      </c>
      <c r="E451" s="31">
        <v>0</v>
      </c>
      <c r="F451" s="31">
        <v>0</v>
      </c>
      <c r="G451" s="31">
        <v>0</v>
      </c>
      <c r="H451" s="31">
        <v>0</v>
      </c>
      <c r="I451" s="31">
        <v>0</v>
      </c>
      <c r="J451" s="31">
        <v>0</v>
      </c>
      <c r="K451" s="67">
        <v>0</v>
      </c>
      <c r="L451" s="31">
        <v>0</v>
      </c>
      <c r="M451" s="38">
        <v>234</v>
      </c>
      <c r="N451" s="38">
        <v>788296.24</v>
      </c>
      <c r="O451" s="31">
        <v>0</v>
      </c>
      <c r="P451" s="31">
        <v>0</v>
      </c>
      <c r="Q451" s="31">
        <v>0</v>
      </c>
      <c r="R451" s="31">
        <v>0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f>ROUND(N451*0.4489%,2)</f>
        <v>3538.66</v>
      </c>
      <c r="AD451" s="31">
        <v>0</v>
      </c>
      <c r="AE451" s="31">
        <v>0</v>
      </c>
      <c r="AF451" s="33" t="s">
        <v>268</v>
      </c>
      <c r="AG451" s="33">
        <v>2020</v>
      </c>
      <c r="AH451" s="34">
        <v>2020</v>
      </c>
      <c r="BZ451" s="64"/>
      <c r="CD451" s="20">
        <f t="shared" si="82"/>
        <v>225.04</v>
      </c>
    </row>
    <row r="452" spans="1:82" ht="61.5" x14ac:dyDescent="0.85">
      <c r="A452" s="20">
        <v>1</v>
      </c>
      <c r="B452" s="60">
        <f>SUBTOTAL(103,$A$22:A452)</f>
        <v>391</v>
      </c>
      <c r="C452" s="24" t="s">
        <v>1246</v>
      </c>
      <c r="D452" s="31">
        <f>E452+F452+G452+H452+I452+J452+L452+N452+P452+R452+T452+U452+V452+W452+X452+Y452+Z452+AA452+AB452+AC452+AD452+AE452</f>
        <v>1207929.18</v>
      </c>
      <c r="E452" s="31">
        <v>0</v>
      </c>
      <c r="F452" s="31">
        <v>0</v>
      </c>
      <c r="G452" s="31">
        <v>0</v>
      </c>
      <c r="H452" s="31">
        <v>0</v>
      </c>
      <c r="I452" s="31">
        <v>0</v>
      </c>
      <c r="J452" s="31">
        <v>0</v>
      </c>
      <c r="K452" s="67">
        <v>0</v>
      </c>
      <c r="L452" s="31">
        <v>0</v>
      </c>
      <c r="M452" s="38">
        <v>347.46</v>
      </c>
      <c r="N452" s="38">
        <v>1202531.02</v>
      </c>
      <c r="O452" s="31">
        <v>0</v>
      </c>
      <c r="P452" s="31">
        <v>0</v>
      </c>
      <c r="Q452" s="31">
        <v>0</v>
      </c>
      <c r="R452" s="31">
        <v>0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f>ROUND(N452*0.4489%,2)</f>
        <v>5398.16</v>
      </c>
      <c r="AD452" s="31">
        <v>0</v>
      </c>
      <c r="AE452" s="31">
        <v>0</v>
      </c>
      <c r="AF452" s="33" t="s">
        <v>268</v>
      </c>
      <c r="AG452" s="33">
        <v>2020</v>
      </c>
      <c r="AH452" s="34">
        <v>2020</v>
      </c>
      <c r="BZ452" s="64"/>
      <c r="CD452" s="20">
        <f t="shared" si="82"/>
        <v>337</v>
      </c>
    </row>
    <row r="453" spans="1:82" ht="61.5" x14ac:dyDescent="0.85">
      <c r="A453" s="20">
        <v>1</v>
      </c>
      <c r="B453" s="60">
        <f>SUBTOTAL(103,$A$22:A453)</f>
        <v>392</v>
      </c>
      <c r="C453" s="24" t="s">
        <v>58</v>
      </c>
      <c r="D453" s="31">
        <f>E453+F453+G453+H453+I453+J453+L453+N453+P453+R453+T453+U453+V453+W453+X453+Y453+Z453+AA453+AB453+AC453+AD453+AE453</f>
        <v>77311.89</v>
      </c>
      <c r="E453" s="31">
        <v>0</v>
      </c>
      <c r="F453" s="31">
        <v>0</v>
      </c>
      <c r="G453" s="31">
        <v>0</v>
      </c>
      <c r="H453" s="31">
        <v>0</v>
      </c>
      <c r="I453" s="31">
        <v>0</v>
      </c>
      <c r="J453" s="31">
        <v>0</v>
      </c>
      <c r="K453" s="67">
        <v>0</v>
      </c>
      <c r="L453" s="31">
        <v>0</v>
      </c>
      <c r="M453" s="31">
        <v>0</v>
      </c>
      <c r="N453" s="31">
        <v>0</v>
      </c>
      <c r="O453" s="31">
        <v>0</v>
      </c>
      <c r="P453" s="31">
        <v>0</v>
      </c>
      <c r="Q453" s="31">
        <v>0</v>
      </c>
      <c r="R453" s="31">
        <v>0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f>ROUND(N453*1.5%,2)</f>
        <v>0</v>
      </c>
      <c r="AD453" s="31">
        <v>77311.89</v>
      </c>
      <c r="AE453" s="31">
        <v>0</v>
      </c>
      <c r="AF453" s="33">
        <v>2020</v>
      </c>
      <c r="AG453" s="33" t="s">
        <v>268</v>
      </c>
      <c r="AH453" s="33" t="s">
        <v>268</v>
      </c>
      <c r="AT453" s="20" t="e">
        <f>VLOOKUP(C453,AW:AX,2,FALSE)</f>
        <v>#N/A</v>
      </c>
      <c r="BZ453" s="64"/>
      <c r="CD453" s="20" t="e">
        <f t="shared" si="82"/>
        <v>#N/A</v>
      </c>
    </row>
    <row r="454" spans="1:82" ht="61.5" x14ac:dyDescent="0.85">
      <c r="A454" s="20">
        <v>1</v>
      </c>
      <c r="B454" s="60">
        <f>SUBTOTAL(103,$A$22:A454)</f>
        <v>393</v>
      </c>
      <c r="C454" s="24" t="s">
        <v>59</v>
      </c>
      <c r="D454" s="31">
        <f>E454+F454+G454+H454+I454+J454+L454+N454+P454+R454+T454+U454+V454+W454+X454+Y454+Z454+AA454+AB454+AC454+AD454+AE454</f>
        <v>76900.47</v>
      </c>
      <c r="E454" s="31">
        <v>0</v>
      </c>
      <c r="F454" s="31">
        <v>0</v>
      </c>
      <c r="G454" s="31">
        <v>0</v>
      </c>
      <c r="H454" s="31">
        <v>0</v>
      </c>
      <c r="I454" s="31">
        <v>0</v>
      </c>
      <c r="J454" s="31">
        <v>0</v>
      </c>
      <c r="K454" s="67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f>ROUND(N454*1.5%,2)</f>
        <v>0</v>
      </c>
      <c r="AD454" s="31">
        <v>76900.47</v>
      </c>
      <c r="AE454" s="31">
        <v>0</v>
      </c>
      <c r="AF454" s="33">
        <v>2020</v>
      </c>
      <c r="AG454" s="33" t="s">
        <v>268</v>
      </c>
      <c r="AH454" s="33" t="s">
        <v>268</v>
      </c>
      <c r="AT454" s="20" t="e">
        <f>VLOOKUP(C454,AW:AX,2,FALSE)</f>
        <v>#N/A</v>
      </c>
      <c r="BZ454" s="64"/>
      <c r="CD454" s="20" t="e">
        <f t="shared" si="82"/>
        <v>#N/A</v>
      </c>
    </row>
    <row r="455" spans="1:82" ht="61.5" x14ac:dyDescent="0.85">
      <c r="B455" s="24" t="s">
        <v>883</v>
      </c>
      <c r="C455" s="24"/>
      <c r="D455" s="199">
        <f>D456</f>
        <v>3622790.6399999997</v>
      </c>
      <c r="E455" s="31">
        <f t="shared" ref="E455:AE455" si="83">E456</f>
        <v>0</v>
      </c>
      <c r="F455" s="31">
        <f t="shared" si="83"/>
        <v>0</v>
      </c>
      <c r="G455" s="31">
        <f t="shared" si="83"/>
        <v>0</v>
      </c>
      <c r="H455" s="31">
        <f t="shared" si="83"/>
        <v>0</v>
      </c>
      <c r="I455" s="31">
        <f t="shared" si="83"/>
        <v>0</v>
      </c>
      <c r="J455" s="31">
        <f t="shared" si="83"/>
        <v>0</v>
      </c>
      <c r="K455" s="67">
        <f t="shared" si="83"/>
        <v>0</v>
      </c>
      <c r="L455" s="31">
        <f t="shared" si="83"/>
        <v>0</v>
      </c>
      <c r="M455" s="31">
        <f t="shared" si="83"/>
        <v>837.3</v>
      </c>
      <c r="N455" s="31">
        <f t="shared" si="83"/>
        <v>3606600.61</v>
      </c>
      <c r="O455" s="31">
        <f t="shared" si="83"/>
        <v>0</v>
      </c>
      <c r="P455" s="31">
        <f t="shared" si="83"/>
        <v>0</v>
      </c>
      <c r="Q455" s="31">
        <f t="shared" si="83"/>
        <v>0</v>
      </c>
      <c r="R455" s="31">
        <f t="shared" si="83"/>
        <v>0</v>
      </c>
      <c r="S455" s="31">
        <f t="shared" si="83"/>
        <v>0</v>
      </c>
      <c r="T455" s="31">
        <f t="shared" si="83"/>
        <v>0</v>
      </c>
      <c r="U455" s="31">
        <f t="shared" si="83"/>
        <v>0</v>
      </c>
      <c r="V455" s="31">
        <f t="shared" si="83"/>
        <v>0</v>
      </c>
      <c r="W455" s="31">
        <f t="shared" si="83"/>
        <v>0</v>
      </c>
      <c r="X455" s="31">
        <f t="shared" si="83"/>
        <v>0</v>
      </c>
      <c r="Y455" s="31">
        <f t="shared" si="83"/>
        <v>0</v>
      </c>
      <c r="Z455" s="31">
        <f t="shared" si="83"/>
        <v>0</v>
      </c>
      <c r="AA455" s="31">
        <f t="shared" si="83"/>
        <v>0</v>
      </c>
      <c r="AB455" s="31">
        <f t="shared" si="83"/>
        <v>0</v>
      </c>
      <c r="AC455" s="31">
        <f t="shared" si="83"/>
        <v>16190.03</v>
      </c>
      <c r="AD455" s="31">
        <f t="shared" si="83"/>
        <v>0</v>
      </c>
      <c r="AE455" s="31">
        <f t="shared" si="83"/>
        <v>0</v>
      </c>
      <c r="AF455" s="65" t="s">
        <v>751</v>
      </c>
      <c r="AG455" s="65" t="s">
        <v>751</v>
      </c>
      <c r="AH455" s="79" t="s">
        <v>751</v>
      </c>
      <c r="AT455" s="20" t="e">
        <f>VLOOKUP(C455,AW:AX,2,FALSE)</f>
        <v>#N/A</v>
      </c>
      <c r="BZ455" s="64">
        <v>3726576.42</v>
      </c>
      <c r="CD455" s="20" t="e">
        <f t="shared" si="82"/>
        <v>#N/A</v>
      </c>
    </row>
    <row r="456" spans="1:82" ht="61.5" x14ac:dyDescent="0.85">
      <c r="A456" s="20">
        <v>1</v>
      </c>
      <c r="B456" s="60">
        <f>SUBTOTAL(103,$A$22:A456)</f>
        <v>394</v>
      </c>
      <c r="C456" s="24" t="s">
        <v>1548</v>
      </c>
      <c r="D456" s="31">
        <f>E456+F456+G456+H456+I456+J456+L456+N456+P456+R456+T456+U456+V456+W456+X456+Y456+Z456+AA456+AB456+AC456+AD456+AE456</f>
        <v>3622790.6399999997</v>
      </c>
      <c r="E456" s="31">
        <v>0</v>
      </c>
      <c r="F456" s="31">
        <v>0</v>
      </c>
      <c r="G456" s="31">
        <v>0</v>
      </c>
      <c r="H456" s="31">
        <v>0</v>
      </c>
      <c r="I456" s="31">
        <v>0</v>
      </c>
      <c r="J456" s="31">
        <v>0</v>
      </c>
      <c r="K456" s="67">
        <v>0</v>
      </c>
      <c r="L456" s="31">
        <v>0</v>
      </c>
      <c r="M456" s="38">
        <v>837.3</v>
      </c>
      <c r="N456" s="38">
        <v>3606600.61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f>ROUND(N456*0.4489%,2)</f>
        <v>16190.03</v>
      </c>
      <c r="AD456" s="31">
        <v>0</v>
      </c>
      <c r="AE456" s="31">
        <v>0</v>
      </c>
      <c r="AF456" s="33" t="s">
        <v>268</v>
      </c>
      <c r="AG456" s="33">
        <v>2020</v>
      </c>
      <c r="AH456" s="34">
        <v>2020</v>
      </c>
      <c r="BZ456" s="64"/>
      <c r="CD456" s="20">
        <f t="shared" si="82"/>
        <v>837.3</v>
      </c>
    </row>
    <row r="457" spans="1:82" ht="61.5" x14ac:dyDescent="0.85">
      <c r="B457" s="24" t="s">
        <v>847</v>
      </c>
      <c r="C457" s="198"/>
      <c r="D457" s="199">
        <f>D458</f>
        <v>3515825.94</v>
      </c>
      <c r="E457" s="31">
        <f t="shared" ref="E457:AE457" si="84">E458</f>
        <v>0</v>
      </c>
      <c r="F457" s="31">
        <f t="shared" si="84"/>
        <v>0</v>
      </c>
      <c r="G457" s="31">
        <f t="shared" si="84"/>
        <v>0</v>
      </c>
      <c r="H457" s="31">
        <f t="shared" si="84"/>
        <v>0</v>
      </c>
      <c r="I457" s="31">
        <f t="shared" si="84"/>
        <v>0</v>
      </c>
      <c r="J457" s="31">
        <f t="shared" si="84"/>
        <v>0</v>
      </c>
      <c r="K457" s="67">
        <f t="shared" si="84"/>
        <v>0</v>
      </c>
      <c r="L457" s="31">
        <f t="shared" si="84"/>
        <v>0</v>
      </c>
      <c r="M457" s="31">
        <f t="shared" si="84"/>
        <v>806.42</v>
      </c>
      <c r="N457" s="31">
        <f t="shared" si="84"/>
        <v>3418104.51</v>
      </c>
      <c r="O457" s="31">
        <f t="shared" si="84"/>
        <v>0</v>
      </c>
      <c r="P457" s="31">
        <f t="shared" si="84"/>
        <v>0</v>
      </c>
      <c r="Q457" s="31">
        <f t="shared" si="84"/>
        <v>0</v>
      </c>
      <c r="R457" s="31">
        <f t="shared" si="84"/>
        <v>0</v>
      </c>
      <c r="S457" s="31">
        <f t="shared" si="84"/>
        <v>0</v>
      </c>
      <c r="T457" s="31">
        <f t="shared" si="84"/>
        <v>0</v>
      </c>
      <c r="U457" s="31">
        <f t="shared" si="84"/>
        <v>0</v>
      </c>
      <c r="V457" s="31">
        <f t="shared" si="84"/>
        <v>0</v>
      </c>
      <c r="W457" s="31">
        <f t="shared" si="84"/>
        <v>0</v>
      </c>
      <c r="X457" s="31">
        <f t="shared" si="84"/>
        <v>0</v>
      </c>
      <c r="Y457" s="31">
        <f t="shared" si="84"/>
        <v>0</v>
      </c>
      <c r="Z457" s="31">
        <f t="shared" si="84"/>
        <v>0</v>
      </c>
      <c r="AA457" s="31">
        <f t="shared" si="84"/>
        <v>0</v>
      </c>
      <c r="AB457" s="31">
        <f t="shared" si="84"/>
        <v>0</v>
      </c>
      <c r="AC457" s="31">
        <f t="shared" si="84"/>
        <v>34608.31</v>
      </c>
      <c r="AD457" s="31">
        <f t="shared" si="84"/>
        <v>63113.120000000003</v>
      </c>
      <c r="AE457" s="31">
        <f t="shared" si="84"/>
        <v>0</v>
      </c>
      <c r="AF457" s="65" t="s">
        <v>751</v>
      </c>
      <c r="AG457" s="65" t="s">
        <v>751</v>
      </c>
      <c r="AH457" s="79" t="s">
        <v>751</v>
      </c>
      <c r="AT457" s="20" t="e">
        <f>VLOOKUP(C457,AW:AX,2,FALSE)</f>
        <v>#N/A</v>
      </c>
      <c r="BZ457" s="64">
        <v>5198352.66</v>
      </c>
      <c r="CD457" s="20" t="e">
        <f t="shared" si="82"/>
        <v>#N/A</v>
      </c>
    </row>
    <row r="458" spans="1:82" ht="61.5" x14ac:dyDescent="0.85">
      <c r="A458" s="20">
        <v>1</v>
      </c>
      <c r="B458" s="60">
        <f>SUBTOTAL(103,$A$22:A458)</f>
        <v>395</v>
      </c>
      <c r="C458" s="24" t="s">
        <v>227</v>
      </c>
      <c r="D458" s="31">
        <f>E458+F458+G458+H458+I458+J458+L458+N458+P458+R458+T458+U458+V458+W458+X458+Y458+Z458+AA458+AB458+AC458+AD458+AE458</f>
        <v>3515825.94</v>
      </c>
      <c r="E458" s="31">
        <v>0</v>
      </c>
      <c r="F458" s="31">
        <v>0</v>
      </c>
      <c r="G458" s="31">
        <v>0</v>
      </c>
      <c r="H458" s="31">
        <v>0</v>
      </c>
      <c r="I458" s="31">
        <v>0</v>
      </c>
      <c r="J458" s="31">
        <v>0</v>
      </c>
      <c r="K458" s="67">
        <v>0</v>
      </c>
      <c r="L458" s="31">
        <v>0</v>
      </c>
      <c r="M458" s="38">
        <v>806.42</v>
      </c>
      <c r="N458" s="144">
        <v>3418104.51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8">
        <v>34608.31</v>
      </c>
      <c r="AD458" s="38">
        <v>63113.120000000003</v>
      </c>
      <c r="AE458" s="31">
        <v>0</v>
      </c>
      <c r="AF458" s="33">
        <v>2020</v>
      </c>
      <c r="AG458" s="33">
        <v>2020</v>
      </c>
      <c r="AH458" s="34">
        <v>2020</v>
      </c>
      <c r="AT458" s="20" t="e">
        <f>VLOOKUP(C458,AW:AX,2,FALSE)</f>
        <v>#N/A</v>
      </c>
      <c r="BZ458" s="64"/>
      <c r="CD458" s="20">
        <f t="shared" si="82"/>
        <v>806.38</v>
      </c>
    </row>
    <row r="459" spans="1:82" ht="61.5" x14ac:dyDescent="0.85">
      <c r="B459" s="24" t="s">
        <v>848</v>
      </c>
      <c r="C459" s="24"/>
      <c r="D459" s="199">
        <f t="shared" ref="D459:AE459" si="85">D460</f>
        <v>1371104.41</v>
      </c>
      <c r="E459" s="31">
        <f t="shared" si="85"/>
        <v>0</v>
      </c>
      <c r="F459" s="31">
        <f t="shared" si="85"/>
        <v>0</v>
      </c>
      <c r="G459" s="31">
        <f t="shared" si="85"/>
        <v>0</v>
      </c>
      <c r="H459" s="31">
        <f t="shared" si="85"/>
        <v>0</v>
      </c>
      <c r="I459" s="31">
        <f t="shared" si="85"/>
        <v>0</v>
      </c>
      <c r="J459" s="31">
        <f t="shared" si="85"/>
        <v>0</v>
      </c>
      <c r="K459" s="67">
        <f t="shared" si="85"/>
        <v>0</v>
      </c>
      <c r="L459" s="31">
        <f t="shared" si="85"/>
        <v>0</v>
      </c>
      <c r="M459" s="31">
        <f t="shared" si="85"/>
        <v>302</v>
      </c>
      <c r="N459" s="31">
        <f t="shared" si="85"/>
        <v>1318463.79</v>
      </c>
      <c r="O459" s="31">
        <f t="shared" si="85"/>
        <v>0</v>
      </c>
      <c r="P459" s="31">
        <f t="shared" si="85"/>
        <v>0</v>
      </c>
      <c r="Q459" s="31">
        <f t="shared" si="85"/>
        <v>0</v>
      </c>
      <c r="R459" s="31">
        <f t="shared" si="85"/>
        <v>0</v>
      </c>
      <c r="S459" s="31">
        <f t="shared" si="85"/>
        <v>0</v>
      </c>
      <c r="T459" s="31">
        <f t="shared" si="85"/>
        <v>0</v>
      </c>
      <c r="U459" s="31">
        <f t="shared" si="85"/>
        <v>0</v>
      </c>
      <c r="V459" s="31">
        <f t="shared" si="85"/>
        <v>0</v>
      </c>
      <c r="W459" s="31">
        <f t="shared" si="85"/>
        <v>0</v>
      </c>
      <c r="X459" s="31">
        <f t="shared" si="85"/>
        <v>0</v>
      </c>
      <c r="Y459" s="31">
        <f t="shared" si="85"/>
        <v>0</v>
      </c>
      <c r="Z459" s="31">
        <f t="shared" si="85"/>
        <v>0</v>
      </c>
      <c r="AA459" s="31">
        <f t="shared" si="85"/>
        <v>0</v>
      </c>
      <c r="AB459" s="31">
        <f t="shared" si="85"/>
        <v>0</v>
      </c>
      <c r="AC459" s="31">
        <f t="shared" si="85"/>
        <v>13349.45</v>
      </c>
      <c r="AD459" s="31">
        <f t="shared" si="85"/>
        <v>39291.17</v>
      </c>
      <c r="AE459" s="31">
        <f t="shared" si="85"/>
        <v>0</v>
      </c>
      <c r="AF459" s="65" t="s">
        <v>751</v>
      </c>
      <c r="AG459" s="65" t="s">
        <v>751</v>
      </c>
      <c r="AH459" s="79" t="s">
        <v>751</v>
      </c>
      <c r="AT459" s="20" t="e">
        <f>VLOOKUP(C459,AW:AX,2,FALSE)</f>
        <v>#N/A</v>
      </c>
      <c r="BZ459" s="64">
        <v>1821119.2799999998</v>
      </c>
      <c r="CD459" s="20" t="e">
        <f t="shared" si="82"/>
        <v>#N/A</v>
      </c>
    </row>
    <row r="460" spans="1:82" ht="61.5" x14ac:dyDescent="0.85">
      <c r="A460" s="20">
        <v>1</v>
      </c>
      <c r="B460" s="60">
        <f>SUBTOTAL(103,$A$22:A460)</f>
        <v>396</v>
      </c>
      <c r="C460" s="24" t="s">
        <v>230</v>
      </c>
      <c r="D460" s="31">
        <f>E460+F460+G460+H460+I460+J460+L460+N460+P460+R460+T460+U460+V460+W460+X460+Y460+Z460+AA460+AB460+AC460+AD460+AE460</f>
        <v>1371104.41</v>
      </c>
      <c r="E460" s="31">
        <v>0</v>
      </c>
      <c r="F460" s="31">
        <v>0</v>
      </c>
      <c r="G460" s="31">
        <v>0</v>
      </c>
      <c r="H460" s="31">
        <v>0</v>
      </c>
      <c r="I460" s="31">
        <v>0</v>
      </c>
      <c r="J460" s="31">
        <v>0</v>
      </c>
      <c r="K460" s="67">
        <v>0</v>
      </c>
      <c r="L460" s="31">
        <v>0</v>
      </c>
      <c r="M460" s="38">
        <v>302</v>
      </c>
      <c r="N460" s="38">
        <v>1318463.79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144">
        <v>13349.45</v>
      </c>
      <c r="AD460" s="38">
        <v>39291.17</v>
      </c>
      <c r="AE460" s="31">
        <v>0</v>
      </c>
      <c r="AF460" s="33">
        <v>2020</v>
      </c>
      <c r="AG460" s="33">
        <v>2020</v>
      </c>
      <c r="AH460" s="34">
        <v>2020</v>
      </c>
      <c r="AT460" s="20" t="e">
        <f>VLOOKUP(C460,AW:AX,2,FALSE)</f>
        <v>#N/A</v>
      </c>
      <c r="BZ460" s="64"/>
      <c r="CD460" s="20">
        <f t="shared" si="82"/>
        <v>308.60000000000002</v>
      </c>
    </row>
    <row r="461" spans="1:82" ht="61.5" x14ac:dyDescent="0.85">
      <c r="B461" s="24" t="s">
        <v>1288</v>
      </c>
      <c r="C461" s="24"/>
      <c r="D461" s="199">
        <f>D462</f>
        <v>40161.910000000003</v>
      </c>
      <c r="E461" s="31">
        <f t="shared" ref="E461:AE461" si="86">E462</f>
        <v>0</v>
      </c>
      <c r="F461" s="31">
        <f t="shared" si="86"/>
        <v>0</v>
      </c>
      <c r="G461" s="31">
        <f t="shared" si="86"/>
        <v>0</v>
      </c>
      <c r="H461" s="31">
        <f t="shared" si="86"/>
        <v>0</v>
      </c>
      <c r="I461" s="31">
        <f t="shared" si="86"/>
        <v>0</v>
      </c>
      <c r="J461" s="31">
        <f t="shared" si="86"/>
        <v>0</v>
      </c>
      <c r="K461" s="67">
        <f t="shared" si="86"/>
        <v>0</v>
      </c>
      <c r="L461" s="31">
        <f t="shared" si="86"/>
        <v>0</v>
      </c>
      <c r="M461" s="31">
        <f t="shared" si="86"/>
        <v>0</v>
      </c>
      <c r="N461" s="31">
        <f t="shared" si="86"/>
        <v>0</v>
      </c>
      <c r="O461" s="31">
        <f t="shared" si="86"/>
        <v>0</v>
      </c>
      <c r="P461" s="31">
        <f t="shared" si="86"/>
        <v>0</v>
      </c>
      <c r="Q461" s="31">
        <f t="shared" si="86"/>
        <v>0</v>
      </c>
      <c r="R461" s="31">
        <f t="shared" si="86"/>
        <v>0</v>
      </c>
      <c r="S461" s="31">
        <f t="shared" si="86"/>
        <v>0</v>
      </c>
      <c r="T461" s="31">
        <f t="shared" si="86"/>
        <v>0</v>
      </c>
      <c r="U461" s="31">
        <f t="shared" si="86"/>
        <v>0</v>
      </c>
      <c r="V461" s="31">
        <f t="shared" si="86"/>
        <v>0</v>
      </c>
      <c r="W461" s="31">
        <f t="shared" si="86"/>
        <v>0</v>
      </c>
      <c r="X461" s="31">
        <f t="shared" si="86"/>
        <v>0</v>
      </c>
      <c r="Y461" s="31">
        <f t="shared" si="86"/>
        <v>0</v>
      </c>
      <c r="Z461" s="31">
        <f t="shared" si="86"/>
        <v>0</v>
      </c>
      <c r="AA461" s="31">
        <f t="shared" si="86"/>
        <v>0</v>
      </c>
      <c r="AB461" s="31">
        <f t="shared" si="86"/>
        <v>0</v>
      </c>
      <c r="AC461" s="31">
        <f t="shared" si="86"/>
        <v>0</v>
      </c>
      <c r="AD461" s="31">
        <f t="shared" si="86"/>
        <v>40161.910000000003</v>
      </c>
      <c r="AE461" s="31">
        <f t="shared" si="86"/>
        <v>0</v>
      </c>
      <c r="AF461" s="65" t="s">
        <v>751</v>
      </c>
      <c r="AG461" s="65" t="s">
        <v>751</v>
      </c>
      <c r="AH461" s="79" t="s">
        <v>751</v>
      </c>
      <c r="BZ461" s="64">
        <v>4609049.76</v>
      </c>
      <c r="CD461" s="20" t="e">
        <f t="shared" si="82"/>
        <v>#N/A</v>
      </c>
    </row>
    <row r="462" spans="1:82" ht="61.5" x14ac:dyDescent="0.85">
      <c r="A462" s="20">
        <v>1</v>
      </c>
      <c r="B462" s="60">
        <f>SUBTOTAL(103,$A$22:A462)</f>
        <v>397</v>
      </c>
      <c r="C462" s="24" t="s">
        <v>1289</v>
      </c>
      <c r="D462" s="31">
        <f>E462+F462+G462+H462+I462+J462+L462+N462+P462+R462+T462+U462+V462+W462+X462+Y462+Z462+AA462+AB462+AC462+AD462+AE462</f>
        <v>40161.910000000003</v>
      </c>
      <c r="E462" s="31">
        <v>0</v>
      </c>
      <c r="F462" s="31">
        <v>0</v>
      </c>
      <c r="G462" s="31">
        <v>0</v>
      </c>
      <c r="H462" s="31">
        <v>0</v>
      </c>
      <c r="I462" s="31">
        <v>0</v>
      </c>
      <c r="J462" s="31">
        <v>0</v>
      </c>
      <c r="K462" s="67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f>ROUND(N462*1.5%,2)</f>
        <v>0</v>
      </c>
      <c r="AD462" s="38">
        <v>40161.910000000003</v>
      </c>
      <c r="AE462" s="31">
        <v>0</v>
      </c>
      <c r="AF462" s="33">
        <v>2020</v>
      </c>
      <c r="AG462" s="33" t="s">
        <v>268</v>
      </c>
      <c r="AH462" s="33" t="s">
        <v>268</v>
      </c>
      <c r="BZ462" s="64"/>
      <c r="CD462" s="20">
        <f t="shared" si="82"/>
        <v>735</v>
      </c>
    </row>
    <row r="463" spans="1:82" ht="61.5" x14ac:dyDescent="0.85">
      <c r="B463" s="24" t="s">
        <v>849</v>
      </c>
      <c r="C463" s="198"/>
      <c r="D463" s="199">
        <f t="shared" ref="D463:AE463" si="87">D464</f>
        <v>127877.6</v>
      </c>
      <c r="E463" s="31">
        <f t="shared" si="87"/>
        <v>0</v>
      </c>
      <c r="F463" s="31">
        <f t="shared" si="87"/>
        <v>0</v>
      </c>
      <c r="G463" s="31">
        <f t="shared" si="87"/>
        <v>0</v>
      </c>
      <c r="H463" s="31">
        <f t="shared" si="87"/>
        <v>0</v>
      </c>
      <c r="I463" s="31">
        <f t="shared" si="87"/>
        <v>0</v>
      </c>
      <c r="J463" s="31">
        <f t="shared" si="87"/>
        <v>0</v>
      </c>
      <c r="K463" s="67">
        <f t="shared" si="87"/>
        <v>0</v>
      </c>
      <c r="L463" s="31">
        <f t="shared" si="87"/>
        <v>0</v>
      </c>
      <c r="M463" s="31">
        <f t="shared" si="87"/>
        <v>0</v>
      </c>
      <c r="N463" s="31">
        <f t="shared" si="87"/>
        <v>0</v>
      </c>
      <c r="O463" s="31">
        <f t="shared" si="87"/>
        <v>0</v>
      </c>
      <c r="P463" s="31">
        <f t="shared" si="87"/>
        <v>0</v>
      </c>
      <c r="Q463" s="31">
        <f t="shared" si="87"/>
        <v>0</v>
      </c>
      <c r="R463" s="31">
        <f t="shared" si="87"/>
        <v>0</v>
      </c>
      <c r="S463" s="31">
        <f t="shared" si="87"/>
        <v>0</v>
      </c>
      <c r="T463" s="31">
        <f t="shared" si="87"/>
        <v>0</v>
      </c>
      <c r="U463" s="31">
        <f t="shared" si="87"/>
        <v>0</v>
      </c>
      <c r="V463" s="31">
        <f t="shared" si="87"/>
        <v>0</v>
      </c>
      <c r="W463" s="31">
        <f t="shared" si="87"/>
        <v>0</v>
      </c>
      <c r="X463" s="31">
        <f t="shared" si="87"/>
        <v>0</v>
      </c>
      <c r="Y463" s="31">
        <f t="shared" si="87"/>
        <v>0</v>
      </c>
      <c r="Z463" s="31">
        <f t="shared" si="87"/>
        <v>0</v>
      </c>
      <c r="AA463" s="31">
        <f t="shared" si="87"/>
        <v>0</v>
      </c>
      <c r="AB463" s="31">
        <f t="shared" si="87"/>
        <v>0</v>
      </c>
      <c r="AC463" s="31">
        <f t="shared" si="87"/>
        <v>0</v>
      </c>
      <c r="AD463" s="31">
        <f t="shared" si="87"/>
        <v>127877.6</v>
      </c>
      <c r="AE463" s="31">
        <f t="shared" si="87"/>
        <v>0</v>
      </c>
      <c r="AF463" s="65" t="s">
        <v>751</v>
      </c>
      <c r="AG463" s="65" t="s">
        <v>751</v>
      </c>
      <c r="AH463" s="79" t="s">
        <v>751</v>
      </c>
      <c r="AT463" s="20" t="e">
        <f t="shared" ref="AT463:AT469" si="88">VLOOKUP(C463,AW:AX,2,FALSE)</f>
        <v>#N/A</v>
      </c>
      <c r="BZ463" s="64">
        <v>5368567.4000000004</v>
      </c>
      <c r="CD463" s="20" t="e">
        <f t="shared" si="82"/>
        <v>#N/A</v>
      </c>
    </row>
    <row r="464" spans="1:82" ht="61.5" x14ac:dyDescent="0.85">
      <c r="A464" s="20">
        <v>1</v>
      </c>
      <c r="B464" s="60">
        <f>SUBTOTAL(103,$A$22:A464)</f>
        <v>398</v>
      </c>
      <c r="C464" s="24" t="s">
        <v>139</v>
      </c>
      <c r="D464" s="31">
        <f>E464+F464+G464+H464+I464+J464+L464+N464+P464+R464+T464+U464+V464+W464+X464+Y464+Z464+AA464+AB464+AC464+AD464+AE464</f>
        <v>127877.6</v>
      </c>
      <c r="E464" s="31">
        <v>0</v>
      </c>
      <c r="F464" s="31">
        <v>0</v>
      </c>
      <c r="G464" s="31">
        <v>0</v>
      </c>
      <c r="H464" s="31">
        <v>0</v>
      </c>
      <c r="I464" s="31">
        <v>0</v>
      </c>
      <c r="J464" s="31">
        <v>0</v>
      </c>
      <c r="K464" s="67">
        <v>0</v>
      </c>
      <c r="L464" s="31">
        <v>0</v>
      </c>
      <c r="M464" s="31">
        <v>0</v>
      </c>
      <c r="N464" s="31">
        <v>0</v>
      </c>
      <c r="O464" s="31">
        <v>0</v>
      </c>
      <c r="P464" s="31">
        <v>0</v>
      </c>
      <c r="Q464" s="31">
        <v>0</v>
      </c>
      <c r="R464" s="31">
        <v>0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f>ROUND(N464*1.5%,2)</f>
        <v>0</v>
      </c>
      <c r="AD464" s="144">
        <v>127877.6</v>
      </c>
      <c r="AE464" s="31">
        <v>0</v>
      </c>
      <c r="AF464" s="33">
        <v>2020</v>
      </c>
      <c r="AG464" s="33" t="s">
        <v>268</v>
      </c>
      <c r="AH464" s="33" t="s">
        <v>268</v>
      </c>
      <c r="AT464" s="20" t="e">
        <f t="shared" si="88"/>
        <v>#N/A</v>
      </c>
      <c r="BZ464" s="64"/>
      <c r="CD464" s="20" t="e">
        <f t="shared" si="82"/>
        <v>#N/A</v>
      </c>
    </row>
    <row r="465" spans="1:82" ht="61.5" x14ac:dyDescent="0.85">
      <c r="B465" s="24" t="s">
        <v>850</v>
      </c>
      <c r="C465" s="24"/>
      <c r="D465" s="199">
        <f t="shared" ref="D465:AE465" si="89">D466</f>
        <v>87573.72</v>
      </c>
      <c r="E465" s="31">
        <f t="shared" si="89"/>
        <v>0</v>
      </c>
      <c r="F465" s="31">
        <f t="shared" si="89"/>
        <v>0</v>
      </c>
      <c r="G465" s="31">
        <f t="shared" si="89"/>
        <v>0</v>
      </c>
      <c r="H465" s="31">
        <f t="shared" si="89"/>
        <v>0</v>
      </c>
      <c r="I465" s="31">
        <f t="shared" si="89"/>
        <v>0</v>
      </c>
      <c r="J465" s="31">
        <f t="shared" si="89"/>
        <v>0</v>
      </c>
      <c r="K465" s="67">
        <f t="shared" si="89"/>
        <v>0</v>
      </c>
      <c r="L465" s="31">
        <f t="shared" si="89"/>
        <v>0</v>
      </c>
      <c r="M465" s="31">
        <f t="shared" si="89"/>
        <v>0</v>
      </c>
      <c r="N465" s="31">
        <f t="shared" si="89"/>
        <v>0</v>
      </c>
      <c r="O465" s="31">
        <f t="shared" si="89"/>
        <v>0</v>
      </c>
      <c r="P465" s="31">
        <f t="shared" si="89"/>
        <v>0</v>
      </c>
      <c r="Q465" s="31">
        <f t="shared" si="89"/>
        <v>0</v>
      </c>
      <c r="R465" s="31">
        <f t="shared" si="89"/>
        <v>0</v>
      </c>
      <c r="S465" s="31">
        <f t="shared" si="89"/>
        <v>0</v>
      </c>
      <c r="T465" s="31">
        <f t="shared" si="89"/>
        <v>0</v>
      </c>
      <c r="U465" s="31">
        <f t="shared" si="89"/>
        <v>0</v>
      </c>
      <c r="V465" s="31">
        <f t="shared" si="89"/>
        <v>0</v>
      </c>
      <c r="W465" s="31">
        <f t="shared" si="89"/>
        <v>0</v>
      </c>
      <c r="X465" s="31">
        <f t="shared" si="89"/>
        <v>0</v>
      </c>
      <c r="Y465" s="31">
        <f t="shared" si="89"/>
        <v>0</v>
      </c>
      <c r="Z465" s="31">
        <f t="shared" si="89"/>
        <v>0</v>
      </c>
      <c r="AA465" s="31">
        <f t="shared" si="89"/>
        <v>0</v>
      </c>
      <c r="AB465" s="31">
        <f t="shared" si="89"/>
        <v>0</v>
      </c>
      <c r="AC465" s="31">
        <f t="shared" si="89"/>
        <v>0</v>
      </c>
      <c r="AD465" s="31">
        <f t="shared" si="89"/>
        <v>87573.72</v>
      </c>
      <c r="AE465" s="31">
        <f t="shared" si="89"/>
        <v>0</v>
      </c>
      <c r="AF465" s="65" t="s">
        <v>751</v>
      </c>
      <c r="AG465" s="65" t="s">
        <v>751</v>
      </c>
      <c r="AH465" s="79" t="s">
        <v>751</v>
      </c>
      <c r="AT465" s="20" t="e">
        <f t="shared" si="88"/>
        <v>#N/A</v>
      </c>
      <c r="BZ465" s="64">
        <v>2682382.0500000003</v>
      </c>
      <c r="CD465" s="20" t="e">
        <f t="shared" si="82"/>
        <v>#N/A</v>
      </c>
    </row>
    <row r="466" spans="1:82" ht="61.5" x14ac:dyDescent="0.85">
      <c r="A466" s="20">
        <v>1</v>
      </c>
      <c r="B466" s="60">
        <f>SUBTOTAL(103,$A$22:A466)</f>
        <v>399</v>
      </c>
      <c r="C466" s="24" t="s">
        <v>144</v>
      </c>
      <c r="D466" s="31">
        <f>E466+F466+G466+H466+I466+J466+L466+N466+P466+R466+T466+U466+V466+W466+X466+Y466+Z466+AA466+AB466+AC466+AD466+AE466</f>
        <v>87573.72</v>
      </c>
      <c r="E466" s="31">
        <v>0</v>
      </c>
      <c r="F466" s="31">
        <v>0</v>
      </c>
      <c r="G466" s="31">
        <v>0</v>
      </c>
      <c r="H466" s="31">
        <v>0</v>
      </c>
      <c r="I466" s="31">
        <v>0</v>
      </c>
      <c r="J466" s="31">
        <v>0</v>
      </c>
      <c r="K466" s="67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f>ROUND(N466*1.5%,2)</f>
        <v>0</v>
      </c>
      <c r="AD466" s="144">
        <v>87573.72</v>
      </c>
      <c r="AE466" s="31">
        <v>0</v>
      </c>
      <c r="AF466" s="33">
        <v>2020</v>
      </c>
      <c r="AG466" s="33" t="s">
        <v>268</v>
      </c>
      <c r="AH466" s="33" t="s">
        <v>268</v>
      </c>
      <c r="AT466" s="20" t="e">
        <f t="shared" si="88"/>
        <v>#N/A</v>
      </c>
      <c r="BZ466" s="64"/>
      <c r="CD466" s="20" t="e">
        <f t="shared" si="82"/>
        <v>#N/A</v>
      </c>
    </row>
    <row r="467" spans="1:82" ht="61.5" x14ac:dyDescent="0.85">
      <c r="B467" s="24" t="s">
        <v>851</v>
      </c>
      <c r="C467" s="24"/>
      <c r="D467" s="199">
        <f t="shared" ref="D467:AE467" si="90">SUM(D468:D472)</f>
        <v>3911488.5799999996</v>
      </c>
      <c r="E467" s="31">
        <f t="shared" si="90"/>
        <v>0</v>
      </c>
      <c r="F467" s="31">
        <f t="shared" si="90"/>
        <v>0</v>
      </c>
      <c r="G467" s="31">
        <f t="shared" si="90"/>
        <v>0</v>
      </c>
      <c r="H467" s="31">
        <f t="shared" si="90"/>
        <v>0</v>
      </c>
      <c r="I467" s="31">
        <f t="shared" si="90"/>
        <v>0</v>
      </c>
      <c r="J467" s="31">
        <f t="shared" si="90"/>
        <v>0</v>
      </c>
      <c r="K467" s="67">
        <f t="shared" si="90"/>
        <v>0</v>
      </c>
      <c r="L467" s="31">
        <f t="shared" si="90"/>
        <v>0</v>
      </c>
      <c r="M467" s="31">
        <f t="shared" si="90"/>
        <v>507</v>
      </c>
      <c r="N467" s="31">
        <f t="shared" si="90"/>
        <v>1983449.08</v>
      </c>
      <c r="O467" s="31">
        <f t="shared" si="90"/>
        <v>0</v>
      </c>
      <c r="P467" s="31">
        <f t="shared" si="90"/>
        <v>0</v>
      </c>
      <c r="Q467" s="31">
        <f t="shared" si="90"/>
        <v>478</v>
      </c>
      <c r="R467" s="31">
        <f t="shared" si="90"/>
        <v>1520049.06</v>
      </c>
      <c r="S467" s="31">
        <f t="shared" si="90"/>
        <v>0</v>
      </c>
      <c r="T467" s="31">
        <f t="shared" si="90"/>
        <v>0</v>
      </c>
      <c r="U467" s="31">
        <f t="shared" si="90"/>
        <v>0</v>
      </c>
      <c r="V467" s="31">
        <f t="shared" si="90"/>
        <v>0</v>
      </c>
      <c r="W467" s="31">
        <f t="shared" si="90"/>
        <v>0</v>
      </c>
      <c r="X467" s="31">
        <f t="shared" si="90"/>
        <v>0</v>
      </c>
      <c r="Y467" s="31">
        <f t="shared" si="90"/>
        <v>0</v>
      </c>
      <c r="Z467" s="31">
        <f t="shared" si="90"/>
        <v>0</v>
      </c>
      <c r="AA467" s="31">
        <f t="shared" si="90"/>
        <v>0</v>
      </c>
      <c r="AB467" s="31">
        <f t="shared" si="90"/>
        <v>0</v>
      </c>
      <c r="AC467" s="31">
        <f t="shared" si="90"/>
        <v>10266.08</v>
      </c>
      <c r="AD467" s="31">
        <f t="shared" si="90"/>
        <v>277724.36</v>
      </c>
      <c r="AE467" s="31">
        <f t="shared" si="90"/>
        <v>120000</v>
      </c>
      <c r="AF467" s="65" t="s">
        <v>751</v>
      </c>
      <c r="AG467" s="65" t="s">
        <v>751</v>
      </c>
      <c r="AH467" s="79" t="s">
        <v>751</v>
      </c>
      <c r="AT467" s="20" t="e">
        <f t="shared" si="88"/>
        <v>#N/A</v>
      </c>
      <c r="BZ467" s="31">
        <v>11742480.740000002</v>
      </c>
      <c r="CA467" s="31"/>
      <c r="CB467" s="31">
        <f>BZ467-D467</f>
        <v>7830992.160000002</v>
      </c>
      <c r="CD467" s="20" t="e">
        <f t="shared" si="82"/>
        <v>#N/A</v>
      </c>
    </row>
    <row r="468" spans="1:82" ht="61.5" x14ac:dyDescent="0.85">
      <c r="A468" s="20">
        <v>1</v>
      </c>
      <c r="B468" s="60">
        <f>SUBTOTAL(103,$A$22:A468)</f>
        <v>400</v>
      </c>
      <c r="C468" s="24" t="s">
        <v>142</v>
      </c>
      <c r="D468" s="31">
        <f>E468+F468+G468+H468+I468+J468+L468+N468+P468+R468+T468+U468+V468+W468+X468+Y468+Z468+AA468+AB468+AC468+AD468+AE468</f>
        <v>141265.9</v>
      </c>
      <c r="E468" s="31">
        <v>0</v>
      </c>
      <c r="F468" s="31">
        <v>0</v>
      </c>
      <c r="G468" s="31">
        <v>0</v>
      </c>
      <c r="H468" s="31">
        <v>0</v>
      </c>
      <c r="I468" s="31">
        <v>0</v>
      </c>
      <c r="J468" s="31">
        <v>0</v>
      </c>
      <c r="K468" s="67">
        <v>0</v>
      </c>
      <c r="L468" s="31">
        <v>0</v>
      </c>
      <c r="M468" s="31">
        <v>0</v>
      </c>
      <c r="N468" s="31">
        <v>0</v>
      </c>
      <c r="O468" s="31">
        <v>0</v>
      </c>
      <c r="P468" s="31">
        <v>0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f>ROUND(U468*1.5%,2)</f>
        <v>0</v>
      </c>
      <c r="AD468" s="144">
        <v>141265.9</v>
      </c>
      <c r="AE468" s="31">
        <v>0</v>
      </c>
      <c r="AF468" s="33">
        <v>2020</v>
      </c>
      <c r="AG468" s="33" t="s">
        <v>268</v>
      </c>
      <c r="AH468" s="33" t="s">
        <v>268</v>
      </c>
      <c r="AT468" s="20" t="e">
        <f t="shared" si="88"/>
        <v>#N/A</v>
      </c>
      <c r="BZ468" s="64"/>
      <c r="CD468" s="20" t="e">
        <f t="shared" si="82"/>
        <v>#N/A</v>
      </c>
    </row>
    <row r="469" spans="1:82" ht="61.5" x14ac:dyDescent="0.85">
      <c r="A469" s="20">
        <v>1</v>
      </c>
      <c r="B469" s="60">
        <f>SUBTOTAL(103,$A$22:A469)</f>
        <v>401</v>
      </c>
      <c r="C469" s="24" t="s">
        <v>143</v>
      </c>
      <c r="D469" s="31">
        <f>E469+F469+G469+H469+I469+J469+L469+N469+P469+R469+T469+U469+V469+W469+X469+Y469+Z469+AA469+AB469+AC469+AD469+AE469</f>
        <v>1216558.3500000001</v>
      </c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v>0</v>
      </c>
      <c r="K469" s="67">
        <v>0</v>
      </c>
      <c r="L469" s="31">
        <v>0</v>
      </c>
      <c r="M469" s="38">
        <v>317.8</v>
      </c>
      <c r="N469" s="38">
        <v>1216558.3500000001</v>
      </c>
      <c r="O469" s="31">
        <v>0</v>
      </c>
      <c r="P469" s="31">
        <v>0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3" t="s">
        <v>268</v>
      </c>
      <c r="AG469" s="33">
        <v>2020</v>
      </c>
      <c r="AH469" s="34" t="s">
        <v>268</v>
      </c>
      <c r="AT469" s="20" t="e">
        <f t="shared" si="88"/>
        <v>#N/A</v>
      </c>
      <c r="BZ469" s="64"/>
      <c r="CD469" s="20">
        <f t="shared" si="82"/>
        <v>317.8</v>
      </c>
    </row>
    <row r="470" spans="1:82" ht="61.5" x14ac:dyDescent="0.85">
      <c r="A470" s="20">
        <v>1</v>
      </c>
      <c r="B470" s="60">
        <f>SUBTOTAL(103,$A$22:A470)</f>
        <v>402</v>
      </c>
      <c r="C470" s="24" t="s">
        <v>1259</v>
      </c>
      <c r="D470" s="31">
        <f>E470+F470+G470+H470+I470+J470+L470+N470+P470+R470+T470+U470+V470+W470+X470+Y470+Z470+AA470+AB470+AC470+AD470+AE470</f>
        <v>1576619.73</v>
      </c>
      <c r="E470" s="31">
        <v>0</v>
      </c>
      <c r="F470" s="31">
        <v>0</v>
      </c>
      <c r="G470" s="31">
        <v>0</v>
      </c>
      <c r="H470" s="31">
        <v>0</v>
      </c>
      <c r="I470" s="31">
        <v>0</v>
      </c>
      <c r="J470" s="31">
        <v>0</v>
      </c>
      <c r="K470" s="67">
        <v>0</v>
      </c>
      <c r="L470" s="31">
        <v>0</v>
      </c>
      <c r="M470" s="31">
        <v>0</v>
      </c>
      <c r="N470" s="31">
        <v>0</v>
      </c>
      <c r="O470" s="31">
        <v>0</v>
      </c>
      <c r="P470" s="31">
        <v>0</v>
      </c>
      <c r="Q470" s="38">
        <v>478</v>
      </c>
      <c r="R470" s="38">
        <v>1520049.06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6823.51</v>
      </c>
      <c r="AD470" s="38">
        <v>49747.16</v>
      </c>
      <c r="AE470" s="31">
        <v>0</v>
      </c>
      <c r="AF470" s="33">
        <v>2020</v>
      </c>
      <c r="AG470" s="33">
        <v>2020</v>
      </c>
      <c r="AH470" s="34">
        <v>2020</v>
      </c>
      <c r="BZ470" s="64"/>
      <c r="CD470" s="20" t="e">
        <f t="shared" si="82"/>
        <v>#N/A</v>
      </c>
    </row>
    <row r="471" spans="1:82" ht="61.5" x14ac:dyDescent="0.85">
      <c r="A471" s="20">
        <v>1</v>
      </c>
      <c r="B471" s="60">
        <f>SUBTOTAL(103,$A$22:A471)</f>
        <v>403</v>
      </c>
      <c r="C471" s="24" t="s">
        <v>1260</v>
      </c>
      <c r="D471" s="31">
        <f>E471+F471+G471+H471+I471+J471+L471+N471+P471+R471+T471+U471+V471+W471+X471+Y471+Z471+AA471+AB471+AC471+AD471+AE471</f>
        <v>890333.29999999993</v>
      </c>
      <c r="E471" s="31">
        <v>0</v>
      </c>
      <c r="F471" s="31">
        <v>0</v>
      </c>
      <c r="G471" s="31">
        <v>0</v>
      </c>
      <c r="H471" s="31">
        <v>0</v>
      </c>
      <c r="I471" s="31">
        <v>0</v>
      </c>
      <c r="J471" s="31">
        <v>0</v>
      </c>
      <c r="K471" s="67">
        <v>0</v>
      </c>
      <c r="L471" s="31">
        <v>0</v>
      </c>
      <c r="M471" s="38">
        <v>189.2</v>
      </c>
      <c r="N471" s="38">
        <v>766890.73</v>
      </c>
      <c r="O471" s="31">
        <v>0</v>
      </c>
      <c r="P471" s="31">
        <v>0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f>ROUND(N471*0.4489%,2)</f>
        <v>3442.57</v>
      </c>
      <c r="AD471" s="31">
        <v>0</v>
      </c>
      <c r="AE471" s="31">
        <v>120000</v>
      </c>
      <c r="AF471" s="33" t="s">
        <v>268</v>
      </c>
      <c r="AG471" s="33">
        <v>2020</v>
      </c>
      <c r="AH471" s="34">
        <v>2020</v>
      </c>
      <c r="BZ471" s="64"/>
      <c r="CD471" s="20">
        <f t="shared" si="82"/>
        <v>189.8</v>
      </c>
    </row>
    <row r="472" spans="1:82" ht="61.5" x14ac:dyDescent="0.85">
      <c r="A472" s="20">
        <v>1</v>
      </c>
      <c r="B472" s="60">
        <f>SUBTOTAL(103,$A$22:A472)</f>
        <v>404</v>
      </c>
      <c r="C472" s="24" t="s">
        <v>1295</v>
      </c>
      <c r="D472" s="31">
        <f>E472+F472+G472+H472+I472+J472+L472+N472+P472+R472+T472+U472+V472+W472+X472+Y472+Z472+AA472+AB472+AC472+AD472+AE472</f>
        <v>86711.3</v>
      </c>
      <c r="E472" s="31">
        <v>0</v>
      </c>
      <c r="F472" s="31">
        <v>0</v>
      </c>
      <c r="G472" s="31">
        <v>0</v>
      </c>
      <c r="H472" s="31">
        <v>0</v>
      </c>
      <c r="I472" s="31">
        <v>0</v>
      </c>
      <c r="J472" s="31">
        <v>0</v>
      </c>
      <c r="K472" s="67">
        <v>0</v>
      </c>
      <c r="L472" s="31">
        <v>0</v>
      </c>
      <c r="M472" s="31">
        <v>0</v>
      </c>
      <c r="N472" s="31">
        <v>0</v>
      </c>
      <c r="O472" s="31">
        <v>0</v>
      </c>
      <c r="P472" s="31">
        <v>0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f>ROUND(N472*1.5%,2)</f>
        <v>0</v>
      </c>
      <c r="AD472" s="144">
        <v>86711.3</v>
      </c>
      <c r="AE472" s="31">
        <v>0</v>
      </c>
      <c r="AF472" s="33">
        <v>2020</v>
      </c>
      <c r="AG472" s="33" t="s">
        <v>268</v>
      </c>
      <c r="AH472" s="33" t="s">
        <v>268</v>
      </c>
      <c r="BZ472" s="64"/>
      <c r="CD472" s="20" t="e">
        <f t="shared" si="82"/>
        <v>#N/A</v>
      </c>
    </row>
    <row r="473" spans="1:82" ht="61.5" x14ac:dyDescent="0.85">
      <c r="B473" s="24" t="s">
        <v>852</v>
      </c>
      <c r="C473" s="24"/>
      <c r="D473" s="199">
        <f>D474+D475+D476+D477+D478+D479+D480+D481+D482+D483+D484</f>
        <v>23896075.439999998</v>
      </c>
      <c r="E473" s="31">
        <f t="shared" ref="E473:AE473" si="91">E474+E475+E476+E477+E478+E479+E480+E481+E482+E483+E484</f>
        <v>217243.21000000002</v>
      </c>
      <c r="F473" s="31">
        <f t="shared" si="91"/>
        <v>0</v>
      </c>
      <c r="G473" s="31">
        <f t="shared" si="91"/>
        <v>2010723.97</v>
      </c>
      <c r="H473" s="31">
        <f t="shared" si="91"/>
        <v>280774.89</v>
      </c>
      <c r="I473" s="31">
        <f t="shared" si="91"/>
        <v>730380.2</v>
      </c>
      <c r="J473" s="31">
        <f t="shared" si="91"/>
        <v>0</v>
      </c>
      <c r="K473" s="67">
        <f t="shared" si="91"/>
        <v>0</v>
      </c>
      <c r="L473" s="31">
        <f t="shared" si="91"/>
        <v>0</v>
      </c>
      <c r="M473" s="31">
        <f t="shared" si="91"/>
        <v>6175.74</v>
      </c>
      <c r="N473" s="31">
        <f t="shared" si="91"/>
        <v>20114074.100000001</v>
      </c>
      <c r="O473" s="31">
        <f t="shared" si="91"/>
        <v>0</v>
      </c>
      <c r="P473" s="31">
        <f t="shared" si="91"/>
        <v>0</v>
      </c>
      <c r="Q473" s="31">
        <f t="shared" si="91"/>
        <v>0</v>
      </c>
      <c r="R473" s="31">
        <f t="shared" si="91"/>
        <v>0</v>
      </c>
      <c r="S473" s="31">
        <f t="shared" si="91"/>
        <v>0</v>
      </c>
      <c r="T473" s="31">
        <f t="shared" si="91"/>
        <v>0</v>
      </c>
      <c r="U473" s="31">
        <f t="shared" si="91"/>
        <v>0</v>
      </c>
      <c r="V473" s="31">
        <f t="shared" si="91"/>
        <v>0</v>
      </c>
      <c r="W473" s="31">
        <f t="shared" si="91"/>
        <v>0</v>
      </c>
      <c r="X473" s="31">
        <f t="shared" si="91"/>
        <v>0</v>
      </c>
      <c r="Y473" s="31">
        <f t="shared" si="91"/>
        <v>0</v>
      </c>
      <c r="Z473" s="31">
        <f t="shared" si="91"/>
        <v>0</v>
      </c>
      <c r="AA473" s="31">
        <f t="shared" si="91"/>
        <v>0</v>
      </c>
      <c r="AB473" s="31">
        <f t="shared" si="91"/>
        <v>0</v>
      </c>
      <c r="AC473" s="31">
        <f t="shared" si="91"/>
        <v>329408.08</v>
      </c>
      <c r="AD473" s="31">
        <f t="shared" si="91"/>
        <v>213470.99</v>
      </c>
      <c r="AE473" s="31">
        <f t="shared" si="91"/>
        <v>0</v>
      </c>
      <c r="AF473" s="65" t="s">
        <v>751</v>
      </c>
      <c r="AG473" s="65" t="s">
        <v>751</v>
      </c>
      <c r="AH473" s="79" t="s">
        <v>751</v>
      </c>
      <c r="AT473" s="20" t="e">
        <f>VLOOKUP(C473,AW:AX,2,FALSE)</f>
        <v>#N/A</v>
      </c>
      <c r="BZ473" s="31">
        <v>43274846.739999995</v>
      </c>
      <c r="CA473" s="31"/>
      <c r="CB473" s="31">
        <f>BZ473-D473</f>
        <v>19378771.299999997</v>
      </c>
      <c r="CD473" s="20" t="e">
        <f t="shared" si="82"/>
        <v>#N/A</v>
      </c>
    </row>
    <row r="474" spans="1:82" ht="61.5" x14ac:dyDescent="0.85">
      <c r="A474" s="20">
        <v>1</v>
      </c>
      <c r="B474" s="60">
        <f>SUBTOTAL(103,$A$22:A474)</f>
        <v>405</v>
      </c>
      <c r="C474" s="24" t="s">
        <v>145</v>
      </c>
      <c r="D474" s="31">
        <f t="shared" ref="D474:D480" si="92">E474+F474+G474+H474+I474+J474+L474+N474+P474+R474+T474+U474+V474+W474+X474+Y474+Z474+AA474+AB474+AC474+AD474+AE474</f>
        <v>4629120.46</v>
      </c>
      <c r="E474" s="31">
        <v>0</v>
      </c>
      <c r="F474" s="31">
        <v>0</v>
      </c>
      <c r="G474" s="31">
        <v>0</v>
      </c>
      <c r="H474" s="31">
        <v>0</v>
      </c>
      <c r="I474" s="31">
        <v>0</v>
      </c>
      <c r="J474" s="31">
        <v>0</v>
      </c>
      <c r="K474" s="67">
        <v>0</v>
      </c>
      <c r="L474" s="31">
        <v>0</v>
      </c>
      <c r="M474" s="38">
        <v>1538.84</v>
      </c>
      <c r="N474" s="38">
        <v>4565095</v>
      </c>
      <c r="O474" s="31">
        <v>0</v>
      </c>
      <c r="P474" s="31">
        <v>0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8">
        <v>64025.46</v>
      </c>
      <c r="AD474" s="31">
        <v>0</v>
      </c>
      <c r="AE474" s="31">
        <v>0</v>
      </c>
      <c r="AF474" s="33" t="s">
        <v>268</v>
      </c>
      <c r="AG474" s="33">
        <v>2020</v>
      </c>
      <c r="AH474" s="34">
        <v>2020</v>
      </c>
      <c r="AT474" s="20" t="e">
        <f>VLOOKUP(C474,AW:AX,2,FALSE)</f>
        <v>#N/A</v>
      </c>
      <c r="BZ474" s="64"/>
      <c r="CD474" s="20">
        <f t="shared" si="82"/>
        <v>1525.2</v>
      </c>
    </row>
    <row r="475" spans="1:82" ht="61.5" x14ac:dyDescent="0.85">
      <c r="A475" s="20">
        <v>1</v>
      </c>
      <c r="B475" s="60">
        <f>SUBTOTAL(103,$A$22:A475)</f>
        <v>406</v>
      </c>
      <c r="C475" s="24" t="s">
        <v>140</v>
      </c>
      <c r="D475" s="31">
        <f t="shared" si="92"/>
        <v>3488886.51</v>
      </c>
      <c r="E475" s="31">
        <v>0</v>
      </c>
      <c r="F475" s="31">
        <v>0</v>
      </c>
      <c r="G475" s="31">
        <v>0</v>
      </c>
      <c r="H475" s="31">
        <v>0</v>
      </c>
      <c r="I475" s="31">
        <v>0</v>
      </c>
      <c r="J475" s="31">
        <v>0</v>
      </c>
      <c r="K475" s="67">
        <v>0</v>
      </c>
      <c r="L475" s="31">
        <v>0</v>
      </c>
      <c r="M475" s="38">
        <v>1004.6</v>
      </c>
      <c r="N475" s="38">
        <v>3440631.65</v>
      </c>
      <c r="O475" s="31">
        <v>0</v>
      </c>
      <c r="P475" s="31">
        <v>0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48254.86</v>
      </c>
      <c r="AD475" s="31">
        <v>0</v>
      </c>
      <c r="AE475" s="31">
        <v>0</v>
      </c>
      <c r="AF475" s="33" t="s">
        <v>268</v>
      </c>
      <c r="AG475" s="33">
        <v>2020</v>
      </c>
      <c r="AH475" s="34">
        <v>2020</v>
      </c>
      <c r="AT475" s="20" t="e">
        <f>VLOOKUP(C475,AW:AX,2,FALSE)</f>
        <v>#N/A</v>
      </c>
      <c r="BZ475" s="64"/>
      <c r="CD475" s="20" t="e">
        <f t="shared" si="82"/>
        <v>#N/A</v>
      </c>
    </row>
    <row r="476" spans="1:82" ht="61.5" x14ac:dyDescent="0.85">
      <c r="A476" s="20">
        <v>1</v>
      </c>
      <c r="B476" s="60">
        <f>SUBTOTAL(103,$A$22:A476)</f>
        <v>407</v>
      </c>
      <c r="C476" s="24" t="s">
        <v>141</v>
      </c>
      <c r="D476" s="31">
        <f t="shared" si="92"/>
        <v>4309479.43</v>
      </c>
      <c r="E476" s="31">
        <v>0</v>
      </c>
      <c r="F476" s="31">
        <v>0</v>
      </c>
      <c r="G476" s="31">
        <v>0</v>
      </c>
      <c r="H476" s="31">
        <v>0</v>
      </c>
      <c r="I476" s="31">
        <v>0</v>
      </c>
      <c r="J476" s="31">
        <v>0</v>
      </c>
      <c r="K476" s="67">
        <v>0</v>
      </c>
      <c r="L476" s="31">
        <v>0</v>
      </c>
      <c r="M476" s="38">
        <v>1336.3</v>
      </c>
      <c r="N476" s="38">
        <v>4249874.93</v>
      </c>
      <c r="O476" s="31">
        <v>0</v>
      </c>
      <c r="P476" s="31">
        <v>0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8">
        <v>59604.5</v>
      </c>
      <c r="AD476" s="31">
        <v>0</v>
      </c>
      <c r="AE476" s="31">
        <v>0</v>
      </c>
      <c r="AF476" s="33" t="s">
        <v>268</v>
      </c>
      <c r="AG476" s="33">
        <v>2020</v>
      </c>
      <c r="AH476" s="34">
        <v>2020</v>
      </c>
      <c r="AT476" s="20" t="e">
        <f>VLOOKUP(C476,AW:AX,2,FALSE)</f>
        <v>#N/A</v>
      </c>
      <c r="BZ476" s="64"/>
      <c r="CD476" s="20">
        <f t="shared" si="82"/>
        <v>1373.6</v>
      </c>
    </row>
    <row r="477" spans="1:82" ht="61.5" x14ac:dyDescent="0.85">
      <c r="A477" s="20">
        <v>1</v>
      </c>
      <c r="B477" s="60">
        <f>SUBTOTAL(103,$A$22:A477)</f>
        <v>408</v>
      </c>
      <c r="C477" s="24" t="s">
        <v>1251</v>
      </c>
      <c r="D477" s="31">
        <f t="shared" si="92"/>
        <v>1166940.5799999998</v>
      </c>
      <c r="E477" s="38">
        <v>106894.33</v>
      </c>
      <c r="F477" s="31">
        <v>0</v>
      </c>
      <c r="G477" s="38">
        <v>578602.22</v>
      </c>
      <c r="H477" s="38">
        <v>130137.83</v>
      </c>
      <c r="I477" s="38">
        <v>335166.21999999997</v>
      </c>
      <c r="J477" s="31">
        <v>0</v>
      </c>
      <c r="K477" s="67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f>ROUND((E477+F477+G477+H477+I477+J477)*1.4025%,2)</f>
        <v>16139.98</v>
      </c>
      <c r="AD477" s="31">
        <v>0</v>
      </c>
      <c r="AE477" s="31">
        <v>0</v>
      </c>
      <c r="AF477" s="33" t="s">
        <v>268</v>
      </c>
      <c r="AG477" s="33">
        <v>2020</v>
      </c>
      <c r="AH477" s="34">
        <v>2020</v>
      </c>
      <c r="BZ477" s="64"/>
      <c r="CD477" s="20" t="e">
        <f t="shared" si="82"/>
        <v>#N/A</v>
      </c>
    </row>
    <row r="478" spans="1:82" ht="61.5" x14ac:dyDescent="0.85">
      <c r="A478" s="20">
        <v>1</v>
      </c>
      <c r="B478" s="60">
        <f>SUBTOTAL(103,$A$22:A478)</f>
        <v>409</v>
      </c>
      <c r="C478" s="24" t="s">
        <v>1252</v>
      </c>
      <c r="D478" s="31">
        <f t="shared" si="92"/>
        <v>1211378.6199999999</v>
      </c>
      <c r="E478" s="38">
        <v>110348.88</v>
      </c>
      <c r="F478" s="31">
        <v>0</v>
      </c>
      <c r="G478" s="38">
        <v>537364.75</v>
      </c>
      <c r="H478" s="38">
        <v>150637.06</v>
      </c>
      <c r="I478" s="38">
        <v>395213.98</v>
      </c>
      <c r="J478" s="31">
        <v>0</v>
      </c>
      <c r="K478" s="67">
        <v>0</v>
      </c>
      <c r="L478" s="31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f>ROUND((E478+F478+G478+H478+I478+J478)*1.4925%,2)</f>
        <v>17813.95</v>
      </c>
      <c r="AD478" s="31">
        <v>0</v>
      </c>
      <c r="AE478" s="31">
        <v>0</v>
      </c>
      <c r="AF478" s="33" t="s">
        <v>268</v>
      </c>
      <c r="AG478" s="33">
        <v>2020</v>
      </c>
      <c r="AH478" s="34">
        <v>2020</v>
      </c>
      <c r="BZ478" s="64"/>
      <c r="CD478" s="20" t="e">
        <f t="shared" ref="CD478:CD509" si="93">VLOOKUP(C478,CE:CF,2,FALSE)</f>
        <v>#N/A</v>
      </c>
    </row>
    <row r="479" spans="1:82" ht="61.5" x14ac:dyDescent="0.85">
      <c r="A479" s="20">
        <v>1</v>
      </c>
      <c r="B479" s="60">
        <f>SUBTOTAL(103,$A$22:A479)</f>
        <v>410</v>
      </c>
      <c r="C479" s="24" t="s">
        <v>1253</v>
      </c>
      <c r="D479" s="31">
        <f t="shared" si="92"/>
        <v>908111.25</v>
      </c>
      <c r="E479" s="31">
        <v>0</v>
      </c>
      <c r="F479" s="31">
        <v>0</v>
      </c>
      <c r="G479" s="38">
        <v>894757</v>
      </c>
      <c r="H479" s="31">
        <v>0</v>
      </c>
      <c r="I479" s="31">
        <v>0</v>
      </c>
      <c r="J479" s="31">
        <v>0</v>
      </c>
      <c r="K479" s="67">
        <v>0</v>
      </c>
      <c r="L479" s="31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f>ROUND((E479+F479+G479+H479+I479+J479)*1.4925%,2)</f>
        <v>13354.25</v>
      </c>
      <c r="AD479" s="31">
        <v>0</v>
      </c>
      <c r="AE479" s="31">
        <v>0</v>
      </c>
      <c r="AF479" s="33" t="s">
        <v>268</v>
      </c>
      <c r="AG479" s="33">
        <v>2020</v>
      </c>
      <c r="AH479" s="34">
        <v>2020</v>
      </c>
      <c r="BZ479" s="64"/>
      <c r="CD479" s="20" t="e">
        <f t="shared" si="93"/>
        <v>#N/A</v>
      </c>
    </row>
    <row r="480" spans="1:82" ht="61.5" x14ac:dyDescent="0.85">
      <c r="A480" s="20">
        <v>1</v>
      </c>
      <c r="B480" s="60">
        <f>SUBTOTAL(103,$A$22:A480)</f>
        <v>411</v>
      </c>
      <c r="C480" s="24" t="s">
        <v>1281</v>
      </c>
      <c r="D480" s="31">
        <f t="shared" si="92"/>
        <v>55068.52</v>
      </c>
      <c r="E480" s="31">
        <v>0</v>
      </c>
      <c r="F480" s="31">
        <v>0</v>
      </c>
      <c r="G480" s="31">
        <v>0</v>
      </c>
      <c r="H480" s="31">
        <v>0</v>
      </c>
      <c r="I480" s="31">
        <v>0</v>
      </c>
      <c r="J480" s="31">
        <v>0</v>
      </c>
      <c r="K480" s="67">
        <v>0</v>
      </c>
      <c r="L480" s="31">
        <v>0</v>
      </c>
      <c r="M480" s="31">
        <v>0</v>
      </c>
      <c r="N480" s="31">
        <v>0</v>
      </c>
      <c r="O480" s="31">
        <v>0</v>
      </c>
      <c r="P480" s="31">
        <v>0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f>ROUND(N480*1.5%,2)</f>
        <v>0</v>
      </c>
      <c r="AD480" s="38">
        <v>55068.52</v>
      </c>
      <c r="AE480" s="31">
        <v>0</v>
      </c>
      <c r="AF480" s="33">
        <v>2020</v>
      </c>
      <c r="AG480" s="33" t="s">
        <v>268</v>
      </c>
      <c r="AH480" s="33" t="s">
        <v>268</v>
      </c>
      <c r="BZ480" s="64"/>
      <c r="CD480" s="20">
        <f t="shared" si="93"/>
        <v>500</v>
      </c>
    </row>
    <row r="481" spans="1:82" ht="61.5" x14ac:dyDescent="0.85">
      <c r="A481" s="20">
        <v>1</v>
      </c>
      <c r="B481" s="60">
        <f>SUBTOTAL(103,$A$22:A481)</f>
        <v>412</v>
      </c>
      <c r="C481" s="24" t="s">
        <v>1282</v>
      </c>
      <c r="D481" s="31">
        <f>E481+F481+G481+H481+I481+J481+L481+N481+P481+R481+T481+U481+V481+W481+X481+Y481+Z481+AA481+AB481+AC481+AD481+AE481</f>
        <v>98964.25</v>
      </c>
      <c r="E481" s="31">
        <v>0</v>
      </c>
      <c r="F481" s="31">
        <v>0</v>
      </c>
      <c r="G481" s="31">
        <v>0</v>
      </c>
      <c r="H481" s="31">
        <v>0</v>
      </c>
      <c r="I481" s="31">
        <v>0</v>
      </c>
      <c r="J481" s="31">
        <v>0</v>
      </c>
      <c r="K481" s="67">
        <v>0</v>
      </c>
      <c r="L481" s="31">
        <v>0</v>
      </c>
      <c r="M481" s="31">
        <v>0</v>
      </c>
      <c r="N481" s="31">
        <v>0</v>
      </c>
      <c r="O481" s="31">
        <v>0</v>
      </c>
      <c r="P481" s="31">
        <v>0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f>ROUND(N481*1.5%,2)</f>
        <v>0</v>
      </c>
      <c r="AD481" s="38">
        <v>98964.25</v>
      </c>
      <c r="AE481" s="31">
        <v>0</v>
      </c>
      <c r="AF481" s="33">
        <v>2020</v>
      </c>
      <c r="AG481" s="33" t="s">
        <v>268</v>
      </c>
      <c r="AH481" s="33" t="s">
        <v>268</v>
      </c>
      <c r="BZ481" s="64"/>
      <c r="CD481" s="20">
        <f t="shared" si="93"/>
        <v>958</v>
      </c>
    </row>
    <row r="482" spans="1:82" ht="61.5" x14ac:dyDescent="0.85">
      <c r="A482" s="20">
        <v>1</v>
      </c>
      <c r="B482" s="60">
        <f>SUBTOTAL(103,$A$22:A482)</f>
        <v>413</v>
      </c>
      <c r="C482" s="24" t="s">
        <v>1555</v>
      </c>
      <c r="D482" s="31">
        <f>E482+F482+G482+H482+I482+J482+L482+N482+P482+R482+T482+U482+V482+W482+X482+Y482+Z482+AA482+AB482+AC482+AD482+AE482</f>
        <v>2347663.2300000004</v>
      </c>
      <c r="E482" s="31">
        <v>0</v>
      </c>
      <c r="F482" s="31">
        <v>0</v>
      </c>
      <c r="G482" s="31">
        <v>0</v>
      </c>
      <c r="H482" s="31">
        <v>0</v>
      </c>
      <c r="I482" s="31">
        <v>0</v>
      </c>
      <c r="J482" s="31">
        <v>0</v>
      </c>
      <c r="K482" s="67">
        <v>0</v>
      </c>
      <c r="L482" s="31">
        <v>0</v>
      </c>
      <c r="M482" s="38">
        <v>513.5</v>
      </c>
      <c r="N482" s="38">
        <v>2256576.52</v>
      </c>
      <c r="O482" s="31">
        <v>0</v>
      </c>
      <c r="P482" s="31">
        <v>0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31648.49</v>
      </c>
      <c r="AD482" s="38">
        <v>59438.22</v>
      </c>
      <c r="AE482" s="31">
        <v>0</v>
      </c>
      <c r="AF482" s="33">
        <v>2020</v>
      </c>
      <c r="AG482" s="33">
        <v>2020</v>
      </c>
      <c r="AH482" s="34">
        <v>2020</v>
      </c>
      <c r="BZ482" s="64"/>
      <c r="CD482" s="20" t="e">
        <f t="shared" si="93"/>
        <v>#N/A</v>
      </c>
    </row>
    <row r="483" spans="1:82" ht="61.5" x14ac:dyDescent="0.85">
      <c r="A483" s="20">
        <v>1</v>
      </c>
      <c r="B483" s="60">
        <f>SUBTOTAL(103,$A$22:A483)</f>
        <v>414</v>
      </c>
      <c r="C483" s="24" t="s">
        <v>151</v>
      </c>
      <c r="D483" s="31">
        <f>E483+F483+G483+H483+I483+J483+L483+N483+P483+R483+T483+U483+V483+W483+X483+Y483+Z483+AA483+AB483+AC483+AD483+AE483</f>
        <v>2512797.5499999998</v>
      </c>
      <c r="E483" s="31">
        <v>0</v>
      </c>
      <c r="F483" s="31">
        <v>0</v>
      </c>
      <c r="G483" s="31">
        <v>0</v>
      </c>
      <c r="H483" s="31">
        <v>0</v>
      </c>
      <c r="I483" s="31">
        <v>0</v>
      </c>
      <c r="J483" s="31">
        <v>0</v>
      </c>
      <c r="K483" s="67">
        <v>0</v>
      </c>
      <c r="L483" s="31">
        <v>0</v>
      </c>
      <c r="M483" s="38">
        <v>791.12</v>
      </c>
      <c r="N483" s="144">
        <v>2478043</v>
      </c>
      <c r="O483" s="31">
        <v>0</v>
      </c>
      <c r="P483" s="31">
        <v>0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144">
        <v>34754.550000000003</v>
      </c>
      <c r="AD483" s="31">
        <v>0</v>
      </c>
      <c r="AE483" s="31">
        <v>0</v>
      </c>
      <c r="AF483" s="33" t="s">
        <v>268</v>
      </c>
      <c r="AG483" s="33">
        <v>2020</v>
      </c>
      <c r="AH483" s="34">
        <v>2020</v>
      </c>
      <c r="AT483" s="20" t="e">
        <f>VLOOKUP(C483,AW:AX,2,FALSE)</f>
        <v>#N/A</v>
      </c>
      <c r="BZ483" s="64"/>
      <c r="CD483" s="20">
        <f t="shared" si="93"/>
        <v>833.9</v>
      </c>
    </row>
    <row r="484" spans="1:82" ht="61.5" x14ac:dyDescent="0.85">
      <c r="A484" s="20">
        <v>1</v>
      </c>
      <c r="B484" s="60">
        <f>SUBTOTAL(103,$A$22:A484)</f>
        <v>415</v>
      </c>
      <c r="C484" s="24" t="s">
        <v>152</v>
      </c>
      <c r="D484" s="31">
        <f>E484+F484+G484+H484+I484+J484+L484+N484+P484+R484+T484+U484+V484+W484+X484+Y484+Z484+AA484+AB484+AC484+AD484+AE484</f>
        <v>3167665.04</v>
      </c>
      <c r="E484" s="31">
        <v>0</v>
      </c>
      <c r="F484" s="31">
        <v>0</v>
      </c>
      <c r="G484" s="31">
        <v>0</v>
      </c>
      <c r="H484" s="31">
        <v>0</v>
      </c>
      <c r="I484" s="31">
        <v>0</v>
      </c>
      <c r="J484" s="31">
        <v>0</v>
      </c>
      <c r="K484" s="67">
        <v>0</v>
      </c>
      <c r="L484" s="31">
        <v>0</v>
      </c>
      <c r="M484" s="38">
        <v>991.38</v>
      </c>
      <c r="N484" s="144">
        <v>3123853</v>
      </c>
      <c r="O484" s="31">
        <v>0</v>
      </c>
      <c r="P484" s="31">
        <v>0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144">
        <v>43812.04</v>
      </c>
      <c r="AD484" s="31">
        <v>0</v>
      </c>
      <c r="AE484" s="31">
        <v>0</v>
      </c>
      <c r="AF484" s="33" t="s">
        <v>268</v>
      </c>
      <c r="AG484" s="33">
        <v>2020</v>
      </c>
      <c r="AH484" s="34">
        <v>2020</v>
      </c>
      <c r="AT484" s="20" t="e">
        <f>VLOOKUP(C484,AW:AX,2,FALSE)</f>
        <v>#N/A</v>
      </c>
      <c r="BZ484" s="64"/>
      <c r="CD484" s="20">
        <f t="shared" si="93"/>
        <v>1035.9000000000001</v>
      </c>
    </row>
    <row r="485" spans="1:82" ht="61.5" x14ac:dyDescent="0.85">
      <c r="B485" s="24" t="s">
        <v>853</v>
      </c>
      <c r="C485" s="24"/>
      <c r="D485" s="199">
        <f>SUM(D486:D493)</f>
        <v>24440368.16</v>
      </c>
      <c r="E485" s="31">
        <f t="shared" ref="E485:AE485" si="94">SUM(E486:E493)</f>
        <v>0</v>
      </c>
      <c r="F485" s="31">
        <f t="shared" si="94"/>
        <v>0</v>
      </c>
      <c r="G485" s="31">
        <f t="shared" si="94"/>
        <v>899499.24</v>
      </c>
      <c r="H485" s="31">
        <f t="shared" si="94"/>
        <v>0</v>
      </c>
      <c r="I485" s="31">
        <f t="shared" si="94"/>
        <v>0</v>
      </c>
      <c r="J485" s="31">
        <f t="shared" si="94"/>
        <v>0</v>
      </c>
      <c r="K485" s="67">
        <f t="shared" si="94"/>
        <v>0</v>
      </c>
      <c r="L485" s="31">
        <f t="shared" si="94"/>
        <v>0</v>
      </c>
      <c r="M485" s="31">
        <f t="shared" si="94"/>
        <v>5747.05</v>
      </c>
      <c r="N485" s="31">
        <f t="shared" si="94"/>
        <v>22613016.149999999</v>
      </c>
      <c r="O485" s="31">
        <f t="shared" si="94"/>
        <v>459.05</v>
      </c>
      <c r="P485" s="31">
        <f t="shared" si="94"/>
        <v>235413.82</v>
      </c>
      <c r="Q485" s="31">
        <f t="shared" si="94"/>
        <v>0</v>
      </c>
      <c r="R485" s="31">
        <f t="shared" si="94"/>
        <v>0</v>
      </c>
      <c r="S485" s="31">
        <f t="shared" si="94"/>
        <v>0</v>
      </c>
      <c r="T485" s="31">
        <f t="shared" si="94"/>
        <v>0</v>
      </c>
      <c r="U485" s="31">
        <f t="shared" si="94"/>
        <v>0</v>
      </c>
      <c r="V485" s="31">
        <f t="shared" si="94"/>
        <v>0</v>
      </c>
      <c r="W485" s="31">
        <f t="shared" si="94"/>
        <v>0</v>
      </c>
      <c r="X485" s="31">
        <f t="shared" si="94"/>
        <v>0</v>
      </c>
      <c r="Y485" s="31">
        <f t="shared" si="94"/>
        <v>0</v>
      </c>
      <c r="Z485" s="31">
        <f t="shared" si="94"/>
        <v>0</v>
      </c>
      <c r="AA485" s="31">
        <f t="shared" si="94"/>
        <v>0</v>
      </c>
      <c r="AB485" s="31">
        <f t="shared" si="94"/>
        <v>0</v>
      </c>
      <c r="AC485" s="31">
        <f t="shared" si="94"/>
        <v>245927.35</v>
      </c>
      <c r="AD485" s="31">
        <f t="shared" si="94"/>
        <v>446511.6</v>
      </c>
      <c r="AE485" s="31">
        <f t="shared" si="94"/>
        <v>0</v>
      </c>
      <c r="AF485" s="65" t="s">
        <v>751</v>
      </c>
      <c r="AG485" s="65" t="s">
        <v>751</v>
      </c>
      <c r="AH485" s="79" t="s">
        <v>751</v>
      </c>
      <c r="AT485" s="20" t="e">
        <f>VLOOKUP(C485,AW:AX,2,FALSE)</f>
        <v>#N/A</v>
      </c>
      <c r="BZ485" s="64">
        <v>38327194.07</v>
      </c>
      <c r="CD485" s="20" t="e">
        <f t="shared" si="93"/>
        <v>#N/A</v>
      </c>
    </row>
    <row r="486" spans="1:82" ht="61.5" x14ac:dyDescent="0.85">
      <c r="A486" s="20">
        <v>1</v>
      </c>
      <c r="B486" s="60">
        <f>SUBTOTAL(103,$A$22:A486)</f>
        <v>416</v>
      </c>
      <c r="C486" s="24" t="s">
        <v>137</v>
      </c>
      <c r="D486" s="31">
        <f t="shared" ref="D486:D493" si="95">E486+F486+G486+H486+I486+J486+L486+N486+P486+R486+T486+U486+V486+W486+X486+Y486+Z486+AA486+AB486+AC486+AD486+AE486</f>
        <v>2050029.61</v>
      </c>
      <c r="E486" s="31">
        <v>0</v>
      </c>
      <c r="F486" s="31">
        <v>0</v>
      </c>
      <c r="G486" s="31">
        <v>0</v>
      </c>
      <c r="H486" s="31">
        <v>0</v>
      </c>
      <c r="I486" s="31">
        <v>0</v>
      </c>
      <c r="J486" s="31">
        <v>0</v>
      </c>
      <c r="K486" s="67">
        <v>0</v>
      </c>
      <c r="L486" s="31">
        <v>0</v>
      </c>
      <c r="M486" s="38">
        <v>1029.8800000000001</v>
      </c>
      <c r="N486" s="38">
        <v>2021675.61</v>
      </c>
      <c r="O486" s="31">
        <v>0</v>
      </c>
      <c r="P486" s="31">
        <v>0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8">
        <v>28354</v>
      </c>
      <c r="AD486" s="31">
        <v>0</v>
      </c>
      <c r="AE486" s="31">
        <v>0</v>
      </c>
      <c r="AF486" s="33" t="s">
        <v>268</v>
      </c>
      <c r="AG486" s="33">
        <v>2020</v>
      </c>
      <c r="AH486" s="34">
        <v>2020</v>
      </c>
      <c r="AT486" s="20" t="e">
        <f>VLOOKUP(C486,AW:AX,2,FALSE)</f>
        <v>#N/A</v>
      </c>
      <c r="BZ486" s="64"/>
      <c r="CD486" s="20">
        <f t="shared" si="93"/>
        <v>1062.4000000000001</v>
      </c>
    </row>
    <row r="487" spans="1:82" ht="61.5" x14ac:dyDescent="0.85">
      <c r="A487" s="20">
        <v>1</v>
      </c>
      <c r="B487" s="60">
        <f>SUBTOTAL(103,$A$22:A487)</f>
        <v>417</v>
      </c>
      <c r="C487" s="24" t="s">
        <v>138</v>
      </c>
      <c r="D487" s="31">
        <f t="shared" si="95"/>
        <v>1928448.7800000003</v>
      </c>
      <c r="E487" s="31">
        <v>0</v>
      </c>
      <c r="F487" s="31">
        <v>0</v>
      </c>
      <c r="G487" s="31">
        <v>0</v>
      </c>
      <c r="H487" s="31">
        <v>0</v>
      </c>
      <c r="I487" s="31">
        <v>0</v>
      </c>
      <c r="J487" s="31">
        <v>0</v>
      </c>
      <c r="K487" s="67">
        <v>0</v>
      </c>
      <c r="L487" s="31">
        <v>0</v>
      </c>
      <c r="M487" s="38">
        <v>514.20000000000005</v>
      </c>
      <c r="N487" s="38">
        <v>1814427.36</v>
      </c>
      <c r="O487" s="31">
        <v>0</v>
      </c>
      <c r="P487" s="31">
        <v>0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8">
        <v>25447.34</v>
      </c>
      <c r="AD487" s="38">
        <v>88574.080000000002</v>
      </c>
      <c r="AE487" s="31">
        <v>0</v>
      </c>
      <c r="AF487" s="33">
        <v>2020</v>
      </c>
      <c r="AG487" s="33">
        <v>2020</v>
      </c>
      <c r="AH487" s="34">
        <v>2020</v>
      </c>
      <c r="AT487" s="20" t="e">
        <f>VLOOKUP(C487,AW:AX,2,FALSE)</f>
        <v>#N/A</v>
      </c>
      <c r="BZ487" s="64"/>
      <c r="CD487" s="20" t="e">
        <f t="shared" si="93"/>
        <v>#N/A</v>
      </c>
    </row>
    <row r="488" spans="1:82" ht="61.5" x14ac:dyDescent="0.85">
      <c r="A488" s="20">
        <v>1</v>
      </c>
      <c r="B488" s="60">
        <f>SUBTOTAL(103,$A$22:A488)</f>
        <v>418</v>
      </c>
      <c r="C488" s="24" t="s">
        <v>147</v>
      </c>
      <c r="D488" s="31">
        <f t="shared" si="95"/>
        <v>9931926.4399999995</v>
      </c>
      <c r="E488" s="31">
        <v>0</v>
      </c>
      <c r="F488" s="31">
        <v>0</v>
      </c>
      <c r="G488" s="31">
        <v>0</v>
      </c>
      <c r="H488" s="31">
        <v>0</v>
      </c>
      <c r="I488" s="31">
        <v>0</v>
      </c>
      <c r="J488" s="31">
        <v>0</v>
      </c>
      <c r="K488" s="67">
        <v>0</v>
      </c>
      <c r="L488" s="31">
        <v>0</v>
      </c>
      <c r="M488" s="38">
        <v>1954.34</v>
      </c>
      <c r="N488" s="38">
        <v>9639187.8300000001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8">
        <v>135189.60999999999</v>
      </c>
      <c r="AD488" s="38">
        <v>157549</v>
      </c>
      <c r="AE488" s="31">
        <v>0</v>
      </c>
      <c r="AF488" s="33">
        <v>2020</v>
      </c>
      <c r="AG488" s="33">
        <v>2020</v>
      </c>
      <c r="AH488" s="34">
        <v>2020</v>
      </c>
      <c r="AT488" s="20" t="e">
        <f>VLOOKUP(C488,AW$488:AX$488,2,FALSE)</f>
        <v>#N/A</v>
      </c>
      <c r="BZ488" s="64"/>
      <c r="CD488" s="20" t="e">
        <f t="shared" si="93"/>
        <v>#N/A</v>
      </c>
    </row>
    <row r="489" spans="1:82" ht="61.5" x14ac:dyDescent="0.85">
      <c r="A489" s="20">
        <v>1</v>
      </c>
      <c r="B489" s="60">
        <f>SUBTOTAL(103,$A$22:A489)</f>
        <v>419</v>
      </c>
      <c r="C489" s="24" t="s">
        <v>1256</v>
      </c>
      <c r="D489" s="31">
        <f t="shared" si="95"/>
        <v>29614.32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67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f>ROUND(N489*1.5%,2)</f>
        <v>0</v>
      </c>
      <c r="AD489" s="38">
        <v>29614.32</v>
      </c>
      <c r="AE489" s="31">
        <v>0</v>
      </c>
      <c r="AF489" s="33">
        <v>2020</v>
      </c>
      <c r="AG489" s="33" t="s">
        <v>268</v>
      </c>
      <c r="AH489" s="33" t="s">
        <v>268</v>
      </c>
      <c r="BZ489" s="64"/>
      <c r="CD489" s="20">
        <f t="shared" si="93"/>
        <v>1105</v>
      </c>
    </row>
    <row r="490" spans="1:82" ht="61.5" x14ac:dyDescent="0.85">
      <c r="A490" s="20">
        <v>1</v>
      </c>
      <c r="B490" s="60">
        <f>SUBTOTAL(103,$A$22:A490)</f>
        <v>420</v>
      </c>
      <c r="C490" s="24" t="s">
        <v>1257</v>
      </c>
      <c r="D490" s="31">
        <f t="shared" si="95"/>
        <v>3373126.15</v>
      </c>
      <c r="E490" s="31">
        <v>0</v>
      </c>
      <c r="F490" s="31">
        <v>0</v>
      </c>
      <c r="G490" s="31">
        <v>0</v>
      </c>
      <c r="H490" s="31">
        <v>0</v>
      </c>
      <c r="I490" s="31">
        <v>0</v>
      </c>
      <c r="J490" s="31">
        <v>0</v>
      </c>
      <c r="K490" s="67">
        <v>0</v>
      </c>
      <c r="L490" s="31">
        <v>0</v>
      </c>
      <c r="M490" s="38">
        <v>835.43</v>
      </c>
      <c r="N490" s="38">
        <v>3358051.86</v>
      </c>
      <c r="O490" s="31">
        <v>0</v>
      </c>
      <c r="P490" s="31">
        <v>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f>ROUND(N490*0.4489%,2)</f>
        <v>15074.29</v>
      </c>
      <c r="AD490" s="31">
        <v>0</v>
      </c>
      <c r="AE490" s="31">
        <v>0</v>
      </c>
      <c r="AF490" s="33" t="s">
        <v>268</v>
      </c>
      <c r="AG490" s="33">
        <v>2020</v>
      </c>
      <c r="AH490" s="34">
        <v>2020</v>
      </c>
      <c r="BZ490" s="64"/>
      <c r="CD490" s="20">
        <f t="shared" si="93"/>
        <v>835.43</v>
      </c>
    </row>
    <row r="491" spans="1:82" ht="61.5" x14ac:dyDescent="0.85">
      <c r="A491" s="20">
        <v>1</v>
      </c>
      <c r="B491" s="60">
        <f>SUBTOTAL(103,$A$22:A491)</f>
        <v>421</v>
      </c>
      <c r="C491" s="24" t="s">
        <v>1258</v>
      </c>
      <c r="D491" s="31">
        <f t="shared" si="95"/>
        <v>5805618.4400000004</v>
      </c>
      <c r="E491" s="31">
        <v>0</v>
      </c>
      <c r="F491" s="31">
        <v>0</v>
      </c>
      <c r="G491" s="31">
        <v>0</v>
      </c>
      <c r="H491" s="31">
        <v>0</v>
      </c>
      <c r="I491" s="31">
        <v>0</v>
      </c>
      <c r="J491" s="31">
        <v>0</v>
      </c>
      <c r="K491" s="67">
        <v>0</v>
      </c>
      <c r="L491" s="31">
        <v>0</v>
      </c>
      <c r="M491" s="38">
        <v>1413.2</v>
      </c>
      <c r="N491" s="195">
        <v>5779673.4900000002</v>
      </c>
      <c r="O491" s="31">
        <v>0</v>
      </c>
      <c r="P491" s="31">
        <v>0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f>ROUND(N491*0.4489%,2)</f>
        <v>25944.95</v>
      </c>
      <c r="AD491" s="31">
        <v>0</v>
      </c>
      <c r="AE491" s="31">
        <v>0</v>
      </c>
      <c r="AF491" s="33" t="s">
        <v>268</v>
      </c>
      <c r="AG491" s="33">
        <v>2020</v>
      </c>
      <c r="AH491" s="34">
        <v>2020</v>
      </c>
      <c r="BZ491" s="64"/>
      <c r="CD491" s="20">
        <f t="shared" si="93"/>
        <v>1401.4</v>
      </c>
    </row>
    <row r="492" spans="1:82" ht="61.5" x14ac:dyDescent="0.85">
      <c r="A492" s="20">
        <v>1</v>
      </c>
      <c r="B492" s="60">
        <f>SUBTOTAL(103,$A$22:A492)</f>
        <v>422</v>
      </c>
      <c r="C492" s="24" t="s">
        <v>166</v>
      </c>
      <c r="D492" s="31">
        <f t="shared" si="95"/>
        <v>303399.58999999997</v>
      </c>
      <c r="E492" s="31">
        <v>0</v>
      </c>
      <c r="F492" s="31">
        <v>0</v>
      </c>
      <c r="G492" s="31">
        <v>0</v>
      </c>
      <c r="H492" s="31">
        <v>0</v>
      </c>
      <c r="I492" s="31">
        <v>0</v>
      </c>
      <c r="J492" s="31">
        <v>0</v>
      </c>
      <c r="K492" s="67">
        <v>0</v>
      </c>
      <c r="L492" s="31">
        <v>0</v>
      </c>
      <c r="M492" s="31">
        <v>0</v>
      </c>
      <c r="N492" s="31">
        <v>0</v>
      </c>
      <c r="O492" s="38">
        <v>459.05</v>
      </c>
      <c r="P492" s="38">
        <v>235413.82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f>ROUND(P492*1.4025%,2)</f>
        <v>3301.68</v>
      </c>
      <c r="AD492" s="144">
        <v>64684.09</v>
      </c>
      <c r="AE492" s="31">
        <v>0</v>
      </c>
      <c r="AF492" s="33">
        <v>2020</v>
      </c>
      <c r="AG492" s="33">
        <v>2020</v>
      </c>
      <c r="AH492" s="34">
        <v>2020</v>
      </c>
      <c r="AT492" s="20" t="e">
        <f>VLOOKUP(C492,AW:AX,2,FALSE)</f>
        <v>#N/A</v>
      </c>
      <c r="BZ492" s="64"/>
      <c r="CD492" s="20" t="e">
        <f t="shared" si="93"/>
        <v>#N/A</v>
      </c>
    </row>
    <row r="493" spans="1:82" ht="61.5" x14ac:dyDescent="0.85">
      <c r="A493" s="20">
        <v>1</v>
      </c>
      <c r="B493" s="60">
        <f>SUBTOTAL(103,$A$22:A493)</f>
        <v>423</v>
      </c>
      <c r="C493" s="24" t="s">
        <v>1280</v>
      </c>
      <c r="D493" s="31">
        <f t="shared" si="95"/>
        <v>1018204.83</v>
      </c>
      <c r="E493" s="31">
        <v>0</v>
      </c>
      <c r="F493" s="31">
        <v>0</v>
      </c>
      <c r="G493" s="144">
        <v>899499.24</v>
      </c>
      <c r="H493" s="31">
        <v>0</v>
      </c>
      <c r="I493" s="31">
        <v>0</v>
      </c>
      <c r="J493" s="31">
        <v>0</v>
      </c>
      <c r="K493" s="67">
        <v>0</v>
      </c>
      <c r="L493" s="31">
        <v>0</v>
      </c>
      <c r="M493" s="80">
        <v>0</v>
      </c>
      <c r="N493" s="80">
        <v>0</v>
      </c>
      <c r="O493" s="31">
        <v>0</v>
      </c>
      <c r="P493" s="31">
        <v>0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144">
        <v>12615.48</v>
      </c>
      <c r="AD493" s="38">
        <v>106090.11</v>
      </c>
      <c r="AE493" s="31">
        <v>0</v>
      </c>
      <c r="AF493" s="33">
        <v>2020</v>
      </c>
      <c r="AG493" s="33">
        <v>2020</v>
      </c>
      <c r="AH493" s="34">
        <v>2020</v>
      </c>
      <c r="BZ493" s="64"/>
      <c r="CD493" s="20" t="e">
        <f t="shared" si="93"/>
        <v>#N/A</v>
      </c>
    </row>
    <row r="494" spans="1:82" ht="61.5" x14ac:dyDescent="0.85">
      <c r="B494" s="24" t="s">
        <v>1254</v>
      </c>
      <c r="C494" s="24"/>
      <c r="D494" s="199">
        <f>D495</f>
        <v>1483737.75</v>
      </c>
      <c r="E494" s="31">
        <f t="shared" ref="E494:AE494" si="96">E495</f>
        <v>0</v>
      </c>
      <c r="F494" s="31">
        <f t="shared" si="96"/>
        <v>0</v>
      </c>
      <c r="G494" s="31">
        <f t="shared" si="96"/>
        <v>0</v>
      </c>
      <c r="H494" s="31">
        <f t="shared" si="96"/>
        <v>0</v>
      </c>
      <c r="I494" s="31">
        <f t="shared" si="96"/>
        <v>0</v>
      </c>
      <c r="J494" s="31">
        <f t="shared" si="96"/>
        <v>0</v>
      </c>
      <c r="K494" s="67">
        <f t="shared" si="96"/>
        <v>0</v>
      </c>
      <c r="L494" s="31">
        <f t="shared" si="96"/>
        <v>0</v>
      </c>
      <c r="M494" s="31">
        <f t="shared" si="96"/>
        <v>484.49</v>
      </c>
      <c r="N494" s="31">
        <f t="shared" si="96"/>
        <v>1477107.01</v>
      </c>
      <c r="O494" s="31">
        <f t="shared" si="96"/>
        <v>0</v>
      </c>
      <c r="P494" s="31">
        <f t="shared" si="96"/>
        <v>0</v>
      </c>
      <c r="Q494" s="31">
        <f t="shared" si="96"/>
        <v>0</v>
      </c>
      <c r="R494" s="31">
        <f t="shared" si="96"/>
        <v>0</v>
      </c>
      <c r="S494" s="31">
        <f t="shared" si="96"/>
        <v>0</v>
      </c>
      <c r="T494" s="31">
        <f t="shared" si="96"/>
        <v>0</v>
      </c>
      <c r="U494" s="31">
        <f t="shared" si="96"/>
        <v>0</v>
      </c>
      <c r="V494" s="31">
        <f t="shared" si="96"/>
        <v>0</v>
      </c>
      <c r="W494" s="31">
        <f t="shared" si="96"/>
        <v>0</v>
      </c>
      <c r="X494" s="31">
        <f t="shared" si="96"/>
        <v>0</v>
      </c>
      <c r="Y494" s="31">
        <f t="shared" si="96"/>
        <v>0</v>
      </c>
      <c r="Z494" s="31">
        <f t="shared" si="96"/>
        <v>0</v>
      </c>
      <c r="AA494" s="31">
        <f t="shared" si="96"/>
        <v>0</v>
      </c>
      <c r="AB494" s="31">
        <f t="shared" si="96"/>
        <v>0</v>
      </c>
      <c r="AC494" s="31">
        <f t="shared" si="96"/>
        <v>6630.74</v>
      </c>
      <c r="AD494" s="31">
        <f t="shared" si="96"/>
        <v>0</v>
      </c>
      <c r="AE494" s="31">
        <f t="shared" si="96"/>
        <v>0</v>
      </c>
      <c r="AF494" s="65" t="s">
        <v>751</v>
      </c>
      <c r="AG494" s="65" t="s">
        <v>751</v>
      </c>
      <c r="AH494" s="79" t="s">
        <v>751</v>
      </c>
      <c r="BZ494" s="64">
        <v>2298882.5099999998</v>
      </c>
      <c r="CD494" s="20" t="e">
        <f t="shared" si="93"/>
        <v>#N/A</v>
      </c>
    </row>
    <row r="495" spans="1:82" ht="61.5" x14ac:dyDescent="0.85">
      <c r="A495" s="20">
        <v>1</v>
      </c>
      <c r="B495" s="60">
        <f>SUBTOTAL(103,$A$22:A495)</f>
        <v>424</v>
      </c>
      <c r="C495" s="24" t="s">
        <v>1255</v>
      </c>
      <c r="D495" s="31">
        <f>E495+F495+G495+H495+I495+J495+L495+N495+P495+R495+T495+U495+V495+W495+X495+Y495+Z495+AA495+AB495+AC495+AD495+AE495</f>
        <v>1483737.75</v>
      </c>
      <c r="E495" s="31">
        <v>0</v>
      </c>
      <c r="F495" s="31">
        <v>0</v>
      </c>
      <c r="G495" s="31">
        <v>0</v>
      </c>
      <c r="H495" s="31">
        <v>0</v>
      </c>
      <c r="I495" s="31">
        <v>0</v>
      </c>
      <c r="J495" s="31">
        <v>0</v>
      </c>
      <c r="K495" s="67">
        <v>0</v>
      </c>
      <c r="L495" s="31">
        <v>0</v>
      </c>
      <c r="M495" s="38">
        <v>484.49</v>
      </c>
      <c r="N495" s="38">
        <v>1477107.01</v>
      </c>
      <c r="O495" s="31">
        <v>0</v>
      </c>
      <c r="P495" s="31">
        <v>0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8">
        <v>6630.74</v>
      </c>
      <c r="AD495" s="31">
        <v>0</v>
      </c>
      <c r="AE495" s="31">
        <v>0</v>
      </c>
      <c r="AF495" s="33" t="s">
        <v>268</v>
      </c>
      <c r="AG495" s="33">
        <v>2020</v>
      </c>
      <c r="AH495" s="34">
        <v>2020</v>
      </c>
      <c r="BZ495" s="64"/>
      <c r="CD495" s="20">
        <f t="shared" si="93"/>
        <v>467.74</v>
      </c>
    </row>
    <row r="496" spans="1:82" ht="61.5" x14ac:dyDescent="0.85">
      <c r="B496" s="24" t="s">
        <v>1047</v>
      </c>
      <c r="C496" s="24"/>
      <c r="D496" s="199">
        <f>D497</f>
        <v>446142.85</v>
      </c>
      <c r="E496" s="31">
        <f t="shared" ref="E496:AE496" si="97">E497</f>
        <v>0</v>
      </c>
      <c r="F496" s="31">
        <f t="shared" si="97"/>
        <v>0</v>
      </c>
      <c r="G496" s="31">
        <f t="shared" si="97"/>
        <v>0</v>
      </c>
      <c r="H496" s="31">
        <f t="shared" si="97"/>
        <v>0</v>
      </c>
      <c r="I496" s="31">
        <f t="shared" si="97"/>
        <v>0</v>
      </c>
      <c r="J496" s="31">
        <f t="shared" si="97"/>
        <v>0</v>
      </c>
      <c r="K496" s="67">
        <f t="shared" si="97"/>
        <v>0</v>
      </c>
      <c r="L496" s="31">
        <f t="shared" si="97"/>
        <v>0</v>
      </c>
      <c r="M496" s="31">
        <f t="shared" si="97"/>
        <v>0</v>
      </c>
      <c r="N496" s="31">
        <f t="shared" si="97"/>
        <v>0</v>
      </c>
      <c r="O496" s="31">
        <f t="shared" si="97"/>
        <v>0</v>
      </c>
      <c r="P496" s="31">
        <f t="shared" si="97"/>
        <v>0</v>
      </c>
      <c r="Q496" s="31">
        <f t="shared" si="97"/>
        <v>53.53</v>
      </c>
      <c r="R496" s="31">
        <f t="shared" si="97"/>
        <v>334396.76</v>
      </c>
      <c r="S496" s="31">
        <f t="shared" si="97"/>
        <v>0</v>
      </c>
      <c r="T496" s="31">
        <f t="shared" si="97"/>
        <v>0</v>
      </c>
      <c r="U496" s="31">
        <f t="shared" si="97"/>
        <v>0</v>
      </c>
      <c r="V496" s="31">
        <f t="shared" si="97"/>
        <v>0</v>
      </c>
      <c r="W496" s="31">
        <f t="shared" si="97"/>
        <v>0</v>
      </c>
      <c r="X496" s="31">
        <f t="shared" si="97"/>
        <v>0</v>
      </c>
      <c r="Y496" s="31">
        <f t="shared" si="97"/>
        <v>0</v>
      </c>
      <c r="Z496" s="31">
        <f t="shared" si="97"/>
        <v>0</v>
      </c>
      <c r="AA496" s="31">
        <f t="shared" si="97"/>
        <v>0</v>
      </c>
      <c r="AB496" s="31">
        <f t="shared" si="97"/>
        <v>0</v>
      </c>
      <c r="AC496" s="31">
        <f t="shared" si="97"/>
        <v>4689.91</v>
      </c>
      <c r="AD496" s="31">
        <f t="shared" si="97"/>
        <v>107056.18</v>
      </c>
      <c r="AE496" s="31">
        <f t="shared" si="97"/>
        <v>0</v>
      </c>
      <c r="AF496" s="65" t="s">
        <v>751</v>
      </c>
      <c r="AG496" s="65" t="s">
        <v>751</v>
      </c>
      <c r="AH496" s="79" t="s">
        <v>751</v>
      </c>
      <c r="BZ496" s="64">
        <v>467593.97</v>
      </c>
      <c r="CD496" s="20" t="e">
        <f t="shared" si="93"/>
        <v>#N/A</v>
      </c>
    </row>
    <row r="497" spans="1:83" ht="61.5" x14ac:dyDescent="0.85">
      <c r="A497" s="20">
        <v>1</v>
      </c>
      <c r="B497" s="60">
        <f>SUBTOTAL(103,$A$22:A497)</f>
        <v>425</v>
      </c>
      <c r="C497" s="24" t="s">
        <v>1035</v>
      </c>
      <c r="D497" s="31">
        <f>E497+F497+G497+H497+I497+J497+L497+N497+P497+R497+T497+U497+V497+W497+X497+Y497+Z497+AA497+AB497+AC497+AD497+AE497</f>
        <v>446142.85</v>
      </c>
      <c r="E497" s="31">
        <v>0</v>
      </c>
      <c r="F497" s="31">
        <v>0</v>
      </c>
      <c r="G497" s="31">
        <v>0</v>
      </c>
      <c r="H497" s="31">
        <v>0</v>
      </c>
      <c r="I497" s="31">
        <v>0</v>
      </c>
      <c r="J497" s="31">
        <v>0</v>
      </c>
      <c r="K497" s="67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8">
        <v>53.53</v>
      </c>
      <c r="R497" s="38">
        <v>334396.76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f>ROUND(R497*1.4025%,2)</f>
        <v>4689.91</v>
      </c>
      <c r="AD497" s="38">
        <v>107056.18</v>
      </c>
      <c r="AE497" s="31">
        <v>0</v>
      </c>
      <c r="AF497" s="33">
        <v>2020</v>
      </c>
      <c r="AG497" s="33">
        <v>2020</v>
      </c>
      <c r="AH497" s="34">
        <v>2020</v>
      </c>
      <c r="BZ497" s="64"/>
      <c r="CD497" s="20" t="e">
        <f t="shared" si="93"/>
        <v>#N/A</v>
      </c>
    </row>
    <row r="498" spans="1:83" ht="61.5" x14ac:dyDescent="0.85">
      <c r="B498" s="24" t="s">
        <v>882</v>
      </c>
      <c r="C498" s="198"/>
      <c r="D498" s="199">
        <f>SUM(D499:D502)</f>
        <v>3380450.98</v>
      </c>
      <c r="E498" s="31">
        <f t="shared" ref="E498:AE498" si="98">SUM(E499:E502)</f>
        <v>0</v>
      </c>
      <c r="F498" s="31">
        <f t="shared" si="98"/>
        <v>0</v>
      </c>
      <c r="G498" s="31">
        <f t="shared" si="98"/>
        <v>0</v>
      </c>
      <c r="H498" s="31">
        <f t="shared" si="98"/>
        <v>0</v>
      </c>
      <c r="I498" s="31">
        <f t="shared" si="98"/>
        <v>0</v>
      </c>
      <c r="J498" s="31">
        <f t="shared" si="98"/>
        <v>0</v>
      </c>
      <c r="K498" s="69">
        <f t="shared" si="98"/>
        <v>0</v>
      </c>
      <c r="L498" s="31">
        <f t="shared" si="98"/>
        <v>0</v>
      </c>
      <c r="M498" s="31">
        <f t="shared" si="98"/>
        <v>785</v>
      </c>
      <c r="N498" s="31">
        <f t="shared" si="98"/>
        <v>3380450.98</v>
      </c>
      <c r="O498" s="31">
        <f t="shared" si="98"/>
        <v>0</v>
      </c>
      <c r="P498" s="31">
        <f t="shared" si="98"/>
        <v>0</v>
      </c>
      <c r="Q498" s="31">
        <f t="shared" si="98"/>
        <v>0</v>
      </c>
      <c r="R498" s="31">
        <f t="shared" si="98"/>
        <v>0</v>
      </c>
      <c r="S498" s="31">
        <f t="shared" si="98"/>
        <v>0</v>
      </c>
      <c r="T498" s="31">
        <f t="shared" si="98"/>
        <v>0</v>
      </c>
      <c r="U498" s="31">
        <f t="shared" si="98"/>
        <v>0</v>
      </c>
      <c r="V498" s="31">
        <f t="shared" si="98"/>
        <v>0</v>
      </c>
      <c r="W498" s="31">
        <f t="shared" si="98"/>
        <v>0</v>
      </c>
      <c r="X498" s="31">
        <f t="shared" si="98"/>
        <v>0</v>
      </c>
      <c r="Y498" s="31">
        <f t="shared" si="98"/>
        <v>0</v>
      </c>
      <c r="Z498" s="31">
        <f t="shared" si="98"/>
        <v>0</v>
      </c>
      <c r="AA498" s="31">
        <f t="shared" si="98"/>
        <v>0</v>
      </c>
      <c r="AB498" s="31">
        <f t="shared" si="98"/>
        <v>0</v>
      </c>
      <c r="AC498" s="31">
        <f t="shared" si="98"/>
        <v>0</v>
      </c>
      <c r="AD498" s="31">
        <f t="shared" si="98"/>
        <v>0</v>
      </c>
      <c r="AE498" s="31">
        <f t="shared" si="98"/>
        <v>0</v>
      </c>
      <c r="AF498" s="65" t="s">
        <v>751</v>
      </c>
      <c r="AG498" s="65" t="s">
        <v>751</v>
      </c>
      <c r="AH498" s="79" t="s">
        <v>751</v>
      </c>
      <c r="AT498" s="20" t="e">
        <f t="shared" ref="AT498:AT505" si="99">VLOOKUP(C498,AW:AX,2,FALSE)</f>
        <v>#N/A</v>
      </c>
      <c r="BZ498" s="64">
        <v>3974620.0799999996</v>
      </c>
      <c r="CD498" s="20" t="e">
        <f t="shared" si="93"/>
        <v>#N/A</v>
      </c>
    </row>
    <row r="499" spans="1:83" ht="61.5" x14ac:dyDescent="0.85">
      <c r="A499" s="20">
        <v>1</v>
      </c>
      <c r="B499" s="60">
        <f>SUBTOTAL(103,$A$22:A499)</f>
        <v>426</v>
      </c>
      <c r="C499" s="24" t="s">
        <v>1678</v>
      </c>
      <c r="D499" s="31">
        <f>E499+F499+G499+H499+I499+J499+L499+N499+P499+R499+T499+U499+V499+W499+X499+Y499+Z499+AA499+AB499+AC499+AD499+AE499</f>
        <v>824971.76</v>
      </c>
      <c r="E499" s="31">
        <v>0</v>
      </c>
      <c r="F499" s="31">
        <v>0</v>
      </c>
      <c r="G499" s="31">
        <v>0</v>
      </c>
      <c r="H499" s="31">
        <v>0</v>
      </c>
      <c r="I499" s="31">
        <v>0</v>
      </c>
      <c r="J499" s="31">
        <v>0</v>
      </c>
      <c r="K499" s="67">
        <v>0</v>
      </c>
      <c r="L499" s="31">
        <v>0</v>
      </c>
      <c r="M499" s="31">
        <v>205</v>
      </c>
      <c r="N499" s="31">
        <v>824971.76</v>
      </c>
      <c r="O499" s="31">
        <v>0</v>
      </c>
      <c r="P499" s="31">
        <v>0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3" t="s">
        <v>268</v>
      </c>
      <c r="AG499" s="33">
        <v>2020</v>
      </c>
      <c r="AH499" s="33" t="s">
        <v>268</v>
      </c>
      <c r="AT499" s="20" t="e">
        <f t="shared" si="99"/>
        <v>#N/A</v>
      </c>
      <c r="BZ499" s="64"/>
      <c r="CD499" s="20" t="e">
        <f t="shared" si="93"/>
        <v>#N/A</v>
      </c>
    </row>
    <row r="500" spans="1:83" ht="61.5" x14ac:dyDescent="0.85">
      <c r="A500" s="20">
        <v>1</v>
      </c>
      <c r="B500" s="60">
        <f>SUBTOTAL(103,$A$22:A500)</f>
        <v>427</v>
      </c>
      <c r="C500" s="24" t="s">
        <v>1679</v>
      </c>
      <c r="D500" s="31">
        <f>E500+F500+G500+H500+I500+J500+L500+N500+P500+R500+T500+U500+V500+W500+X500+Y500+Z500+AA500+AB500+AC500+AD500+AE500</f>
        <v>848636.41</v>
      </c>
      <c r="E500" s="31">
        <v>0</v>
      </c>
      <c r="F500" s="31">
        <v>0</v>
      </c>
      <c r="G500" s="31">
        <v>0</v>
      </c>
      <c r="H500" s="31">
        <v>0</v>
      </c>
      <c r="I500" s="31">
        <v>0</v>
      </c>
      <c r="J500" s="31">
        <v>0</v>
      </c>
      <c r="K500" s="67">
        <v>0</v>
      </c>
      <c r="L500" s="31">
        <v>0</v>
      </c>
      <c r="M500" s="31">
        <v>194.1</v>
      </c>
      <c r="N500" s="31">
        <v>848636.41</v>
      </c>
      <c r="O500" s="31">
        <v>0</v>
      </c>
      <c r="P500" s="31">
        <v>0</v>
      </c>
      <c r="Q500" s="31">
        <v>0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3" t="s">
        <v>268</v>
      </c>
      <c r="AG500" s="33">
        <v>2020</v>
      </c>
      <c r="AH500" s="33" t="s">
        <v>268</v>
      </c>
      <c r="AT500" s="20" t="e">
        <f t="shared" si="99"/>
        <v>#N/A</v>
      </c>
      <c r="BZ500" s="64"/>
      <c r="CD500" s="20" t="e">
        <f t="shared" si="93"/>
        <v>#N/A</v>
      </c>
    </row>
    <row r="501" spans="1:83" ht="61.5" x14ac:dyDescent="0.85">
      <c r="A501" s="20">
        <v>1</v>
      </c>
      <c r="B501" s="60">
        <f>SUBTOTAL(103,$A$22:A501)</f>
        <v>428</v>
      </c>
      <c r="C501" s="24" t="s">
        <v>1680</v>
      </c>
      <c r="D501" s="31">
        <f>E501+F501+G501+H501+I501+J501+L501+N501+P501+R501+T501+U501+V501+W501+X501+Y501+Z501+AA501+AB501+AC501+AD501+AE501</f>
        <v>854226.54</v>
      </c>
      <c r="E501" s="31">
        <v>0</v>
      </c>
      <c r="F501" s="31">
        <v>0</v>
      </c>
      <c r="G501" s="31">
        <v>0</v>
      </c>
      <c r="H501" s="31">
        <v>0</v>
      </c>
      <c r="I501" s="31">
        <v>0</v>
      </c>
      <c r="J501" s="31">
        <v>0</v>
      </c>
      <c r="K501" s="67">
        <v>0</v>
      </c>
      <c r="L501" s="31">
        <v>0</v>
      </c>
      <c r="M501" s="31">
        <v>193.2</v>
      </c>
      <c r="N501" s="31">
        <v>854226.54</v>
      </c>
      <c r="O501" s="31">
        <v>0</v>
      </c>
      <c r="P501" s="31">
        <v>0</v>
      </c>
      <c r="Q501" s="31">
        <v>0</v>
      </c>
      <c r="R501" s="31">
        <v>0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3" t="s">
        <v>268</v>
      </c>
      <c r="AG501" s="33">
        <v>2020</v>
      </c>
      <c r="AH501" s="33" t="s">
        <v>268</v>
      </c>
      <c r="AT501" s="20" t="e">
        <f t="shared" si="99"/>
        <v>#N/A</v>
      </c>
      <c r="BZ501" s="64"/>
      <c r="CD501" s="20" t="e">
        <f t="shared" si="93"/>
        <v>#N/A</v>
      </c>
    </row>
    <row r="502" spans="1:83" ht="61.5" x14ac:dyDescent="0.85">
      <c r="A502" s="20">
        <v>1</v>
      </c>
      <c r="B502" s="60">
        <f>SUBTOTAL(103,$A$22:A502)</f>
        <v>429</v>
      </c>
      <c r="C502" s="24" t="s">
        <v>1677</v>
      </c>
      <c r="D502" s="31">
        <f>E502+F502+G502+H502+I502+J502+L502+N502+P502+R502+T502+U502+V502+W502+X502+Y502+Z502+AA502+AB502+AC502+AD502+AE502</f>
        <v>852616.27</v>
      </c>
      <c r="E502" s="31">
        <v>0</v>
      </c>
      <c r="F502" s="31">
        <v>0</v>
      </c>
      <c r="G502" s="31">
        <v>0</v>
      </c>
      <c r="H502" s="31">
        <v>0</v>
      </c>
      <c r="I502" s="31">
        <v>0</v>
      </c>
      <c r="J502" s="31">
        <v>0</v>
      </c>
      <c r="K502" s="67">
        <v>0</v>
      </c>
      <c r="L502" s="31">
        <v>0</v>
      </c>
      <c r="M502" s="31">
        <v>192.7</v>
      </c>
      <c r="N502" s="31">
        <v>852616.27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3" t="s">
        <v>268</v>
      </c>
      <c r="AG502" s="33">
        <v>2020</v>
      </c>
      <c r="AH502" s="34" t="s">
        <v>268</v>
      </c>
      <c r="AT502" s="20" t="e">
        <f t="shared" si="99"/>
        <v>#N/A</v>
      </c>
      <c r="BZ502" s="64"/>
      <c r="CD502" s="20" t="e">
        <f t="shared" si="93"/>
        <v>#N/A</v>
      </c>
    </row>
    <row r="503" spans="1:83" ht="61.5" x14ac:dyDescent="0.85">
      <c r="B503" s="24" t="s">
        <v>854</v>
      </c>
      <c r="C503" s="198"/>
      <c r="D503" s="199">
        <f>SUM(D504:D508)</f>
        <v>7738017.7799999993</v>
      </c>
      <c r="E503" s="31">
        <f t="shared" ref="E503:AE503" si="100">SUM(E504:E508)</f>
        <v>0</v>
      </c>
      <c r="F503" s="31">
        <f t="shared" si="100"/>
        <v>0</v>
      </c>
      <c r="G503" s="31">
        <f t="shared" si="100"/>
        <v>0</v>
      </c>
      <c r="H503" s="31">
        <f t="shared" si="100"/>
        <v>0</v>
      </c>
      <c r="I503" s="31">
        <f t="shared" si="100"/>
        <v>0</v>
      </c>
      <c r="J503" s="31">
        <f t="shared" si="100"/>
        <v>0</v>
      </c>
      <c r="K503" s="67">
        <f t="shared" si="100"/>
        <v>0</v>
      </c>
      <c r="L503" s="31">
        <f t="shared" si="100"/>
        <v>0</v>
      </c>
      <c r="M503" s="31">
        <f t="shared" si="100"/>
        <v>1553.2</v>
      </c>
      <c r="N503" s="31">
        <f t="shared" si="100"/>
        <v>5380395.1500000004</v>
      </c>
      <c r="O503" s="31">
        <f t="shared" si="100"/>
        <v>0</v>
      </c>
      <c r="P503" s="31">
        <f t="shared" si="100"/>
        <v>0</v>
      </c>
      <c r="Q503" s="31">
        <f t="shared" si="100"/>
        <v>925.06</v>
      </c>
      <c r="R503" s="31">
        <f t="shared" si="100"/>
        <v>2149929.41</v>
      </c>
      <c r="S503" s="31">
        <f t="shared" si="100"/>
        <v>0</v>
      </c>
      <c r="T503" s="31">
        <f t="shared" si="100"/>
        <v>0</v>
      </c>
      <c r="U503" s="31">
        <f t="shared" si="100"/>
        <v>0</v>
      </c>
      <c r="V503" s="31">
        <f t="shared" si="100"/>
        <v>0</v>
      </c>
      <c r="W503" s="31">
        <f t="shared" si="100"/>
        <v>0</v>
      </c>
      <c r="X503" s="31">
        <f t="shared" si="100"/>
        <v>0</v>
      </c>
      <c r="Y503" s="31">
        <f t="shared" si="100"/>
        <v>0</v>
      </c>
      <c r="Z503" s="31">
        <f t="shared" si="100"/>
        <v>0</v>
      </c>
      <c r="AA503" s="31">
        <f t="shared" si="100"/>
        <v>0</v>
      </c>
      <c r="AB503" s="31">
        <f t="shared" si="100"/>
        <v>0</v>
      </c>
      <c r="AC503" s="31">
        <f t="shared" si="100"/>
        <v>45614.31</v>
      </c>
      <c r="AD503" s="31">
        <f t="shared" si="100"/>
        <v>162078.90999999997</v>
      </c>
      <c r="AE503" s="31">
        <f t="shared" si="100"/>
        <v>0</v>
      </c>
      <c r="AF503" s="65" t="s">
        <v>751</v>
      </c>
      <c r="AG503" s="65" t="s">
        <v>751</v>
      </c>
      <c r="AH503" s="79" t="s">
        <v>751</v>
      </c>
      <c r="AT503" s="20" t="e">
        <f t="shared" si="99"/>
        <v>#N/A</v>
      </c>
      <c r="BZ503" s="64">
        <v>11081040.970000001</v>
      </c>
      <c r="CB503" s="64">
        <f>BZ503-D503</f>
        <v>3343023.1900000013</v>
      </c>
      <c r="CC503" s="31">
        <v>10960961.029999999</v>
      </c>
      <c r="CD503" s="20" t="e">
        <f t="shared" si="93"/>
        <v>#N/A</v>
      </c>
      <c r="CE503" s="31">
        <f>CC503-D503</f>
        <v>3222943.25</v>
      </c>
    </row>
    <row r="504" spans="1:83" ht="61.5" x14ac:dyDescent="0.85">
      <c r="A504" s="20">
        <v>1</v>
      </c>
      <c r="B504" s="60">
        <f>SUBTOTAL(103,$A$22:A504)</f>
        <v>430</v>
      </c>
      <c r="C504" s="24" t="s">
        <v>89</v>
      </c>
      <c r="D504" s="31">
        <f>E504+F504+G504+H504+I504+J504+L504+N504+P504+R504+T504+U504+V504+W504+X504+Y504+Z504+AA504+AB504+AC504+AD504+AE504</f>
        <v>2421334.88</v>
      </c>
      <c r="E504" s="31">
        <v>0</v>
      </c>
      <c r="F504" s="31">
        <v>0</v>
      </c>
      <c r="G504" s="31">
        <v>0</v>
      </c>
      <c r="H504" s="31">
        <v>0</v>
      </c>
      <c r="I504" s="31">
        <v>0</v>
      </c>
      <c r="J504" s="31">
        <v>0</v>
      </c>
      <c r="K504" s="67">
        <v>0</v>
      </c>
      <c r="L504" s="31">
        <v>0</v>
      </c>
      <c r="M504" s="38">
        <v>629</v>
      </c>
      <c r="N504" s="38">
        <v>2325578</v>
      </c>
      <c r="O504" s="31">
        <v>0</v>
      </c>
      <c r="P504" s="31">
        <v>0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0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8">
        <v>14999.98</v>
      </c>
      <c r="AD504" s="38">
        <v>80756.899999999994</v>
      </c>
      <c r="AE504" s="31">
        <v>0</v>
      </c>
      <c r="AF504" s="33">
        <v>2020</v>
      </c>
      <c r="AG504" s="33">
        <v>2020</v>
      </c>
      <c r="AH504" s="34">
        <v>2020</v>
      </c>
      <c r="AT504" s="20" t="e">
        <f t="shared" si="99"/>
        <v>#N/A</v>
      </c>
      <c r="BZ504" s="64"/>
      <c r="CD504" s="20" t="e">
        <f t="shared" si="93"/>
        <v>#N/A</v>
      </c>
    </row>
    <row r="505" spans="1:83" ht="61.5" x14ac:dyDescent="0.85">
      <c r="A505" s="20">
        <v>1</v>
      </c>
      <c r="B505" s="60">
        <f>SUBTOTAL(103,$A$22:A505)</f>
        <v>431</v>
      </c>
      <c r="C505" s="24" t="s">
        <v>90</v>
      </c>
      <c r="D505" s="31">
        <f>E505+F505+G505+H505+I505+J505+L505+N505+P505+R505+T505+U505+V505+W505+X505+Y505+Z505+AA505+AB505+AC505+AD505+AE505</f>
        <v>1656413.77</v>
      </c>
      <c r="E505" s="31">
        <v>0</v>
      </c>
      <c r="F505" s="31">
        <v>0</v>
      </c>
      <c r="G505" s="31">
        <v>0</v>
      </c>
      <c r="H505" s="31">
        <v>0</v>
      </c>
      <c r="I505" s="31">
        <v>0</v>
      </c>
      <c r="J505" s="31">
        <v>0</v>
      </c>
      <c r="K505" s="67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8">
        <v>486.31</v>
      </c>
      <c r="R505" s="144">
        <v>1647382</v>
      </c>
      <c r="S505" s="31">
        <v>0</v>
      </c>
      <c r="T505" s="31">
        <v>0</v>
      </c>
      <c r="U505" s="31">
        <v>0</v>
      </c>
      <c r="V505" s="31">
        <v>0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8">
        <v>9031.77</v>
      </c>
      <c r="AD505" s="31">
        <v>0</v>
      </c>
      <c r="AE505" s="31">
        <v>0</v>
      </c>
      <c r="AF505" s="33" t="s">
        <v>268</v>
      </c>
      <c r="AG505" s="33">
        <v>2020</v>
      </c>
      <c r="AH505" s="34">
        <v>2020</v>
      </c>
      <c r="AT505" s="20" t="e">
        <f t="shared" si="99"/>
        <v>#N/A</v>
      </c>
      <c r="BZ505" s="64"/>
      <c r="CD505" s="20" t="e">
        <f t="shared" si="93"/>
        <v>#N/A</v>
      </c>
    </row>
    <row r="506" spans="1:83" ht="61.5" x14ac:dyDescent="0.85">
      <c r="A506" s="20">
        <v>1</v>
      </c>
      <c r="B506" s="60">
        <f>SUBTOTAL(103,$A$22:A506)</f>
        <v>432</v>
      </c>
      <c r="C506" s="24" t="s">
        <v>1261</v>
      </c>
      <c r="D506" s="31">
        <f>E506+F506+G506+H506+I506+J506+L506+N506+P506+R506+T506+U506+V506+W506+X506+Y506+Z506+AA506+AB506+AC506+AD506+AE506</f>
        <v>507522.62999999995</v>
      </c>
      <c r="E506" s="31">
        <v>0</v>
      </c>
      <c r="F506" s="31">
        <v>0</v>
      </c>
      <c r="G506" s="31">
        <v>0</v>
      </c>
      <c r="H506" s="31">
        <v>0</v>
      </c>
      <c r="I506" s="31">
        <v>0</v>
      </c>
      <c r="J506" s="31">
        <v>0</v>
      </c>
      <c r="K506" s="67">
        <v>0</v>
      </c>
      <c r="L506" s="31">
        <v>0</v>
      </c>
      <c r="M506" s="31">
        <v>0</v>
      </c>
      <c r="N506" s="31">
        <v>0</v>
      </c>
      <c r="O506" s="31">
        <v>0</v>
      </c>
      <c r="P506" s="31">
        <v>0</v>
      </c>
      <c r="Q506" s="38">
        <v>438.75</v>
      </c>
      <c r="R506" s="38">
        <v>502547.41</v>
      </c>
      <c r="S506" s="31">
        <v>0</v>
      </c>
      <c r="T506" s="31">
        <v>0</v>
      </c>
      <c r="U506" s="31">
        <v>0</v>
      </c>
      <c r="V506" s="31">
        <v>0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8">
        <v>4975.22</v>
      </c>
      <c r="AD506" s="31">
        <v>0</v>
      </c>
      <c r="AE506" s="31">
        <v>0</v>
      </c>
      <c r="AF506" s="33" t="s">
        <v>268</v>
      </c>
      <c r="AG506" s="33">
        <v>2020</v>
      </c>
      <c r="AH506" s="34">
        <v>2020</v>
      </c>
      <c r="BZ506" s="64"/>
      <c r="CD506" s="20" t="e">
        <f t="shared" si="93"/>
        <v>#N/A</v>
      </c>
    </row>
    <row r="507" spans="1:83" ht="61.5" x14ac:dyDescent="0.85">
      <c r="A507" s="20">
        <v>1</v>
      </c>
      <c r="B507" s="60">
        <f>SUBTOTAL(103,$A$22:A507)</f>
        <v>433</v>
      </c>
      <c r="C507" s="24" t="s">
        <v>1262</v>
      </c>
      <c r="D507" s="31">
        <f>E507+F507+G507+H507+I507+J507+L507+N507+P507+R507+T507+U507+V507+W507+X507+Y507+Z507+AA507+AB507+AC507+AD507+AE507</f>
        <v>81322.009999999995</v>
      </c>
      <c r="E507" s="31">
        <v>0</v>
      </c>
      <c r="F507" s="31">
        <v>0</v>
      </c>
      <c r="G507" s="31">
        <v>0</v>
      </c>
      <c r="H507" s="31">
        <v>0</v>
      </c>
      <c r="I507" s="31">
        <v>0</v>
      </c>
      <c r="J507" s="31">
        <v>0</v>
      </c>
      <c r="K507" s="67">
        <v>0</v>
      </c>
      <c r="L507" s="31">
        <v>0</v>
      </c>
      <c r="M507" s="31">
        <v>0</v>
      </c>
      <c r="N507" s="31">
        <v>0</v>
      </c>
      <c r="O507" s="31">
        <v>0</v>
      </c>
      <c r="P507" s="31">
        <v>0</v>
      </c>
      <c r="Q507" s="31">
        <v>0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f>ROUND(R507*1.5%,2)</f>
        <v>0</v>
      </c>
      <c r="AD507" s="31">
        <v>81322.009999999995</v>
      </c>
      <c r="AE507" s="31">
        <v>0</v>
      </c>
      <c r="AF507" s="33">
        <v>2020</v>
      </c>
      <c r="AG507" s="33" t="s">
        <v>268</v>
      </c>
      <c r="AH507" s="33" t="s">
        <v>268</v>
      </c>
      <c r="BZ507" s="64"/>
      <c r="CD507" s="20" t="e">
        <f t="shared" si="93"/>
        <v>#N/A</v>
      </c>
    </row>
    <row r="508" spans="1:83" ht="61.5" x14ac:dyDescent="0.85">
      <c r="A508" s="20">
        <v>1</v>
      </c>
      <c r="B508" s="60">
        <f>SUBTOTAL(103,$A$22:A508)</f>
        <v>434</v>
      </c>
      <c r="C508" s="24" t="s">
        <v>1263</v>
      </c>
      <c r="D508" s="31">
        <f>E508+F508+G508+H508+I508+J508+L508+N508+P508+R508+T508+U508+V508+W508+X508+Y508+Z508+AA508+AB508+AC508+AD508+AE508</f>
        <v>3071424.4899999998</v>
      </c>
      <c r="E508" s="31">
        <v>0</v>
      </c>
      <c r="F508" s="31">
        <v>0</v>
      </c>
      <c r="G508" s="31">
        <v>0</v>
      </c>
      <c r="H508" s="31">
        <v>0</v>
      </c>
      <c r="I508" s="31">
        <v>0</v>
      </c>
      <c r="J508" s="31">
        <v>0</v>
      </c>
      <c r="K508" s="67">
        <v>0</v>
      </c>
      <c r="L508" s="31">
        <v>0</v>
      </c>
      <c r="M508" s="38">
        <v>924.2</v>
      </c>
      <c r="N508" s="38">
        <v>3054817.15</v>
      </c>
      <c r="O508" s="31">
        <v>0</v>
      </c>
      <c r="P508" s="31">
        <v>0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8">
        <v>16607.34</v>
      </c>
      <c r="AD508" s="31">
        <v>0</v>
      </c>
      <c r="AE508" s="31">
        <v>0</v>
      </c>
      <c r="AF508" s="33" t="s">
        <v>268</v>
      </c>
      <c r="AG508" s="33">
        <v>2020</v>
      </c>
      <c r="AH508" s="34">
        <v>2020</v>
      </c>
      <c r="BZ508" s="64"/>
      <c r="CD508" s="20">
        <f t="shared" si="93"/>
        <v>949</v>
      </c>
    </row>
    <row r="509" spans="1:83" ht="61.5" x14ac:dyDescent="0.85">
      <c r="B509" s="24" t="s">
        <v>881</v>
      </c>
      <c r="C509" s="24"/>
      <c r="D509" s="199">
        <f t="shared" ref="D509:AE509" si="101">D510</f>
        <v>2846268.34</v>
      </c>
      <c r="E509" s="31">
        <f t="shared" si="101"/>
        <v>0</v>
      </c>
      <c r="F509" s="31">
        <f t="shared" si="101"/>
        <v>0</v>
      </c>
      <c r="G509" s="31">
        <f t="shared" si="101"/>
        <v>0</v>
      </c>
      <c r="H509" s="31">
        <f t="shared" si="101"/>
        <v>0</v>
      </c>
      <c r="I509" s="31">
        <f t="shared" si="101"/>
        <v>0</v>
      </c>
      <c r="J509" s="31">
        <f t="shared" si="101"/>
        <v>0</v>
      </c>
      <c r="K509" s="67">
        <f t="shared" si="101"/>
        <v>0</v>
      </c>
      <c r="L509" s="31">
        <f t="shared" si="101"/>
        <v>0</v>
      </c>
      <c r="M509" s="31">
        <f t="shared" si="101"/>
        <v>613.20000000000005</v>
      </c>
      <c r="N509" s="31">
        <f t="shared" si="101"/>
        <v>2768847</v>
      </c>
      <c r="O509" s="31">
        <f t="shared" si="101"/>
        <v>0</v>
      </c>
      <c r="P509" s="31">
        <f t="shared" si="101"/>
        <v>0</v>
      </c>
      <c r="Q509" s="31">
        <f t="shared" si="101"/>
        <v>0</v>
      </c>
      <c r="R509" s="31">
        <f t="shared" si="101"/>
        <v>0</v>
      </c>
      <c r="S509" s="31">
        <f t="shared" si="101"/>
        <v>0</v>
      </c>
      <c r="T509" s="31">
        <f t="shared" si="101"/>
        <v>0</v>
      </c>
      <c r="U509" s="31">
        <f t="shared" si="101"/>
        <v>0</v>
      </c>
      <c r="V509" s="31">
        <f t="shared" si="101"/>
        <v>0</v>
      </c>
      <c r="W509" s="31">
        <f t="shared" si="101"/>
        <v>0</v>
      </c>
      <c r="X509" s="31">
        <f t="shared" si="101"/>
        <v>0</v>
      </c>
      <c r="Y509" s="31">
        <f t="shared" si="101"/>
        <v>0</v>
      </c>
      <c r="Z509" s="31">
        <f t="shared" si="101"/>
        <v>0</v>
      </c>
      <c r="AA509" s="31">
        <f t="shared" si="101"/>
        <v>0</v>
      </c>
      <c r="AB509" s="31">
        <f t="shared" si="101"/>
        <v>0</v>
      </c>
      <c r="AC509" s="31">
        <f t="shared" si="101"/>
        <v>0</v>
      </c>
      <c r="AD509" s="31">
        <f t="shared" si="101"/>
        <v>77421.34</v>
      </c>
      <c r="AE509" s="31">
        <f t="shared" si="101"/>
        <v>0</v>
      </c>
      <c r="AF509" s="65" t="s">
        <v>751</v>
      </c>
      <c r="AG509" s="65" t="s">
        <v>751</v>
      </c>
      <c r="AH509" s="79" t="s">
        <v>751</v>
      </c>
      <c r="AT509" s="20" t="e">
        <f t="shared" ref="AT509:AT515" si="102">VLOOKUP(C509,AW:AX,2,FALSE)</f>
        <v>#N/A</v>
      </c>
      <c r="BZ509" s="64">
        <v>3314283.2199999997</v>
      </c>
      <c r="CB509" s="64">
        <f>BZ509-D509</f>
        <v>468014.87999999989</v>
      </c>
      <c r="CD509" s="20" t="e">
        <f t="shared" si="93"/>
        <v>#N/A</v>
      </c>
    </row>
    <row r="510" spans="1:83" ht="61.5" x14ac:dyDescent="0.85">
      <c r="A510" s="20">
        <v>1</v>
      </c>
      <c r="B510" s="60">
        <f>SUBTOTAL(103,$A$22:A510)</f>
        <v>435</v>
      </c>
      <c r="C510" s="24" t="s">
        <v>91</v>
      </c>
      <c r="D510" s="31">
        <f>E510+F510+G510+H510+I510+J510+L510+N510+P510+R510+T510+U510+V510+W510+X510+Y510+Z510+AA510+AB510+AC510+AD510+AE510</f>
        <v>2846268.34</v>
      </c>
      <c r="E510" s="31">
        <v>0</v>
      </c>
      <c r="F510" s="31">
        <v>0</v>
      </c>
      <c r="G510" s="31">
        <v>0</v>
      </c>
      <c r="H510" s="31">
        <v>0</v>
      </c>
      <c r="I510" s="31">
        <v>0</v>
      </c>
      <c r="J510" s="31">
        <v>0</v>
      </c>
      <c r="K510" s="67">
        <v>0</v>
      </c>
      <c r="L510" s="31">
        <v>0</v>
      </c>
      <c r="M510" s="38">
        <v>613.20000000000005</v>
      </c>
      <c r="N510" s="38">
        <v>2768847</v>
      </c>
      <c r="O510" s="31">
        <v>0</v>
      </c>
      <c r="P510" s="31">
        <v>0</v>
      </c>
      <c r="Q510" s="31">
        <v>0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8">
        <v>77421.34</v>
      </c>
      <c r="AE510" s="31">
        <v>0</v>
      </c>
      <c r="AF510" s="33">
        <v>2020</v>
      </c>
      <c r="AG510" s="33">
        <v>2020</v>
      </c>
      <c r="AH510" s="34" t="s">
        <v>268</v>
      </c>
      <c r="AT510" s="20" t="e">
        <f t="shared" si="102"/>
        <v>#N/A</v>
      </c>
      <c r="BZ510" s="64"/>
      <c r="CD510" s="20">
        <f t="shared" ref="CD510:CD541" si="103">VLOOKUP(C510,CE:CF,2,FALSE)</f>
        <v>613.20000000000005</v>
      </c>
    </row>
    <row r="511" spans="1:83" ht="61.5" x14ac:dyDescent="0.85">
      <c r="B511" s="24" t="s">
        <v>855</v>
      </c>
      <c r="C511" s="24"/>
      <c r="D511" s="199">
        <f>SUM(D512:D513)</f>
        <v>2794020.73</v>
      </c>
      <c r="E511" s="31">
        <f t="shared" ref="E511:AE511" si="104">SUM(E512:E513)</f>
        <v>0</v>
      </c>
      <c r="F511" s="31">
        <f t="shared" si="104"/>
        <v>0</v>
      </c>
      <c r="G511" s="31">
        <f t="shared" si="104"/>
        <v>0</v>
      </c>
      <c r="H511" s="31">
        <f t="shared" si="104"/>
        <v>0</v>
      </c>
      <c r="I511" s="31">
        <f t="shared" si="104"/>
        <v>0</v>
      </c>
      <c r="J511" s="31">
        <f t="shared" si="104"/>
        <v>0</v>
      </c>
      <c r="K511" s="67">
        <f t="shared" si="104"/>
        <v>0</v>
      </c>
      <c r="L511" s="31">
        <f t="shared" si="104"/>
        <v>0</v>
      </c>
      <c r="M511" s="31">
        <f t="shared" si="104"/>
        <v>609.28</v>
      </c>
      <c r="N511" s="31">
        <f t="shared" si="104"/>
        <v>2626425</v>
      </c>
      <c r="O511" s="31">
        <f t="shared" si="104"/>
        <v>0</v>
      </c>
      <c r="P511" s="31">
        <f t="shared" si="104"/>
        <v>0</v>
      </c>
      <c r="Q511" s="31">
        <f t="shared" si="104"/>
        <v>0</v>
      </c>
      <c r="R511" s="31">
        <f t="shared" si="104"/>
        <v>0</v>
      </c>
      <c r="S511" s="31">
        <f t="shared" si="104"/>
        <v>0</v>
      </c>
      <c r="T511" s="31">
        <f t="shared" si="104"/>
        <v>0</v>
      </c>
      <c r="U511" s="31">
        <f t="shared" si="104"/>
        <v>0</v>
      </c>
      <c r="V511" s="31">
        <f t="shared" si="104"/>
        <v>0</v>
      </c>
      <c r="W511" s="31">
        <f t="shared" si="104"/>
        <v>0</v>
      </c>
      <c r="X511" s="31">
        <f t="shared" si="104"/>
        <v>0</v>
      </c>
      <c r="Y511" s="31">
        <f t="shared" si="104"/>
        <v>0</v>
      </c>
      <c r="Z511" s="31">
        <f t="shared" si="104"/>
        <v>0</v>
      </c>
      <c r="AA511" s="31">
        <f t="shared" si="104"/>
        <v>0</v>
      </c>
      <c r="AB511" s="31">
        <f t="shared" si="104"/>
        <v>0</v>
      </c>
      <c r="AC511" s="31">
        <f t="shared" si="104"/>
        <v>15246.4</v>
      </c>
      <c r="AD511" s="31">
        <f t="shared" si="104"/>
        <v>152349.33000000002</v>
      </c>
      <c r="AE511" s="31">
        <f t="shared" si="104"/>
        <v>0</v>
      </c>
      <c r="AF511" s="65" t="s">
        <v>751</v>
      </c>
      <c r="AG511" s="65" t="s">
        <v>751</v>
      </c>
      <c r="AH511" s="79" t="s">
        <v>751</v>
      </c>
      <c r="AT511" s="20" t="e">
        <f t="shared" si="102"/>
        <v>#N/A</v>
      </c>
      <c r="BZ511" s="64">
        <v>3133080</v>
      </c>
      <c r="CB511" s="64">
        <f>BZ511-D511</f>
        <v>339059.27</v>
      </c>
      <c r="CD511" s="20" t="e">
        <f t="shared" si="103"/>
        <v>#N/A</v>
      </c>
    </row>
    <row r="512" spans="1:83" ht="61.5" x14ac:dyDescent="0.85">
      <c r="A512" s="20">
        <v>1</v>
      </c>
      <c r="B512" s="60">
        <f>SUBTOTAL(103,$A$22:A512)</f>
        <v>436</v>
      </c>
      <c r="C512" s="24" t="s">
        <v>92</v>
      </c>
      <c r="D512" s="31">
        <f>E512+F512+G512+H512+I512+J512+L512+N512+P512+R512+T512+U512+V512+W512+X512+Y512+Z512+AA512+AB512+AC512+AD512+AE512</f>
        <v>2718963.56</v>
      </c>
      <c r="E512" s="31">
        <v>0</v>
      </c>
      <c r="F512" s="31">
        <v>0</v>
      </c>
      <c r="G512" s="31">
        <v>0</v>
      </c>
      <c r="H512" s="31">
        <v>0</v>
      </c>
      <c r="I512" s="31">
        <v>0</v>
      </c>
      <c r="J512" s="31">
        <v>0</v>
      </c>
      <c r="K512" s="67">
        <v>0</v>
      </c>
      <c r="L512" s="31">
        <v>0</v>
      </c>
      <c r="M512" s="38">
        <v>609.28</v>
      </c>
      <c r="N512" s="38">
        <v>2626425</v>
      </c>
      <c r="O512" s="31">
        <v>0</v>
      </c>
      <c r="P512" s="31">
        <v>0</v>
      </c>
      <c r="Q512" s="31">
        <v>0</v>
      </c>
      <c r="R512" s="31">
        <v>0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8">
        <v>15246.4</v>
      </c>
      <c r="AD512" s="38">
        <v>77292.160000000003</v>
      </c>
      <c r="AE512" s="31">
        <v>0</v>
      </c>
      <c r="AF512" s="33">
        <v>2020</v>
      </c>
      <c r="AG512" s="33">
        <v>2020</v>
      </c>
      <c r="AH512" s="34">
        <v>2020</v>
      </c>
      <c r="AT512" s="20" t="e">
        <f t="shared" si="102"/>
        <v>#N/A</v>
      </c>
      <c r="BZ512" s="64"/>
      <c r="CD512" s="20" t="e">
        <f t="shared" si="103"/>
        <v>#N/A</v>
      </c>
    </row>
    <row r="513" spans="1:82" ht="61.5" x14ac:dyDescent="0.85">
      <c r="A513" s="20">
        <v>1</v>
      </c>
      <c r="B513" s="60">
        <f>SUBTOTAL(103,$A$22:A513)</f>
        <v>437</v>
      </c>
      <c r="C513" s="24" t="s">
        <v>97</v>
      </c>
      <c r="D513" s="31">
        <f>E513+F513+G513+H513+I513+J513+L513+N513+P513+R513+T513+U513+V513+W513+X513+Y513+Z513+AA513+AB513+AC513+AD513+AE513</f>
        <v>75057.17</v>
      </c>
      <c r="E513" s="31">
        <v>0</v>
      </c>
      <c r="F513" s="31">
        <v>0</v>
      </c>
      <c r="G513" s="31">
        <v>0</v>
      </c>
      <c r="H513" s="31">
        <v>0</v>
      </c>
      <c r="I513" s="31">
        <v>0</v>
      </c>
      <c r="J513" s="31">
        <v>0</v>
      </c>
      <c r="K513" s="67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0</v>
      </c>
      <c r="R513" s="31">
        <v>0</v>
      </c>
      <c r="S513" s="31">
        <v>0</v>
      </c>
      <c r="T513" s="31">
        <v>0</v>
      </c>
      <c r="U513" s="31">
        <v>0</v>
      </c>
      <c r="V513" s="31">
        <v>0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f>ROUND(N513*1.5%,2)</f>
        <v>0</v>
      </c>
      <c r="AD513" s="31">
        <v>75057.17</v>
      </c>
      <c r="AE513" s="31">
        <v>0</v>
      </c>
      <c r="AF513" s="33">
        <v>2020</v>
      </c>
      <c r="AG513" s="34" t="s">
        <v>268</v>
      </c>
      <c r="AH513" s="34" t="s">
        <v>268</v>
      </c>
      <c r="AT513" s="20" t="e">
        <f t="shared" si="102"/>
        <v>#N/A</v>
      </c>
      <c r="BZ513" s="64"/>
      <c r="CD513" s="20" t="e">
        <f t="shared" si="103"/>
        <v>#N/A</v>
      </c>
    </row>
    <row r="514" spans="1:82" ht="61.5" x14ac:dyDescent="0.85">
      <c r="B514" s="24" t="s">
        <v>856</v>
      </c>
      <c r="C514" s="24"/>
      <c r="D514" s="199">
        <f>D515+D516</f>
        <v>4868704.13</v>
      </c>
      <c r="E514" s="31">
        <f t="shared" ref="E514:AE514" si="105">E515+E516</f>
        <v>0</v>
      </c>
      <c r="F514" s="31">
        <f t="shared" si="105"/>
        <v>0</v>
      </c>
      <c r="G514" s="31">
        <f t="shared" si="105"/>
        <v>0</v>
      </c>
      <c r="H514" s="31">
        <f t="shared" si="105"/>
        <v>0</v>
      </c>
      <c r="I514" s="31">
        <f t="shared" si="105"/>
        <v>0</v>
      </c>
      <c r="J514" s="31">
        <f t="shared" si="105"/>
        <v>0</v>
      </c>
      <c r="K514" s="67">
        <f t="shared" si="105"/>
        <v>0</v>
      </c>
      <c r="L514" s="31">
        <f t="shared" si="105"/>
        <v>0</v>
      </c>
      <c r="M514" s="31">
        <f t="shared" si="105"/>
        <v>1085.8</v>
      </c>
      <c r="N514" s="31">
        <f t="shared" si="105"/>
        <v>4643006</v>
      </c>
      <c r="O514" s="31">
        <f t="shared" si="105"/>
        <v>0</v>
      </c>
      <c r="P514" s="31">
        <f t="shared" si="105"/>
        <v>0</v>
      </c>
      <c r="Q514" s="31">
        <f t="shared" si="105"/>
        <v>0</v>
      </c>
      <c r="R514" s="31">
        <f t="shared" si="105"/>
        <v>0</v>
      </c>
      <c r="S514" s="31">
        <f t="shared" si="105"/>
        <v>0</v>
      </c>
      <c r="T514" s="31">
        <f t="shared" si="105"/>
        <v>0</v>
      </c>
      <c r="U514" s="31">
        <f t="shared" si="105"/>
        <v>0</v>
      </c>
      <c r="V514" s="31">
        <f t="shared" si="105"/>
        <v>0</v>
      </c>
      <c r="W514" s="31">
        <f t="shared" si="105"/>
        <v>0</v>
      </c>
      <c r="X514" s="31">
        <f t="shared" si="105"/>
        <v>0</v>
      </c>
      <c r="Y514" s="31">
        <f t="shared" si="105"/>
        <v>0</v>
      </c>
      <c r="Z514" s="31">
        <f t="shared" si="105"/>
        <v>0</v>
      </c>
      <c r="AA514" s="31">
        <f t="shared" si="105"/>
        <v>0</v>
      </c>
      <c r="AB514" s="31">
        <f t="shared" si="105"/>
        <v>0</v>
      </c>
      <c r="AC514" s="31">
        <f t="shared" si="105"/>
        <v>29947.39</v>
      </c>
      <c r="AD514" s="31">
        <f t="shared" si="105"/>
        <v>195750.74</v>
      </c>
      <c r="AE514" s="31">
        <f t="shared" si="105"/>
        <v>0</v>
      </c>
      <c r="AF514" s="65" t="s">
        <v>751</v>
      </c>
      <c r="AG514" s="65" t="s">
        <v>751</v>
      </c>
      <c r="AH514" s="79" t="s">
        <v>751</v>
      </c>
      <c r="AT514" s="20" t="e">
        <f t="shared" si="102"/>
        <v>#N/A</v>
      </c>
      <c r="BZ514" s="64">
        <v>5968517.3999999994</v>
      </c>
      <c r="CB514" s="64">
        <f>BZ514-D514</f>
        <v>1099813.2699999996</v>
      </c>
      <c r="CD514" s="20" t="e">
        <f t="shared" si="103"/>
        <v>#N/A</v>
      </c>
    </row>
    <row r="515" spans="1:82" ht="61.5" x14ac:dyDescent="0.85">
      <c r="A515" s="20">
        <v>1</v>
      </c>
      <c r="B515" s="60">
        <f>SUBTOTAL(103,$A$22:A515)</f>
        <v>438</v>
      </c>
      <c r="C515" s="24" t="s">
        <v>93</v>
      </c>
      <c r="D515" s="31">
        <f>E515+F515+G515+H515+I515+J515+L515+N515+P515+R515+T515+U515+V515+W515+X515+Y515+Z515+AA515+AB515+AC515+AD515+AE515</f>
        <v>4831403.93</v>
      </c>
      <c r="E515" s="31">
        <v>0</v>
      </c>
      <c r="F515" s="31">
        <v>0</v>
      </c>
      <c r="G515" s="31">
        <v>0</v>
      </c>
      <c r="H515" s="31">
        <v>0</v>
      </c>
      <c r="I515" s="31">
        <v>0</v>
      </c>
      <c r="J515" s="31">
        <v>0</v>
      </c>
      <c r="K515" s="67">
        <v>0</v>
      </c>
      <c r="L515" s="31">
        <v>0</v>
      </c>
      <c r="M515" s="38">
        <v>1085.8</v>
      </c>
      <c r="N515" s="38">
        <v>4643006</v>
      </c>
      <c r="O515" s="31">
        <v>0</v>
      </c>
      <c r="P515" s="31">
        <v>0</v>
      </c>
      <c r="Q515" s="31">
        <v>0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8">
        <v>29947.39</v>
      </c>
      <c r="AD515" s="38">
        <v>158450.54</v>
      </c>
      <c r="AE515" s="31">
        <v>0</v>
      </c>
      <c r="AF515" s="33">
        <v>2020</v>
      </c>
      <c r="AG515" s="33">
        <v>2020</v>
      </c>
      <c r="AH515" s="34">
        <v>2020</v>
      </c>
      <c r="AT515" s="20" t="e">
        <f t="shared" si="102"/>
        <v>#N/A</v>
      </c>
      <c r="BZ515" s="64"/>
      <c r="CD515" s="20" t="e">
        <f t="shared" si="103"/>
        <v>#N/A</v>
      </c>
    </row>
    <row r="516" spans="1:82" ht="61.5" x14ac:dyDescent="0.85">
      <c r="A516" s="20">
        <v>1</v>
      </c>
      <c r="B516" s="60">
        <f>SUBTOTAL(103,$A$22:A516)</f>
        <v>439</v>
      </c>
      <c r="C516" s="24" t="s">
        <v>1607</v>
      </c>
      <c r="D516" s="31">
        <f>E516+F516+G516+H516+I516+J516+L516+N516+P516+R516+T516+U516+V516+W516+X516+Y516+Z516+AA516+AB516+AC516+AD516+AE516</f>
        <v>37300.199999999997</v>
      </c>
      <c r="E516" s="31">
        <v>0</v>
      </c>
      <c r="F516" s="31">
        <v>0</v>
      </c>
      <c r="G516" s="31">
        <v>0</v>
      </c>
      <c r="H516" s="31">
        <v>0</v>
      </c>
      <c r="I516" s="31">
        <v>0</v>
      </c>
      <c r="J516" s="31">
        <v>0</v>
      </c>
      <c r="K516" s="67">
        <v>0</v>
      </c>
      <c r="L516" s="31">
        <v>0</v>
      </c>
      <c r="M516" s="31">
        <v>0</v>
      </c>
      <c r="N516" s="31">
        <v>0</v>
      </c>
      <c r="O516" s="31">
        <v>0</v>
      </c>
      <c r="P516" s="31">
        <v>0</v>
      </c>
      <c r="Q516" s="31">
        <v>0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f>ROUND(H516*1.5%,2)</f>
        <v>0</v>
      </c>
      <c r="AD516" s="38">
        <v>37300.199999999997</v>
      </c>
      <c r="AE516" s="31">
        <v>0</v>
      </c>
      <c r="AF516" s="33">
        <v>2020</v>
      </c>
      <c r="AG516" s="34" t="s">
        <v>268</v>
      </c>
      <c r="AH516" s="34" t="s">
        <v>268</v>
      </c>
      <c r="BZ516" s="64"/>
      <c r="CD516" s="20" t="e">
        <f t="shared" si="103"/>
        <v>#N/A</v>
      </c>
    </row>
    <row r="517" spans="1:82" ht="61.5" x14ac:dyDescent="0.85">
      <c r="B517" s="24" t="s">
        <v>857</v>
      </c>
      <c r="C517" s="24"/>
      <c r="D517" s="199">
        <f t="shared" ref="D517:AE517" si="106">D518</f>
        <v>2570556.2200000002</v>
      </c>
      <c r="E517" s="31">
        <f t="shared" si="106"/>
        <v>0</v>
      </c>
      <c r="F517" s="31">
        <f t="shared" si="106"/>
        <v>0</v>
      </c>
      <c r="G517" s="31">
        <f t="shared" si="106"/>
        <v>0</v>
      </c>
      <c r="H517" s="31">
        <f t="shared" si="106"/>
        <v>0</v>
      </c>
      <c r="I517" s="31">
        <f t="shared" si="106"/>
        <v>0</v>
      </c>
      <c r="J517" s="31">
        <f t="shared" si="106"/>
        <v>0</v>
      </c>
      <c r="K517" s="67">
        <f t="shared" si="106"/>
        <v>0</v>
      </c>
      <c r="L517" s="31">
        <f t="shared" si="106"/>
        <v>0</v>
      </c>
      <c r="M517" s="31">
        <f t="shared" si="106"/>
        <v>694.7</v>
      </c>
      <c r="N517" s="31">
        <f t="shared" si="106"/>
        <v>2481018</v>
      </c>
      <c r="O517" s="31">
        <f t="shared" si="106"/>
        <v>0</v>
      </c>
      <c r="P517" s="31">
        <f t="shared" si="106"/>
        <v>0</v>
      </c>
      <c r="Q517" s="31">
        <f t="shared" si="106"/>
        <v>0</v>
      </c>
      <c r="R517" s="31">
        <f t="shared" si="106"/>
        <v>0</v>
      </c>
      <c r="S517" s="31">
        <f t="shared" si="106"/>
        <v>0</v>
      </c>
      <c r="T517" s="31">
        <f t="shared" si="106"/>
        <v>0</v>
      </c>
      <c r="U517" s="31">
        <f t="shared" si="106"/>
        <v>0</v>
      </c>
      <c r="V517" s="31">
        <f t="shared" si="106"/>
        <v>0</v>
      </c>
      <c r="W517" s="31">
        <f t="shared" si="106"/>
        <v>0</v>
      </c>
      <c r="X517" s="31">
        <f t="shared" si="106"/>
        <v>0</v>
      </c>
      <c r="Y517" s="31">
        <f t="shared" si="106"/>
        <v>0</v>
      </c>
      <c r="Z517" s="31">
        <f t="shared" si="106"/>
        <v>0</v>
      </c>
      <c r="AA517" s="31">
        <f t="shared" si="106"/>
        <v>0</v>
      </c>
      <c r="AB517" s="31">
        <f t="shared" si="106"/>
        <v>0</v>
      </c>
      <c r="AC517" s="31">
        <f t="shared" si="106"/>
        <v>9601.5400000000009</v>
      </c>
      <c r="AD517" s="31">
        <f t="shared" si="106"/>
        <v>79936.679999999993</v>
      </c>
      <c r="AE517" s="31">
        <f t="shared" si="106"/>
        <v>0</v>
      </c>
      <c r="AF517" s="65" t="s">
        <v>751</v>
      </c>
      <c r="AG517" s="65" t="s">
        <v>751</v>
      </c>
      <c r="AH517" s="79" t="s">
        <v>751</v>
      </c>
      <c r="AT517" s="20" t="e">
        <f>VLOOKUP(C517,AW:AX,2,FALSE)</f>
        <v>#N/A</v>
      </c>
      <c r="BZ517" s="64">
        <v>3253210.4899999998</v>
      </c>
      <c r="CB517" s="64">
        <f>BZ517-D517</f>
        <v>682654.26999999955</v>
      </c>
      <c r="CD517" s="20" t="e">
        <f t="shared" si="103"/>
        <v>#N/A</v>
      </c>
    </row>
    <row r="518" spans="1:82" ht="61.5" x14ac:dyDescent="0.85">
      <c r="A518" s="20">
        <v>1</v>
      </c>
      <c r="B518" s="60">
        <f>SUBTOTAL(103,$A$22:A518)</f>
        <v>440</v>
      </c>
      <c r="C518" s="24" t="s">
        <v>94</v>
      </c>
      <c r="D518" s="31">
        <f>E518+F518+G518+H518+I518+J518+L518+N518+P518+R518+T518+U518+V518+W518+X518+Y518+Z518+AA518+AB518+AC518+AD518+AE518</f>
        <v>2570556.2200000002</v>
      </c>
      <c r="E518" s="31">
        <v>0</v>
      </c>
      <c r="F518" s="31">
        <v>0</v>
      </c>
      <c r="G518" s="31">
        <v>0</v>
      </c>
      <c r="H518" s="31">
        <v>0</v>
      </c>
      <c r="I518" s="31">
        <v>0</v>
      </c>
      <c r="J518" s="31">
        <v>0</v>
      </c>
      <c r="K518" s="67">
        <v>0</v>
      </c>
      <c r="L518" s="31">
        <v>0</v>
      </c>
      <c r="M518" s="38">
        <v>694.7</v>
      </c>
      <c r="N518" s="38">
        <v>2481018</v>
      </c>
      <c r="O518" s="31">
        <v>0</v>
      </c>
      <c r="P518" s="31">
        <v>0</v>
      </c>
      <c r="Q518" s="31">
        <v>0</v>
      </c>
      <c r="R518" s="31">
        <v>0</v>
      </c>
      <c r="S518" s="31">
        <v>0</v>
      </c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8">
        <v>9601.5400000000009</v>
      </c>
      <c r="AD518" s="38">
        <v>79936.679999999993</v>
      </c>
      <c r="AE518" s="31">
        <v>0</v>
      </c>
      <c r="AF518" s="33">
        <v>2020</v>
      </c>
      <c r="AG518" s="33">
        <v>2020</v>
      </c>
      <c r="AH518" s="34">
        <v>2020</v>
      </c>
      <c r="AT518" s="20" t="e">
        <f>VLOOKUP(C518,AW:AX,2,FALSE)</f>
        <v>#N/A</v>
      </c>
      <c r="BZ518" s="64"/>
      <c r="CD518" s="20" t="e">
        <f t="shared" si="103"/>
        <v>#N/A</v>
      </c>
    </row>
    <row r="519" spans="1:82" ht="61.5" x14ac:dyDescent="0.85">
      <c r="B519" s="24" t="s">
        <v>1264</v>
      </c>
      <c r="C519" s="24"/>
      <c r="D519" s="199">
        <f>SUM(D520:D521)</f>
        <v>1181101.69</v>
      </c>
      <c r="E519" s="31">
        <f t="shared" ref="E519:AE519" si="107">SUM(E520:E521)</f>
        <v>0</v>
      </c>
      <c r="F519" s="31">
        <f t="shared" si="107"/>
        <v>0</v>
      </c>
      <c r="G519" s="31">
        <f t="shared" si="107"/>
        <v>679682.53</v>
      </c>
      <c r="H519" s="31">
        <f t="shared" si="107"/>
        <v>74978.2</v>
      </c>
      <c r="I519" s="31">
        <f t="shared" si="107"/>
        <v>338634.62</v>
      </c>
      <c r="J519" s="31">
        <f t="shared" si="107"/>
        <v>0</v>
      </c>
      <c r="K519" s="67">
        <f t="shared" si="107"/>
        <v>0</v>
      </c>
      <c r="L519" s="31">
        <f t="shared" si="107"/>
        <v>0</v>
      </c>
      <c r="M519" s="31">
        <f t="shared" si="107"/>
        <v>0</v>
      </c>
      <c r="N519" s="31">
        <f t="shared" si="107"/>
        <v>0</v>
      </c>
      <c r="O519" s="31">
        <f t="shared" si="107"/>
        <v>0</v>
      </c>
      <c r="P519" s="31">
        <f t="shared" si="107"/>
        <v>0</v>
      </c>
      <c r="Q519" s="31">
        <f t="shared" si="107"/>
        <v>0</v>
      </c>
      <c r="R519" s="31">
        <f t="shared" si="107"/>
        <v>0</v>
      </c>
      <c r="S519" s="31">
        <f t="shared" si="107"/>
        <v>0</v>
      </c>
      <c r="T519" s="31">
        <f t="shared" si="107"/>
        <v>0</v>
      </c>
      <c r="U519" s="31">
        <f t="shared" si="107"/>
        <v>0</v>
      </c>
      <c r="V519" s="31">
        <f t="shared" si="107"/>
        <v>0</v>
      </c>
      <c r="W519" s="31">
        <f t="shared" si="107"/>
        <v>0</v>
      </c>
      <c r="X519" s="31">
        <f t="shared" si="107"/>
        <v>0</v>
      </c>
      <c r="Y519" s="31">
        <f t="shared" si="107"/>
        <v>0</v>
      </c>
      <c r="Z519" s="31">
        <f t="shared" si="107"/>
        <v>0</v>
      </c>
      <c r="AA519" s="31">
        <f t="shared" si="107"/>
        <v>0</v>
      </c>
      <c r="AB519" s="31">
        <f t="shared" si="107"/>
        <v>0</v>
      </c>
      <c r="AC519" s="31">
        <f t="shared" si="107"/>
        <v>10823.630000000001</v>
      </c>
      <c r="AD519" s="31">
        <f t="shared" si="107"/>
        <v>76982.710000000006</v>
      </c>
      <c r="AE519" s="31">
        <f t="shared" si="107"/>
        <v>0</v>
      </c>
      <c r="AF519" s="65" t="s">
        <v>751</v>
      </c>
      <c r="AG519" s="65" t="s">
        <v>751</v>
      </c>
      <c r="AH519" s="79" t="s">
        <v>751</v>
      </c>
      <c r="BZ519" s="64">
        <v>2309984.35</v>
      </c>
      <c r="CB519" s="64">
        <f>BZ519-D519</f>
        <v>1128882.6600000001</v>
      </c>
      <c r="CD519" s="20" t="e">
        <f t="shared" si="103"/>
        <v>#N/A</v>
      </c>
    </row>
    <row r="520" spans="1:82" ht="61.5" x14ac:dyDescent="0.85">
      <c r="A520" s="20">
        <v>1</v>
      </c>
      <c r="B520" s="60">
        <f>SUBTOTAL(103,$A$22:A520)</f>
        <v>441</v>
      </c>
      <c r="C520" s="24" t="s">
        <v>1265</v>
      </c>
      <c r="D520" s="31">
        <f>E520+F520+G520+H520+I520+J520+L520+N520+P520+R520+T520+U520+V520+W520+X520+Y520+Z520+AA520+AB520+AC520+AD520+AE520</f>
        <v>1104118.98</v>
      </c>
      <c r="E520" s="31">
        <v>0</v>
      </c>
      <c r="F520" s="31">
        <v>0</v>
      </c>
      <c r="G520" s="38">
        <v>679682.53</v>
      </c>
      <c r="H520" s="144">
        <v>74978.2</v>
      </c>
      <c r="I520" s="38">
        <v>338634.62</v>
      </c>
      <c r="J520" s="31">
        <v>0</v>
      </c>
      <c r="K520" s="67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f>ROUND((E520+F520+G520+H520+I520+J520)*0.99%,2)+0.01</f>
        <v>10823.630000000001</v>
      </c>
      <c r="AD520" s="31">
        <v>0</v>
      </c>
      <c r="AE520" s="31">
        <v>0</v>
      </c>
      <c r="AF520" s="33" t="s">
        <v>268</v>
      </c>
      <c r="AG520" s="33">
        <v>2020</v>
      </c>
      <c r="AH520" s="34">
        <v>2020</v>
      </c>
      <c r="BZ520" s="64"/>
      <c r="CD520" s="20" t="e">
        <f t="shared" si="103"/>
        <v>#N/A</v>
      </c>
    </row>
    <row r="521" spans="1:82" ht="61.5" x14ac:dyDescent="0.85">
      <c r="A521" s="20">
        <v>1</v>
      </c>
      <c r="B521" s="60">
        <f>SUBTOTAL(103,$A$22:A521)</f>
        <v>442</v>
      </c>
      <c r="C521" s="24" t="s">
        <v>98</v>
      </c>
      <c r="D521" s="31">
        <f>E521+F521+G521+H521+I521+J521+L521+N521+P521+R521+T521+U521+V521+W521+X521+Y521+Z521+AA521+AB521+AC521+AD521+AE521</f>
        <v>76982.710000000006</v>
      </c>
      <c r="E521" s="31">
        <v>0</v>
      </c>
      <c r="F521" s="31">
        <v>0</v>
      </c>
      <c r="G521" s="31">
        <v>0</v>
      </c>
      <c r="H521" s="31">
        <v>0</v>
      </c>
      <c r="I521" s="31">
        <v>0</v>
      </c>
      <c r="J521" s="31">
        <v>0</v>
      </c>
      <c r="K521" s="67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f>ROUND(N521*1.5%,2)</f>
        <v>0</v>
      </c>
      <c r="AD521" s="31">
        <v>76982.710000000006</v>
      </c>
      <c r="AE521" s="31">
        <v>0</v>
      </c>
      <c r="AF521" s="33">
        <v>2020</v>
      </c>
      <c r="AG521" s="33" t="s">
        <v>268</v>
      </c>
      <c r="AH521" s="33" t="s">
        <v>268</v>
      </c>
      <c r="AT521" s="20" t="e">
        <f>VLOOKUP(C521,AW:AX,2,FALSE)</f>
        <v>#N/A</v>
      </c>
      <c r="BZ521" s="64"/>
      <c r="CD521" s="20" t="e">
        <f t="shared" si="103"/>
        <v>#N/A</v>
      </c>
    </row>
    <row r="522" spans="1:82" ht="61.5" x14ac:dyDescent="0.85">
      <c r="B522" s="24" t="s">
        <v>858</v>
      </c>
      <c r="C522" s="198"/>
      <c r="D522" s="199">
        <f t="shared" ref="D522:AE522" si="108">SUM(D523:D527)</f>
        <v>5058199.54</v>
      </c>
      <c r="E522" s="31">
        <f t="shared" si="108"/>
        <v>0</v>
      </c>
      <c r="F522" s="31">
        <f t="shared" si="108"/>
        <v>0</v>
      </c>
      <c r="G522" s="31">
        <f t="shared" si="108"/>
        <v>0</v>
      </c>
      <c r="H522" s="31">
        <f t="shared" si="108"/>
        <v>0</v>
      </c>
      <c r="I522" s="31">
        <f t="shared" si="108"/>
        <v>633864</v>
      </c>
      <c r="J522" s="31">
        <f t="shared" si="108"/>
        <v>0</v>
      </c>
      <c r="K522" s="67">
        <f t="shared" si="108"/>
        <v>0</v>
      </c>
      <c r="L522" s="31">
        <f t="shared" si="108"/>
        <v>0</v>
      </c>
      <c r="M522" s="31">
        <f t="shared" si="108"/>
        <v>1020.85</v>
      </c>
      <c r="N522" s="31">
        <f t="shared" si="108"/>
        <v>4030135.1500000004</v>
      </c>
      <c r="O522" s="31">
        <f t="shared" si="108"/>
        <v>0</v>
      </c>
      <c r="P522" s="31">
        <f t="shared" si="108"/>
        <v>0</v>
      </c>
      <c r="Q522" s="31">
        <f t="shared" si="108"/>
        <v>0</v>
      </c>
      <c r="R522" s="31">
        <f t="shared" si="108"/>
        <v>0</v>
      </c>
      <c r="S522" s="31">
        <f t="shared" si="108"/>
        <v>0</v>
      </c>
      <c r="T522" s="31">
        <f t="shared" si="108"/>
        <v>0</v>
      </c>
      <c r="U522" s="31">
        <f t="shared" si="108"/>
        <v>0</v>
      </c>
      <c r="V522" s="31">
        <f t="shared" si="108"/>
        <v>0</v>
      </c>
      <c r="W522" s="31">
        <f t="shared" si="108"/>
        <v>0</v>
      </c>
      <c r="X522" s="31">
        <f t="shared" si="108"/>
        <v>0</v>
      </c>
      <c r="Y522" s="31">
        <f t="shared" si="108"/>
        <v>0</v>
      </c>
      <c r="Z522" s="31">
        <f t="shared" si="108"/>
        <v>0</v>
      </c>
      <c r="AA522" s="31">
        <f t="shared" si="108"/>
        <v>0</v>
      </c>
      <c r="AB522" s="31">
        <f t="shared" si="108"/>
        <v>0</v>
      </c>
      <c r="AC522" s="31">
        <f t="shared" si="108"/>
        <v>49784.46</v>
      </c>
      <c r="AD522" s="31">
        <f t="shared" si="108"/>
        <v>104415.93</v>
      </c>
      <c r="AE522" s="31">
        <f t="shared" si="108"/>
        <v>240000</v>
      </c>
      <c r="AF522" s="65" t="s">
        <v>751</v>
      </c>
      <c r="AG522" s="65" t="s">
        <v>751</v>
      </c>
      <c r="AH522" s="79" t="s">
        <v>751</v>
      </c>
      <c r="AT522" s="20" t="e">
        <f>VLOOKUP(C522,AW:AX,2,FALSE)</f>
        <v>#N/A</v>
      </c>
      <c r="BZ522" s="64">
        <v>7354613.0300000003</v>
      </c>
      <c r="CB522" s="64">
        <f>BZ522-D522</f>
        <v>2296413.4900000002</v>
      </c>
      <c r="CD522" s="20" t="e">
        <f t="shared" si="103"/>
        <v>#N/A</v>
      </c>
    </row>
    <row r="523" spans="1:82" ht="61.5" x14ac:dyDescent="0.85">
      <c r="A523" s="20">
        <v>1</v>
      </c>
      <c r="B523" s="60">
        <f>SUBTOTAL(103,$A$22:A523)</f>
        <v>443</v>
      </c>
      <c r="C523" s="24" t="s">
        <v>184</v>
      </c>
      <c r="D523" s="31">
        <f>E523+F523+G523+H523+I523+J523+L523+N523+P523+R523+T523+U523+V523+W523+X523+Y523+Z523+AA523+AB523+AC523+AD523+AE523</f>
        <v>1255071.44</v>
      </c>
      <c r="E523" s="31">
        <v>0</v>
      </c>
      <c r="F523" s="31">
        <v>0</v>
      </c>
      <c r="G523" s="31">
        <v>0</v>
      </c>
      <c r="H523" s="31">
        <v>0</v>
      </c>
      <c r="I523" s="31">
        <v>0</v>
      </c>
      <c r="J523" s="31">
        <v>0</v>
      </c>
      <c r="K523" s="67">
        <v>0</v>
      </c>
      <c r="L523" s="31">
        <v>0</v>
      </c>
      <c r="M523" s="38">
        <v>172.5</v>
      </c>
      <c r="N523" s="38">
        <v>1203625.96</v>
      </c>
      <c r="O523" s="31">
        <v>0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15526.77</v>
      </c>
      <c r="AD523" s="38">
        <v>35918.71</v>
      </c>
      <c r="AE523" s="31">
        <v>0</v>
      </c>
      <c r="AF523" s="33">
        <v>2020</v>
      </c>
      <c r="AG523" s="33">
        <v>2020</v>
      </c>
      <c r="AH523" s="34">
        <v>2020</v>
      </c>
      <c r="AT523" s="20" t="e">
        <f>VLOOKUP(C523,AW:AX,2,FALSE)</f>
        <v>#N/A</v>
      </c>
      <c r="BZ523" s="64"/>
      <c r="CD523" s="20">
        <f t="shared" si="103"/>
        <v>255.2</v>
      </c>
    </row>
    <row r="524" spans="1:82" ht="61.5" x14ac:dyDescent="0.85">
      <c r="A524" s="20">
        <v>1</v>
      </c>
      <c r="B524" s="60">
        <f>SUBTOTAL(103,$A$22:A524)</f>
        <v>444</v>
      </c>
      <c r="C524" s="24" t="s">
        <v>183</v>
      </c>
      <c r="D524" s="31">
        <f>E524+F524+G524+H524+I524+J524+L524+N524+P524+R524+T524+U524+V524+W524+X524+Y524+Z524+AA524+AB524+AC524+AD524+AE524</f>
        <v>68497.22</v>
      </c>
      <c r="E524" s="31">
        <v>0</v>
      </c>
      <c r="F524" s="31">
        <v>0</v>
      </c>
      <c r="G524" s="31">
        <v>0</v>
      </c>
      <c r="H524" s="31">
        <v>0</v>
      </c>
      <c r="I524" s="31">
        <v>0</v>
      </c>
      <c r="J524" s="31">
        <v>0</v>
      </c>
      <c r="K524" s="67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f>ROUND(N524*1.5%,2)</f>
        <v>0</v>
      </c>
      <c r="AD524" s="38">
        <v>68497.22</v>
      </c>
      <c r="AE524" s="31">
        <v>0</v>
      </c>
      <c r="AF524" s="33">
        <v>2020</v>
      </c>
      <c r="AG524" s="33" t="s">
        <v>268</v>
      </c>
      <c r="AH524" s="33" t="s">
        <v>268</v>
      </c>
      <c r="AT524" s="20" t="e">
        <f>VLOOKUP(C524,AW:AX,2,FALSE)</f>
        <v>#N/A</v>
      </c>
      <c r="BZ524" s="64"/>
      <c r="CD524" s="20" t="e">
        <f t="shared" si="103"/>
        <v>#N/A</v>
      </c>
    </row>
    <row r="525" spans="1:82" ht="61.5" x14ac:dyDescent="0.85">
      <c r="A525" s="20">
        <v>1</v>
      </c>
      <c r="B525" s="60">
        <f>SUBTOTAL(103,$A$22:A525)</f>
        <v>445</v>
      </c>
      <c r="C525" s="24" t="s">
        <v>1266</v>
      </c>
      <c r="D525" s="31">
        <f>E525+F525+G525+H525+I525+J525+L525+N525+P525+R525+T525+U525+V525+W525+X525+Y525+Z525+AA525+AB525+AC525+AD525+AE525</f>
        <v>1767372.2100000002</v>
      </c>
      <c r="E525" s="31">
        <v>0</v>
      </c>
      <c r="F525" s="31">
        <v>0</v>
      </c>
      <c r="G525" s="31">
        <v>0</v>
      </c>
      <c r="H525" s="31">
        <v>0</v>
      </c>
      <c r="I525" s="31">
        <v>0</v>
      </c>
      <c r="J525" s="31">
        <v>0</v>
      </c>
      <c r="K525" s="67">
        <v>0</v>
      </c>
      <c r="L525" s="31">
        <v>0</v>
      </c>
      <c r="M525" s="38">
        <v>440.35</v>
      </c>
      <c r="N525" s="38">
        <v>1631223.1</v>
      </c>
      <c r="O525" s="31">
        <v>0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  <c r="AC525" s="38">
        <v>16149.11</v>
      </c>
      <c r="AD525" s="31">
        <v>0</v>
      </c>
      <c r="AE525" s="31">
        <v>120000</v>
      </c>
      <c r="AF525" s="33" t="s">
        <v>268</v>
      </c>
      <c r="AG525" s="33">
        <v>2020</v>
      </c>
      <c r="AH525" s="34">
        <v>2020</v>
      </c>
      <c r="BZ525" s="64"/>
      <c r="CD525" s="20">
        <f t="shared" si="103"/>
        <v>437.4</v>
      </c>
    </row>
    <row r="526" spans="1:82" ht="61.5" x14ac:dyDescent="0.85">
      <c r="A526" s="20">
        <v>1</v>
      </c>
      <c r="B526" s="60">
        <f>SUBTOTAL(103,$A$22:A526)</f>
        <v>446</v>
      </c>
      <c r="C526" s="24" t="s">
        <v>1267</v>
      </c>
      <c r="D526" s="31">
        <f>E526+F526+G526+H526+I526+J526+L526+N526+P526+R526+T526+U526+V526+W526+X526+Y526+Z526+AA526+AB526+AC526+AD526+AE526</f>
        <v>1327119.4200000002</v>
      </c>
      <c r="E526" s="31">
        <v>0</v>
      </c>
      <c r="F526" s="31">
        <v>0</v>
      </c>
      <c r="G526" s="31">
        <v>0</v>
      </c>
      <c r="H526" s="31">
        <v>0</v>
      </c>
      <c r="I526" s="31">
        <v>0</v>
      </c>
      <c r="J526" s="31">
        <v>0</v>
      </c>
      <c r="K526" s="67">
        <v>0</v>
      </c>
      <c r="L526" s="31">
        <v>0</v>
      </c>
      <c r="M526" s="38">
        <v>408</v>
      </c>
      <c r="N526" s="38">
        <v>1195286.0900000001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  <c r="AC526" s="144">
        <v>11833.33</v>
      </c>
      <c r="AD526" s="31">
        <v>0</v>
      </c>
      <c r="AE526" s="31">
        <v>120000</v>
      </c>
      <c r="AF526" s="33" t="s">
        <v>268</v>
      </c>
      <c r="AG526" s="33">
        <v>2020</v>
      </c>
      <c r="AH526" s="34">
        <v>2020</v>
      </c>
      <c r="BZ526" s="64"/>
      <c r="CD526" s="20">
        <f t="shared" si="103"/>
        <v>408</v>
      </c>
    </row>
    <row r="527" spans="1:82" ht="61.5" x14ac:dyDescent="0.85">
      <c r="A527" s="20">
        <v>1</v>
      </c>
      <c r="B527" s="60">
        <f>SUBTOTAL(103,$A$22:A527)</f>
        <v>447</v>
      </c>
      <c r="C527" s="24" t="s">
        <v>1268</v>
      </c>
      <c r="D527" s="31">
        <f>E527+F527+G527+H527+I527+J527+L527+N527+P527+R527+T527+U527+V527+W527+X527+Y527+Z527+AA527+AB527+AC527+AD527+AE527</f>
        <v>640139.25</v>
      </c>
      <c r="E527" s="31">
        <v>0</v>
      </c>
      <c r="F527" s="31">
        <v>0</v>
      </c>
      <c r="G527" s="31">
        <v>0</v>
      </c>
      <c r="H527" s="31">
        <v>0</v>
      </c>
      <c r="I527" s="195">
        <v>633864</v>
      </c>
      <c r="J527" s="31">
        <v>0</v>
      </c>
      <c r="K527" s="67">
        <v>0</v>
      </c>
      <c r="L527" s="31">
        <v>0</v>
      </c>
      <c r="M527" s="31">
        <v>0</v>
      </c>
      <c r="N527" s="31">
        <v>0</v>
      </c>
      <c r="O527" s="31">
        <v>0</v>
      </c>
      <c r="P527" s="31">
        <v>0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0</v>
      </c>
      <c r="W527" s="31">
        <v>0</v>
      </c>
      <c r="X527" s="31">
        <v>0</v>
      </c>
      <c r="Y527" s="31">
        <v>0</v>
      </c>
      <c r="Z527" s="31">
        <v>0</v>
      </c>
      <c r="AA527" s="31">
        <v>0</v>
      </c>
      <c r="AB527" s="31">
        <v>0</v>
      </c>
      <c r="AC527" s="195">
        <v>6275.25</v>
      </c>
      <c r="AD527" s="31">
        <v>0</v>
      </c>
      <c r="AE527" s="31">
        <v>0</v>
      </c>
      <c r="AF527" s="33" t="s">
        <v>268</v>
      </c>
      <c r="AG527" s="33">
        <v>2020</v>
      </c>
      <c r="AH527" s="34">
        <v>2020</v>
      </c>
      <c r="BZ527" s="64"/>
      <c r="CD527" s="20" t="e">
        <f t="shared" si="103"/>
        <v>#N/A</v>
      </c>
    </row>
    <row r="528" spans="1:82" ht="61.5" x14ac:dyDescent="0.85">
      <c r="B528" s="24" t="s">
        <v>859</v>
      </c>
      <c r="C528" s="24"/>
      <c r="D528" s="199">
        <f t="shared" ref="D528:AE528" si="109">D529</f>
        <v>3982171.62</v>
      </c>
      <c r="E528" s="31">
        <f t="shared" si="109"/>
        <v>0</v>
      </c>
      <c r="F528" s="31">
        <f t="shared" si="109"/>
        <v>0</v>
      </c>
      <c r="G528" s="31">
        <f t="shared" si="109"/>
        <v>0</v>
      </c>
      <c r="H528" s="31">
        <f t="shared" si="109"/>
        <v>0</v>
      </c>
      <c r="I528" s="31">
        <f t="shared" si="109"/>
        <v>0</v>
      </c>
      <c r="J528" s="31">
        <f t="shared" si="109"/>
        <v>0</v>
      </c>
      <c r="K528" s="67">
        <f t="shared" si="109"/>
        <v>0</v>
      </c>
      <c r="L528" s="31">
        <f t="shared" si="109"/>
        <v>0</v>
      </c>
      <c r="M528" s="31">
        <f t="shared" si="109"/>
        <v>1024.72</v>
      </c>
      <c r="N528" s="31">
        <f t="shared" si="109"/>
        <v>3826730.34</v>
      </c>
      <c r="O528" s="31">
        <f t="shared" si="109"/>
        <v>0</v>
      </c>
      <c r="P528" s="31">
        <f t="shared" si="109"/>
        <v>0</v>
      </c>
      <c r="Q528" s="31">
        <f t="shared" si="109"/>
        <v>0</v>
      </c>
      <c r="R528" s="31">
        <f t="shared" si="109"/>
        <v>0</v>
      </c>
      <c r="S528" s="31">
        <f t="shared" si="109"/>
        <v>0</v>
      </c>
      <c r="T528" s="31">
        <f t="shared" si="109"/>
        <v>0</v>
      </c>
      <c r="U528" s="31">
        <f t="shared" si="109"/>
        <v>0</v>
      </c>
      <c r="V528" s="31">
        <f t="shared" si="109"/>
        <v>0</v>
      </c>
      <c r="W528" s="31">
        <f t="shared" si="109"/>
        <v>0</v>
      </c>
      <c r="X528" s="31">
        <f t="shared" si="109"/>
        <v>0</v>
      </c>
      <c r="Y528" s="31">
        <f t="shared" si="109"/>
        <v>0</v>
      </c>
      <c r="Z528" s="31">
        <f t="shared" si="109"/>
        <v>0</v>
      </c>
      <c r="AA528" s="31">
        <f t="shared" si="109"/>
        <v>0</v>
      </c>
      <c r="AB528" s="31">
        <f t="shared" si="109"/>
        <v>0</v>
      </c>
      <c r="AC528" s="31">
        <f t="shared" si="109"/>
        <v>49364.83</v>
      </c>
      <c r="AD528" s="31">
        <f t="shared" si="109"/>
        <v>106076.45</v>
      </c>
      <c r="AE528" s="31">
        <f t="shared" si="109"/>
        <v>0</v>
      </c>
      <c r="AF528" s="65" t="s">
        <v>751</v>
      </c>
      <c r="AG528" s="65" t="s">
        <v>751</v>
      </c>
      <c r="AH528" s="79" t="s">
        <v>751</v>
      </c>
      <c r="AT528" s="20" t="e">
        <f>VLOOKUP(C528,AW:AX,2,FALSE)</f>
        <v>#N/A</v>
      </c>
      <c r="BZ528" s="64">
        <v>5403513.4500000002</v>
      </c>
      <c r="CB528" s="64">
        <f>BZ528-D528</f>
        <v>1421341.83</v>
      </c>
      <c r="CD528" s="20" t="e">
        <f t="shared" si="103"/>
        <v>#N/A</v>
      </c>
    </row>
    <row r="529" spans="1:82" ht="61.5" x14ac:dyDescent="0.85">
      <c r="A529" s="20">
        <v>1</v>
      </c>
      <c r="B529" s="60">
        <f>SUBTOTAL(103,$A$22:A529)</f>
        <v>448</v>
      </c>
      <c r="C529" s="24" t="s">
        <v>187</v>
      </c>
      <c r="D529" s="31">
        <f>E529+F529+G529+H529+I529+J529+L529+N529+P529+R529+T529+U529+V529+W529+X529+Y529+Z529+AA529+AB529+AC529+AD529+AE529</f>
        <v>3982171.62</v>
      </c>
      <c r="E529" s="31">
        <v>0</v>
      </c>
      <c r="F529" s="31">
        <v>0</v>
      </c>
      <c r="G529" s="31">
        <v>0</v>
      </c>
      <c r="H529" s="31">
        <v>0</v>
      </c>
      <c r="I529" s="31">
        <v>0</v>
      </c>
      <c r="J529" s="31">
        <v>0</v>
      </c>
      <c r="K529" s="67">
        <v>0</v>
      </c>
      <c r="L529" s="31">
        <v>0</v>
      </c>
      <c r="M529" s="38">
        <v>1024.72</v>
      </c>
      <c r="N529" s="38">
        <v>3826730.34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0</v>
      </c>
      <c r="AC529" s="38">
        <v>49364.83</v>
      </c>
      <c r="AD529" s="38">
        <v>106076.45</v>
      </c>
      <c r="AE529" s="31">
        <v>0</v>
      </c>
      <c r="AF529" s="33">
        <v>2020</v>
      </c>
      <c r="AG529" s="33">
        <v>2020</v>
      </c>
      <c r="AH529" s="34">
        <v>2020</v>
      </c>
      <c r="AT529" s="20" t="e">
        <f>VLOOKUP(C529,AW:AX,2,FALSE)</f>
        <v>#N/A</v>
      </c>
      <c r="BZ529" s="64"/>
      <c r="CD529" s="20">
        <f t="shared" si="103"/>
        <v>1028.5999999999999</v>
      </c>
    </row>
    <row r="530" spans="1:82" ht="61.5" x14ac:dyDescent="0.85">
      <c r="B530" s="24" t="s">
        <v>860</v>
      </c>
      <c r="C530" s="24"/>
      <c r="D530" s="199">
        <f>D531+D532</f>
        <v>8046011.1599999992</v>
      </c>
      <c r="E530" s="31">
        <f t="shared" ref="E530:AE530" si="110">E531+E532</f>
        <v>0</v>
      </c>
      <c r="F530" s="31">
        <f t="shared" si="110"/>
        <v>0</v>
      </c>
      <c r="G530" s="31">
        <f t="shared" si="110"/>
        <v>0</v>
      </c>
      <c r="H530" s="31">
        <f t="shared" si="110"/>
        <v>0</v>
      </c>
      <c r="I530" s="31">
        <f t="shared" si="110"/>
        <v>0</v>
      </c>
      <c r="J530" s="31">
        <f t="shared" si="110"/>
        <v>0</v>
      </c>
      <c r="K530" s="67">
        <f t="shared" si="110"/>
        <v>0</v>
      </c>
      <c r="L530" s="31">
        <f t="shared" si="110"/>
        <v>0</v>
      </c>
      <c r="M530" s="31">
        <f t="shared" si="110"/>
        <v>616.86</v>
      </c>
      <c r="N530" s="31">
        <f t="shared" si="110"/>
        <v>2614299.75</v>
      </c>
      <c r="O530" s="31">
        <f t="shared" si="110"/>
        <v>0</v>
      </c>
      <c r="P530" s="31">
        <f t="shared" si="110"/>
        <v>0</v>
      </c>
      <c r="Q530" s="31">
        <f t="shared" si="110"/>
        <v>2869</v>
      </c>
      <c r="R530" s="31">
        <f t="shared" si="110"/>
        <v>5415331.7699999996</v>
      </c>
      <c r="S530" s="31">
        <f t="shared" si="110"/>
        <v>0</v>
      </c>
      <c r="T530" s="31">
        <f t="shared" si="110"/>
        <v>0</v>
      </c>
      <c r="U530" s="31">
        <f t="shared" si="110"/>
        <v>0</v>
      </c>
      <c r="V530" s="31">
        <f t="shared" si="110"/>
        <v>0</v>
      </c>
      <c r="W530" s="31">
        <f t="shared" si="110"/>
        <v>0</v>
      </c>
      <c r="X530" s="31">
        <f t="shared" si="110"/>
        <v>0</v>
      </c>
      <c r="Y530" s="31">
        <f t="shared" si="110"/>
        <v>0</v>
      </c>
      <c r="Z530" s="31">
        <f t="shared" si="110"/>
        <v>0</v>
      </c>
      <c r="AA530" s="31">
        <f t="shared" si="110"/>
        <v>0</v>
      </c>
      <c r="AB530" s="31">
        <f t="shared" si="110"/>
        <v>0</v>
      </c>
      <c r="AC530" s="31">
        <f t="shared" si="110"/>
        <v>16379.64</v>
      </c>
      <c r="AD530" s="31">
        <f t="shared" si="110"/>
        <v>0</v>
      </c>
      <c r="AE530" s="31">
        <f t="shared" si="110"/>
        <v>0</v>
      </c>
      <c r="AF530" s="65" t="s">
        <v>751</v>
      </c>
      <c r="AG530" s="65" t="s">
        <v>751</v>
      </c>
      <c r="AH530" s="79" t="s">
        <v>751</v>
      </c>
      <c r="AT530" s="20" t="e">
        <f>VLOOKUP(C530,AW:AX,2,FALSE)</f>
        <v>#N/A</v>
      </c>
      <c r="BZ530" s="64">
        <v>8957085.8399999999</v>
      </c>
      <c r="CB530" s="64">
        <f>BZ530-D530</f>
        <v>911074.68000000063</v>
      </c>
      <c r="CD530" s="20" t="e">
        <f t="shared" si="103"/>
        <v>#N/A</v>
      </c>
    </row>
    <row r="531" spans="1:82" ht="61.5" x14ac:dyDescent="0.85">
      <c r="A531" s="20">
        <v>1</v>
      </c>
      <c r="B531" s="60">
        <f>SUBTOTAL(103,$A$22:A531)</f>
        <v>449</v>
      </c>
      <c r="C531" s="24" t="s">
        <v>186</v>
      </c>
      <c r="D531" s="31">
        <f>E531+F531+G531+H531+I531+J531+L531+N531+P531+R531+T531+U531+V531+W531+X531+Y531+Z531+AA531+AB531+AC531+AD531+AE531</f>
        <v>2614299.75</v>
      </c>
      <c r="E531" s="31">
        <v>0</v>
      </c>
      <c r="F531" s="31">
        <v>0</v>
      </c>
      <c r="G531" s="31">
        <v>0</v>
      </c>
      <c r="H531" s="31">
        <v>0</v>
      </c>
      <c r="I531" s="31">
        <v>0</v>
      </c>
      <c r="J531" s="31">
        <v>0</v>
      </c>
      <c r="K531" s="67">
        <v>0</v>
      </c>
      <c r="L531" s="31">
        <v>0</v>
      </c>
      <c r="M531" s="38">
        <v>616.86</v>
      </c>
      <c r="N531" s="38">
        <v>2614299.75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  <c r="AA531" s="31">
        <v>0</v>
      </c>
      <c r="AB531" s="31">
        <v>0</v>
      </c>
      <c r="AC531" s="31">
        <v>0</v>
      </c>
      <c r="AD531" s="31">
        <v>0</v>
      </c>
      <c r="AE531" s="31">
        <v>0</v>
      </c>
      <c r="AF531" s="33" t="s">
        <v>268</v>
      </c>
      <c r="AG531" s="33">
        <v>2020</v>
      </c>
      <c r="AH531" s="34" t="s">
        <v>268</v>
      </c>
      <c r="AT531" s="20" t="e">
        <f>VLOOKUP(C531,AW:AX,2,FALSE)</f>
        <v>#N/A</v>
      </c>
      <c r="BZ531" s="64"/>
      <c r="CD531" s="20">
        <f t="shared" si="103"/>
        <v>578.4</v>
      </c>
    </row>
    <row r="532" spans="1:82" ht="61.5" x14ac:dyDescent="0.85">
      <c r="A532" s="20">
        <v>1</v>
      </c>
      <c r="B532" s="60">
        <f>SUBTOTAL(103,$A$22:A532)</f>
        <v>450</v>
      </c>
      <c r="C532" s="24" t="s">
        <v>1542</v>
      </c>
      <c r="D532" s="31">
        <f>E532+F532+G532+H532+I532+J532+L532+N532+P532+R532+T532+U532+V532+W532+X532+Y532+Z532+AA532+AB532+AC532+AD532+AE532</f>
        <v>5431711.4099999992</v>
      </c>
      <c r="E532" s="31">
        <v>0</v>
      </c>
      <c r="F532" s="31">
        <v>0</v>
      </c>
      <c r="G532" s="31">
        <v>0</v>
      </c>
      <c r="H532" s="31">
        <v>0</v>
      </c>
      <c r="I532" s="31">
        <v>0</v>
      </c>
      <c r="J532" s="31">
        <v>0</v>
      </c>
      <c r="K532" s="67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8">
        <v>2869</v>
      </c>
      <c r="R532" s="38">
        <f>3760822.73+1654509.04</f>
        <v>5415331.7699999996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0</v>
      </c>
      <c r="AC532" s="144">
        <v>16379.64</v>
      </c>
      <c r="AD532" s="31">
        <v>0</v>
      </c>
      <c r="AE532" s="31">
        <v>0</v>
      </c>
      <c r="AF532" s="33" t="s">
        <v>268</v>
      </c>
      <c r="AG532" s="33">
        <v>2020</v>
      </c>
      <c r="AH532" s="34">
        <v>2020</v>
      </c>
      <c r="BZ532" s="64"/>
      <c r="CD532" s="20" t="e">
        <f t="shared" si="103"/>
        <v>#N/A</v>
      </c>
    </row>
    <row r="533" spans="1:82" ht="61.5" x14ac:dyDescent="0.85">
      <c r="B533" s="24" t="s">
        <v>861</v>
      </c>
      <c r="C533" s="24"/>
      <c r="D533" s="199">
        <f t="shared" ref="D533:AE533" si="111">D534</f>
        <v>1241065.97</v>
      </c>
      <c r="E533" s="31">
        <f t="shared" si="111"/>
        <v>0</v>
      </c>
      <c r="F533" s="31">
        <f t="shared" si="111"/>
        <v>0</v>
      </c>
      <c r="G533" s="31">
        <f t="shared" si="111"/>
        <v>0</v>
      </c>
      <c r="H533" s="31">
        <f t="shared" si="111"/>
        <v>0</v>
      </c>
      <c r="I533" s="31">
        <f t="shared" si="111"/>
        <v>0</v>
      </c>
      <c r="J533" s="31">
        <f t="shared" si="111"/>
        <v>0</v>
      </c>
      <c r="K533" s="67">
        <f t="shared" si="111"/>
        <v>0</v>
      </c>
      <c r="L533" s="31">
        <f t="shared" si="111"/>
        <v>0</v>
      </c>
      <c r="M533" s="31">
        <f t="shared" si="111"/>
        <v>362</v>
      </c>
      <c r="N533" s="31">
        <f t="shared" si="111"/>
        <v>1182710.79</v>
      </c>
      <c r="O533" s="31">
        <f t="shared" si="111"/>
        <v>0</v>
      </c>
      <c r="P533" s="31">
        <f t="shared" si="111"/>
        <v>0</v>
      </c>
      <c r="Q533" s="31">
        <f t="shared" si="111"/>
        <v>0</v>
      </c>
      <c r="R533" s="31">
        <f t="shared" si="111"/>
        <v>0</v>
      </c>
      <c r="S533" s="31">
        <f t="shared" si="111"/>
        <v>0</v>
      </c>
      <c r="T533" s="31">
        <f t="shared" si="111"/>
        <v>0</v>
      </c>
      <c r="U533" s="31">
        <f t="shared" si="111"/>
        <v>0</v>
      </c>
      <c r="V533" s="31">
        <f t="shared" si="111"/>
        <v>0</v>
      </c>
      <c r="W533" s="31">
        <f t="shared" si="111"/>
        <v>0</v>
      </c>
      <c r="X533" s="31">
        <f t="shared" si="111"/>
        <v>0</v>
      </c>
      <c r="Y533" s="31">
        <f t="shared" si="111"/>
        <v>0</v>
      </c>
      <c r="Z533" s="31">
        <f t="shared" si="111"/>
        <v>0</v>
      </c>
      <c r="AA533" s="31">
        <f t="shared" si="111"/>
        <v>0</v>
      </c>
      <c r="AB533" s="31">
        <f t="shared" si="111"/>
        <v>0</v>
      </c>
      <c r="AC533" s="31">
        <f t="shared" si="111"/>
        <v>15256.97</v>
      </c>
      <c r="AD533" s="31">
        <f t="shared" si="111"/>
        <v>43098.21</v>
      </c>
      <c r="AE533" s="31">
        <f t="shared" si="111"/>
        <v>0</v>
      </c>
      <c r="AF533" s="65" t="s">
        <v>751</v>
      </c>
      <c r="AG533" s="65" t="s">
        <v>751</v>
      </c>
      <c r="AH533" s="79" t="s">
        <v>751</v>
      </c>
      <c r="AT533" s="20" t="e">
        <f>VLOOKUP(C533,AW:AX,2,FALSE)</f>
        <v>#N/A</v>
      </c>
      <c r="BZ533" s="64">
        <v>2733218.92</v>
      </c>
      <c r="CB533" s="64">
        <f>BZ533-D533</f>
        <v>1492152.95</v>
      </c>
      <c r="CD533" s="20" t="e">
        <f t="shared" si="103"/>
        <v>#N/A</v>
      </c>
    </row>
    <row r="534" spans="1:82" ht="61.5" x14ac:dyDescent="0.85">
      <c r="A534" s="20">
        <v>1</v>
      </c>
      <c r="B534" s="60">
        <f>SUBTOTAL(103,$A$22:A534)</f>
        <v>451</v>
      </c>
      <c r="C534" s="24" t="s">
        <v>185</v>
      </c>
      <c r="D534" s="31">
        <f>E534+F534+G534+H534+I534+J534+L534+N534+P534+R534+T534+U534+V534+W534+X534+Y534+Z534+AA534+AB534+AC534+AD534+AE534</f>
        <v>1241065.97</v>
      </c>
      <c r="E534" s="31">
        <v>0</v>
      </c>
      <c r="F534" s="31">
        <v>0</v>
      </c>
      <c r="G534" s="31">
        <v>0</v>
      </c>
      <c r="H534" s="31">
        <v>0</v>
      </c>
      <c r="I534" s="31">
        <v>0</v>
      </c>
      <c r="J534" s="31">
        <v>0</v>
      </c>
      <c r="K534" s="67">
        <v>0</v>
      </c>
      <c r="L534" s="31">
        <v>0</v>
      </c>
      <c r="M534" s="38">
        <v>362</v>
      </c>
      <c r="N534" s="38">
        <v>1182710.79</v>
      </c>
      <c r="O534" s="31">
        <v>0</v>
      </c>
      <c r="P534" s="31">
        <v>0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0</v>
      </c>
      <c r="AC534" s="38">
        <v>15256.97</v>
      </c>
      <c r="AD534" s="38">
        <v>43098.21</v>
      </c>
      <c r="AE534" s="31">
        <v>0</v>
      </c>
      <c r="AF534" s="33">
        <v>2020</v>
      </c>
      <c r="AG534" s="33">
        <v>2020</v>
      </c>
      <c r="AH534" s="34">
        <v>2020</v>
      </c>
      <c r="AT534" s="20" t="e">
        <f>VLOOKUP(C534,AW:AX,2,FALSE)</f>
        <v>#N/A</v>
      </c>
      <c r="BZ534" s="64"/>
      <c r="CD534" s="20">
        <f t="shared" si="103"/>
        <v>378</v>
      </c>
    </row>
    <row r="535" spans="1:82" ht="61.5" x14ac:dyDescent="0.85">
      <c r="B535" s="24" t="s">
        <v>862</v>
      </c>
      <c r="C535" s="198"/>
      <c r="D535" s="199">
        <f t="shared" ref="D535:AE535" si="112">SUM(D536:D544)</f>
        <v>9190793.5899999999</v>
      </c>
      <c r="E535" s="31">
        <f t="shared" si="112"/>
        <v>0</v>
      </c>
      <c r="F535" s="31">
        <f t="shared" si="112"/>
        <v>0</v>
      </c>
      <c r="G535" s="31">
        <f t="shared" si="112"/>
        <v>4555695.3099999996</v>
      </c>
      <c r="H535" s="31">
        <f t="shared" si="112"/>
        <v>0</v>
      </c>
      <c r="I535" s="31">
        <f t="shared" si="112"/>
        <v>0</v>
      </c>
      <c r="J535" s="31">
        <f t="shared" si="112"/>
        <v>0</v>
      </c>
      <c r="K535" s="67">
        <f t="shared" si="112"/>
        <v>0</v>
      </c>
      <c r="L535" s="31">
        <f t="shared" si="112"/>
        <v>0</v>
      </c>
      <c r="M535" s="31">
        <f t="shared" si="112"/>
        <v>1055.47</v>
      </c>
      <c r="N535" s="31">
        <f t="shared" si="112"/>
        <v>4084839.45</v>
      </c>
      <c r="O535" s="31">
        <f t="shared" si="112"/>
        <v>0</v>
      </c>
      <c r="P535" s="31">
        <f t="shared" si="112"/>
        <v>0</v>
      </c>
      <c r="Q535" s="31">
        <f t="shared" si="112"/>
        <v>0</v>
      </c>
      <c r="R535" s="31">
        <f t="shared" si="112"/>
        <v>0</v>
      </c>
      <c r="S535" s="31">
        <f t="shared" si="112"/>
        <v>0</v>
      </c>
      <c r="T535" s="31">
        <f t="shared" si="112"/>
        <v>0</v>
      </c>
      <c r="U535" s="31">
        <f t="shared" si="112"/>
        <v>0</v>
      </c>
      <c r="V535" s="31">
        <f t="shared" si="112"/>
        <v>0</v>
      </c>
      <c r="W535" s="31">
        <f t="shared" si="112"/>
        <v>0</v>
      </c>
      <c r="X535" s="31">
        <f t="shared" si="112"/>
        <v>0</v>
      </c>
      <c r="Y535" s="31">
        <f t="shared" si="112"/>
        <v>0</v>
      </c>
      <c r="Z535" s="31">
        <f t="shared" si="112"/>
        <v>0</v>
      </c>
      <c r="AA535" s="31">
        <f t="shared" si="112"/>
        <v>0</v>
      </c>
      <c r="AB535" s="31">
        <f t="shared" si="112"/>
        <v>0</v>
      </c>
      <c r="AC535" s="31">
        <f t="shared" si="112"/>
        <v>125283.63</v>
      </c>
      <c r="AD535" s="31">
        <f t="shared" si="112"/>
        <v>424975.2</v>
      </c>
      <c r="AE535" s="31">
        <f t="shared" si="112"/>
        <v>0</v>
      </c>
      <c r="AF535" s="65" t="s">
        <v>751</v>
      </c>
      <c r="AG535" s="65" t="s">
        <v>751</v>
      </c>
      <c r="AH535" s="79" t="s">
        <v>751</v>
      </c>
      <c r="AT535" s="20" t="e">
        <f>VLOOKUP(C535,AW:AX,2,FALSE)</f>
        <v>#N/A</v>
      </c>
      <c r="BZ535" s="64">
        <v>18660147.93</v>
      </c>
      <c r="CB535" s="64">
        <f>BZ535-D535</f>
        <v>9469354.3399999999</v>
      </c>
      <c r="CD535" s="20" t="e">
        <f t="shared" si="103"/>
        <v>#N/A</v>
      </c>
    </row>
    <row r="536" spans="1:82" ht="61.5" x14ac:dyDescent="0.85">
      <c r="A536" s="20">
        <v>1</v>
      </c>
      <c r="B536" s="60">
        <f>SUBTOTAL(103,$A$22:A536)</f>
        <v>452</v>
      </c>
      <c r="C536" s="24" t="s">
        <v>216</v>
      </c>
      <c r="D536" s="31">
        <f t="shared" ref="D536:D541" si="113">E536+F536+G536+H536+I536+J536+L536+N536+P536+R536+T536+U536+V536+W536+X536+Y536+Z536+AA536+AB536+AC536+AD536+AE536</f>
        <v>4272931.8100000005</v>
      </c>
      <c r="E536" s="31">
        <v>0</v>
      </c>
      <c r="F536" s="31">
        <v>0</v>
      </c>
      <c r="G536" s="31">
        <v>0</v>
      </c>
      <c r="H536" s="31">
        <v>0</v>
      </c>
      <c r="I536" s="31">
        <v>0</v>
      </c>
      <c r="J536" s="31">
        <v>0</v>
      </c>
      <c r="K536" s="67">
        <v>0</v>
      </c>
      <c r="L536" s="31">
        <v>0</v>
      </c>
      <c r="M536" s="38">
        <v>1055.47</v>
      </c>
      <c r="N536" s="38">
        <v>4084839.45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  <c r="AC536" s="31">
        <f>ROUND(N536*1.4025%,2)</f>
        <v>57289.87</v>
      </c>
      <c r="AD536" s="38">
        <v>130802.49</v>
      </c>
      <c r="AE536" s="31">
        <v>0</v>
      </c>
      <c r="AF536" s="33">
        <v>2020</v>
      </c>
      <c r="AG536" s="33">
        <v>2020</v>
      </c>
      <c r="AH536" s="34">
        <v>2020</v>
      </c>
      <c r="AT536" s="20" t="e">
        <f>VLOOKUP(C536,AW:AX,2,FALSE)</f>
        <v>#N/A</v>
      </c>
      <c r="BZ536" s="64"/>
      <c r="CD536" s="20">
        <f t="shared" si="103"/>
        <v>1057.07</v>
      </c>
    </row>
    <row r="537" spans="1:82" ht="61.5" x14ac:dyDescent="0.85">
      <c r="A537" s="20">
        <v>1</v>
      </c>
      <c r="B537" s="60">
        <f>SUBTOTAL(103,$A$22:A537)</f>
        <v>453</v>
      </c>
      <c r="C537" s="24" t="s">
        <v>1270</v>
      </c>
      <c r="D537" s="31">
        <f t="shared" si="113"/>
        <v>2514865.17</v>
      </c>
      <c r="E537" s="31">
        <v>0</v>
      </c>
      <c r="F537" s="31">
        <v>0</v>
      </c>
      <c r="G537" s="38">
        <v>2477882.77</v>
      </c>
      <c r="H537" s="31">
        <v>0</v>
      </c>
      <c r="I537" s="31">
        <v>0</v>
      </c>
      <c r="J537" s="31">
        <v>0</v>
      </c>
      <c r="K537" s="67">
        <v>0</v>
      </c>
      <c r="L537" s="31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0</v>
      </c>
      <c r="AB537" s="31">
        <v>0</v>
      </c>
      <c r="AC537" s="31">
        <f>ROUND((E537+F537+G537+H537+I537+J537)*1.4925%,2)</f>
        <v>36982.400000000001</v>
      </c>
      <c r="AD537" s="31">
        <v>0</v>
      </c>
      <c r="AE537" s="31">
        <v>0</v>
      </c>
      <c r="AF537" s="33" t="s">
        <v>268</v>
      </c>
      <c r="AG537" s="33">
        <v>2020</v>
      </c>
      <c r="AH537" s="34">
        <v>2020</v>
      </c>
      <c r="BZ537" s="64"/>
      <c r="CD537" s="20" t="e">
        <f t="shared" si="103"/>
        <v>#N/A</v>
      </c>
    </row>
    <row r="538" spans="1:82" ht="61.5" x14ac:dyDescent="0.85">
      <c r="A538" s="20">
        <v>1</v>
      </c>
      <c r="B538" s="60">
        <f>SUBTOTAL(103,$A$22:A538)</f>
        <v>454</v>
      </c>
      <c r="C538" s="24" t="s">
        <v>1271</v>
      </c>
      <c r="D538" s="31">
        <f t="shared" si="113"/>
        <v>229212.26</v>
      </c>
      <c r="E538" s="31">
        <v>0</v>
      </c>
      <c r="F538" s="31">
        <v>0</v>
      </c>
      <c r="G538" s="38">
        <v>225841.57</v>
      </c>
      <c r="H538" s="31">
        <v>0</v>
      </c>
      <c r="I538" s="31">
        <v>0</v>
      </c>
      <c r="J538" s="31">
        <v>0</v>
      </c>
      <c r="K538" s="67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  <c r="AC538" s="38">
        <v>3370.69</v>
      </c>
      <c r="AD538" s="31">
        <v>0</v>
      </c>
      <c r="AE538" s="31">
        <v>0</v>
      </c>
      <c r="AF538" s="33" t="s">
        <v>268</v>
      </c>
      <c r="AG538" s="33">
        <v>2020</v>
      </c>
      <c r="AH538" s="34">
        <v>2020</v>
      </c>
      <c r="BZ538" s="64"/>
      <c r="CD538" s="20" t="e">
        <f t="shared" si="103"/>
        <v>#N/A</v>
      </c>
    </row>
    <row r="539" spans="1:82" ht="61.5" x14ac:dyDescent="0.85">
      <c r="A539" s="20">
        <v>1</v>
      </c>
      <c r="B539" s="60">
        <f>SUBTOTAL(103,$A$22:A539)</f>
        <v>455</v>
      </c>
      <c r="C539" s="24" t="s">
        <v>1272</v>
      </c>
      <c r="D539" s="31">
        <f t="shared" si="113"/>
        <v>1879611.64</v>
      </c>
      <c r="E539" s="31">
        <v>0</v>
      </c>
      <c r="F539" s="31">
        <v>0</v>
      </c>
      <c r="G539" s="38">
        <v>1851970.97</v>
      </c>
      <c r="H539" s="31">
        <v>0</v>
      </c>
      <c r="I539" s="31">
        <v>0</v>
      </c>
      <c r="J539" s="31">
        <v>0</v>
      </c>
      <c r="K539" s="67">
        <v>0</v>
      </c>
      <c r="L539" s="31">
        <v>0</v>
      </c>
      <c r="M539" s="31">
        <v>0</v>
      </c>
      <c r="N539" s="31">
        <v>0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0</v>
      </c>
      <c r="AC539" s="38">
        <v>27640.67</v>
      </c>
      <c r="AD539" s="31">
        <v>0</v>
      </c>
      <c r="AE539" s="31">
        <v>0</v>
      </c>
      <c r="AF539" s="33" t="s">
        <v>268</v>
      </c>
      <c r="AG539" s="33">
        <v>2020</v>
      </c>
      <c r="AH539" s="34">
        <v>2020</v>
      </c>
      <c r="BZ539" s="64"/>
      <c r="CD539" s="20" t="e">
        <f t="shared" si="103"/>
        <v>#N/A</v>
      </c>
    </row>
    <row r="540" spans="1:82" ht="61.5" x14ac:dyDescent="0.85">
      <c r="A540" s="20">
        <v>1</v>
      </c>
      <c r="B540" s="60">
        <f>SUBTOTAL(103,$A$22:A540)</f>
        <v>456</v>
      </c>
      <c r="C540" s="24" t="s">
        <v>217</v>
      </c>
      <c r="D540" s="31">
        <f>E540+F540+G540+H540+I540+J540+L540+N540+P540+R540+T540+U540+V540+W540+X540+Y540+Z540+AA540+AB540+AC540+AD540+AE540</f>
        <v>57236.97</v>
      </c>
      <c r="E540" s="31">
        <v>0</v>
      </c>
      <c r="F540" s="31">
        <v>0</v>
      </c>
      <c r="G540" s="31">
        <v>0</v>
      </c>
      <c r="H540" s="31">
        <v>0</v>
      </c>
      <c r="I540" s="31">
        <v>0</v>
      </c>
      <c r="J540" s="31">
        <v>0</v>
      </c>
      <c r="K540" s="67">
        <v>0</v>
      </c>
      <c r="L540" s="31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0</v>
      </c>
      <c r="AC540" s="31">
        <f>ROUND((E540+F540+G540+H540+I540+J540)*1.5%,2)</f>
        <v>0</v>
      </c>
      <c r="AD540" s="38">
        <v>57236.97</v>
      </c>
      <c r="AE540" s="31">
        <v>0</v>
      </c>
      <c r="AF540" s="33">
        <v>2020</v>
      </c>
      <c r="AG540" s="33" t="s">
        <v>268</v>
      </c>
      <c r="AH540" s="33" t="s">
        <v>268</v>
      </c>
      <c r="AT540" s="20" t="e">
        <f>VLOOKUP(C540,AW:AX,2,FALSE)</f>
        <v>#N/A</v>
      </c>
      <c r="BZ540" s="64"/>
      <c r="CD540" s="20" t="e">
        <f t="shared" si="103"/>
        <v>#N/A</v>
      </c>
    </row>
    <row r="541" spans="1:82" ht="61.5" x14ac:dyDescent="0.85">
      <c r="A541" s="20">
        <v>1</v>
      </c>
      <c r="B541" s="60">
        <f>SUBTOTAL(103,$A$22:A541)</f>
        <v>457</v>
      </c>
      <c r="C541" s="24" t="s">
        <v>1556</v>
      </c>
      <c r="D541" s="31">
        <f t="shared" si="113"/>
        <v>60862.57</v>
      </c>
      <c r="E541" s="31">
        <v>0</v>
      </c>
      <c r="F541" s="31">
        <v>0</v>
      </c>
      <c r="G541" s="31">
        <v>0</v>
      </c>
      <c r="H541" s="31">
        <v>0</v>
      </c>
      <c r="I541" s="31">
        <v>0</v>
      </c>
      <c r="J541" s="31">
        <v>0</v>
      </c>
      <c r="K541" s="67">
        <v>0</v>
      </c>
      <c r="L541" s="31">
        <v>0</v>
      </c>
      <c r="M541" s="31">
        <v>0</v>
      </c>
      <c r="N541" s="31">
        <v>0</v>
      </c>
      <c r="O541" s="31">
        <v>0</v>
      </c>
      <c r="P541" s="31">
        <v>0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0</v>
      </c>
      <c r="W541" s="31">
        <v>0</v>
      </c>
      <c r="X541" s="31">
        <v>0</v>
      </c>
      <c r="Y541" s="31">
        <v>0</v>
      </c>
      <c r="Z541" s="31">
        <v>0</v>
      </c>
      <c r="AA541" s="31">
        <v>0</v>
      </c>
      <c r="AB541" s="31">
        <v>0</v>
      </c>
      <c r="AC541" s="31">
        <f>ROUND((E541+F541+G541+H541+I541+J541)*1.5%,2)</f>
        <v>0</v>
      </c>
      <c r="AD541" s="38">
        <v>60862.57</v>
      </c>
      <c r="AE541" s="31">
        <v>0</v>
      </c>
      <c r="AF541" s="33">
        <v>2020</v>
      </c>
      <c r="AG541" s="33" t="s">
        <v>268</v>
      </c>
      <c r="AH541" s="33" t="s">
        <v>268</v>
      </c>
      <c r="BZ541" s="64"/>
      <c r="CD541" s="20" t="e">
        <f t="shared" si="103"/>
        <v>#N/A</v>
      </c>
    </row>
    <row r="542" spans="1:82" ht="61.5" x14ac:dyDescent="0.85">
      <c r="A542" s="20">
        <v>1</v>
      </c>
      <c r="B542" s="60">
        <f>SUBTOTAL(103,$A$22:A542)</f>
        <v>458</v>
      </c>
      <c r="C542" s="24" t="s">
        <v>1557</v>
      </c>
      <c r="D542" s="31">
        <f>E542+F542+G542+H542+I542+J542+L542+N542+P542+R542+T542+U542+V542+W542+X542+Y542+Z542+AA542+AB542+AC542+AD542+AE542</f>
        <v>64885.78</v>
      </c>
      <c r="E542" s="31">
        <v>0</v>
      </c>
      <c r="F542" s="31">
        <v>0</v>
      </c>
      <c r="G542" s="31">
        <v>0</v>
      </c>
      <c r="H542" s="31">
        <v>0</v>
      </c>
      <c r="I542" s="31">
        <v>0</v>
      </c>
      <c r="J542" s="31">
        <v>0</v>
      </c>
      <c r="K542" s="67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0</v>
      </c>
      <c r="AC542" s="31">
        <f>ROUND((E542+F542+G542+H542+I542+J542)*1.5%,2)</f>
        <v>0</v>
      </c>
      <c r="AD542" s="38">
        <v>64885.78</v>
      </c>
      <c r="AE542" s="31">
        <v>0</v>
      </c>
      <c r="AF542" s="33">
        <v>2020</v>
      </c>
      <c r="AG542" s="33" t="s">
        <v>268</v>
      </c>
      <c r="AH542" s="33" t="s">
        <v>268</v>
      </c>
      <c r="BZ542" s="64"/>
      <c r="CD542" s="20" t="e">
        <f t="shared" ref="CD542:CD573" si="114">VLOOKUP(C542,CE:CF,2,FALSE)</f>
        <v>#N/A</v>
      </c>
    </row>
    <row r="543" spans="1:82" ht="61.5" x14ac:dyDescent="0.85">
      <c r="A543" s="20">
        <v>1</v>
      </c>
      <c r="B543" s="60">
        <f>SUBTOTAL(103,$A$22:A543)</f>
        <v>459</v>
      </c>
      <c r="C543" s="24" t="s">
        <v>211</v>
      </c>
      <c r="D543" s="31">
        <f>E543+F543+G543+H543+I543+J543+L543+N543+P543+R543+T543+U543+V543+W543+X543+Y543+Z543+AA543+AB543+AC543+AD543+AE543</f>
        <v>77010.039999999994</v>
      </c>
      <c r="E543" s="31">
        <v>0</v>
      </c>
      <c r="F543" s="31">
        <v>0</v>
      </c>
      <c r="G543" s="31">
        <v>0</v>
      </c>
      <c r="H543" s="31">
        <v>0</v>
      </c>
      <c r="I543" s="31">
        <v>0</v>
      </c>
      <c r="J543" s="31">
        <v>0</v>
      </c>
      <c r="K543" s="67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  <c r="AC543" s="31">
        <f>ROUND(N543*1.5%,2)</f>
        <v>0</v>
      </c>
      <c r="AD543" s="31">
        <v>77010.039999999994</v>
      </c>
      <c r="AE543" s="31">
        <v>0</v>
      </c>
      <c r="AF543" s="33">
        <v>2020</v>
      </c>
      <c r="AG543" s="33" t="s">
        <v>268</v>
      </c>
      <c r="AH543" s="33" t="s">
        <v>268</v>
      </c>
      <c r="AT543" s="20" t="e">
        <f t="shared" ref="AT543:AT548" si="115">VLOOKUP(C543,AW:AX,2,FALSE)</f>
        <v>#N/A</v>
      </c>
      <c r="BZ543" s="64"/>
      <c r="CD543" s="20" t="e">
        <f t="shared" si="114"/>
        <v>#N/A</v>
      </c>
    </row>
    <row r="544" spans="1:82" ht="61.5" x14ac:dyDescent="0.85">
      <c r="A544" s="20">
        <v>1</v>
      </c>
      <c r="B544" s="60">
        <f>SUBTOTAL(103,$A$22:A544)</f>
        <v>460</v>
      </c>
      <c r="C544" s="24" t="s">
        <v>212</v>
      </c>
      <c r="D544" s="31">
        <f>E544+F544+G544+H544+I544+J544+L544+N544+P544+R544+T544+U544+V544+W544+X544+Y544+Z544+AA544+AB544+AC544+AD544+AE544</f>
        <v>34177.35</v>
      </c>
      <c r="E544" s="31">
        <v>0</v>
      </c>
      <c r="F544" s="31">
        <v>0</v>
      </c>
      <c r="G544" s="31">
        <v>0</v>
      </c>
      <c r="H544" s="31">
        <v>0</v>
      </c>
      <c r="I544" s="31">
        <v>0</v>
      </c>
      <c r="J544" s="31">
        <v>0</v>
      </c>
      <c r="K544" s="67">
        <v>0</v>
      </c>
      <c r="L544" s="31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0</v>
      </c>
      <c r="AB544" s="31">
        <v>0</v>
      </c>
      <c r="AC544" s="31">
        <f>ROUND(N544*1.5%,2)</f>
        <v>0</v>
      </c>
      <c r="AD544" s="31">
        <v>34177.35</v>
      </c>
      <c r="AE544" s="31">
        <v>0</v>
      </c>
      <c r="AF544" s="33">
        <v>2020</v>
      </c>
      <c r="AG544" s="33" t="s">
        <v>268</v>
      </c>
      <c r="AH544" s="33" t="s">
        <v>268</v>
      </c>
      <c r="AT544" s="20" t="e">
        <f t="shared" si="115"/>
        <v>#N/A</v>
      </c>
      <c r="BZ544" s="64"/>
      <c r="CD544" s="20" t="e">
        <f t="shared" si="114"/>
        <v>#N/A</v>
      </c>
    </row>
    <row r="545" spans="1:82" ht="61.5" x14ac:dyDescent="0.85">
      <c r="B545" s="24" t="s">
        <v>863</v>
      </c>
      <c r="C545" s="24"/>
      <c r="D545" s="199">
        <f t="shared" ref="D545:AE545" si="116">SUM(D546:D549)</f>
        <v>3506290.42</v>
      </c>
      <c r="E545" s="31">
        <f t="shared" si="116"/>
        <v>0</v>
      </c>
      <c r="F545" s="31">
        <f t="shared" si="116"/>
        <v>0</v>
      </c>
      <c r="G545" s="31">
        <f t="shared" si="116"/>
        <v>0</v>
      </c>
      <c r="H545" s="31">
        <f t="shared" si="116"/>
        <v>0</v>
      </c>
      <c r="I545" s="31">
        <f t="shared" si="116"/>
        <v>0</v>
      </c>
      <c r="J545" s="31">
        <f t="shared" si="116"/>
        <v>0</v>
      </c>
      <c r="K545" s="67">
        <f t="shared" si="116"/>
        <v>0</v>
      </c>
      <c r="L545" s="31">
        <f t="shared" si="116"/>
        <v>0</v>
      </c>
      <c r="M545" s="31">
        <f t="shared" si="116"/>
        <v>810.07999999999993</v>
      </c>
      <c r="N545" s="31">
        <f t="shared" si="116"/>
        <v>3214660.2</v>
      </c>
      <c r="O545" s="31">
        <f t="shared" si="116"/>
        <v>0</v>
      </c>
      <c r="P545" s="31">
        <f t="shared" si="116"/>
        <v>0</v>
      </c>
      <c r="Q545" s="31">
        <f t="shared" si="116"/>
        <v>0</v>
      </c>
      <c r="R545" s="31">
        <f t="shared" si="116"/>
        <v>0</v>
      </c>
      <c r="S545" s="31">
        <f t="shared" si="116"/>
        <v>0</v>
      </c>
      <c r="T545" s="31">
        <f t="shared" si="116"/>
        <v>0</v>
      </c>
      <c r="U545" s="31">
        <f t="shared" si="116"/>
        <v>0</v>
      </c>
      <c r="V545" s="31">
        <f t="shared" si="116"/>
        <v>0</v>
      </c>
      <c r="W545" s="31">
        <f t="shared" si="116"/>
        <v>0</v>
      </c>
      <c r="X545" s="31">
        <f t="shared" si="116"/>
        <v>0</v>
      </c>
      <c r="Y545" s="31">
        <f t="shared" si="116"/>
        <v>0</v>
      </c>
      <c r="Z545" s="31">
        <f t="shared" si="116"/>
        <v>0</v>
      </c>
      <c r="AA545" s="31">
        <f t="shared" si="116"/>
        <v>0</v>
      </c>
      <c r="AB545" s="31">
        <f t="shared" si="116"/>
        <v>0</v>
      </c>
      <c r="AC545" s="31">
        <f t="shared" si="116"/>
        <v>45043.53</v>
      </c>
      <c r="AD545" s="31">
        <f t="shared" si="116"/>
        <v>246586.68999999997</v>
      </c>
      <c r="AE545" s="31">
        <f t="shared" si="116"/>
        <v>0</v>
      </c>
      <c r="AF545" s="65" t="s">
        <v>751</v>
      </c>
      <c r="AG545" s="65" t="s">
        <v>751</v>
      </c>
      <c r="AH545" s="79" t="s">
        <v>751</v>
      </c>
      <c r="AT545" s="20" t="e">
        <f t="shared" si="115"/>
        <v>#N/A</v>
      </c>
      <c r="BZ545" s="64">
        <v>7944432.1499999994</v>
      </c>
      <c r="CD545" s="20" t="e">
        <f t="shared" si="114"/>
        <v>#N/A</v>
      </c>
    </row>
    <row r="546" spans="1:82" ht="61.5" x14ac:dyDescent="0.85">
      <c r="A546" s="20">
        <v>1</v>
      </c>
      <c r="B546" s="60">
        <f>SUBTOTAL(103,$A$22:A546)</f>
        <v>461</v>
      </c>
      <c r="C546" s="24" t="s">
        <v>220</v>
      </c>
      <c r="D546" s="31">
        <f>E546+F546+G546+H546+I546+J546+L546+N546+P546+R546+T546+U546+V546+W546+X546+Y546+Z546+AA546+AB546+AC546+AD546+AE546</f>
        <v>2426341.25</v>
      </c>
      <c r="E546" s="31">
        <v>0</v>
      </c>
      <c r="F546" s="31">
        <v>0</v>
      </c>
      <c r="G546" s="31">
        <v>0</v>
      </c>
      <c r="H546" s="31">
        <v>0</v>
      </c>
      <c r="I546" s="31">
        <v>0</v>
      </c>
      <c r="J546" s="31">
        <v>0</v>
      </c>
      <c r="K546" s="67">
        <v>0</v>
      </c>
      <c r="L546" s="31">
        <v>0</v>
      </c>
      <c r="M546" s="38">
        <v>618.67999999999995</v>
      </c>
      <c r="N546" s="38">
        <v>2339117.9900000002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  <c r="AC546" s="38">
        <v>32806.129999999997</v>
      </c>
      <c r="AD546" s="38">
        <v>54417.13</v>
      </c>
      <c r="AE546" s="31">
        <v>0</v>
      </c>
      <c r="AF546" s="33">
        <v>2020</v>
      </c>
      <c r="AG546" s="33">
        <v>2020</v>
      </c>
      <c r="AH546" s="34">
        <v>2020</v>
      </c>
      <c r="AT546" s="20" t="e">
        <f t="shared" si="115"/>
        <v>#N/A</v>
      </c>
      <c r="BZ546" s="64"/>
      <c r="CD546" s="20">
        <f t="shared" si="114"/>
        <v>615.20000000000005</v>
      </c>
    </row>
    <row r="547" spans="1:82" ht="61.5" x14ac:dyDescent="0.85">
      <c r="A547" s="20">
        <v>1</v>
      </c>
      <c r="B547" s="60">
        <f>SUBTOTAL(103,$A$22:A547)</f>
        <v>462</v>
      </c>
      <c r="C547" s="24" t="s">
        <v>225</v>
      </c>
      <c r="D547" s="31">
        <f>E547+F547+G547+H547+I547+J547+L547+N547+P547+R547+T547+U547+V547+W547+X547+Y547+Z547+AA547+AB547+AC547+AD547+AE547</f>
        <v>112884.08</v>
      </c>
      <c r="E547" s="31">
        <v>0</v>
      </c>
      <c r="F547" s="31">
        <v>0</v>
      </c>
      <c r="G547" s="31">
        <v>0</v>
      </c>
      <c r="H547" s="31">
        <v>0</v>
      </c>
      <c r="I547" s="31">
        <v>0</v>
      </c>
      <c r="J547" s="31">
        <v>0</v>
      </c>
      <c r="K547" s="67">
        <v>0</v>
      </c>
      <c r="L547" s="31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  <c r="AC547" s="31">
        <f>ROUND(U547*1.5%,2)</f>
        <v>0</v>
      </c>
      <c r="AD547" s="38">
        <v>112884.08</v>
      </c>
      <c r="AE547" s="31">
        <v>0</v>
      </c>
      <c r="AF547" s="33">
        <v>2020</v>
      </c>
      <c r="AG547" s="33" t="s">
        <v>268</v>
      </c>
      <c r="AH547" s="33" t="s">
        <v>268</v>
      </c>
      <c r="AT547" s="20" t="e">
        <f t="shared" si="115"/>
        <v>#N/A</v>
      </c>
      <c r="BZ547" s="64"/>
      <c r="CD547" s="20" t="e">
        <f t="shared" si="114"/>
        <v>#N/A</v>
      </c>
    </row>
    <row r="548" spans="1:82" ht="61.5" x14ac:dyDescent="0.85">
      <c r="A548" s="20">
        <v>1</v>
      </c>
      <c r="B548" s="60">
        <f>SUBTOTAL(103,$A$22:A548)</f>
        <v>463</v>
      </c>
      <c r="C548" s="24" t="s">
        <v>1088</v>
      </c>
      <c r="D548" s="31">
        <f>E548+F548+G548+H548+I548+J548+L548+N548+P548+R548+T548+U548+V548+W548+X548+Y548+Z548+AA548+AB548+AC548+AD548+AE548</f>
        <v>930608.30999999994</v>
      </c>
      <c r="E548" s="31">
        <v>0</v>
      </c>
      <c r="F548" s="31">
        <v>0</v>
      </c>
      <c r="G548" s="31">
        <v>0</v>
      </c>
      <c r="H548" s="31">
        <v>0</v>
      </c>
      <c r="I548" s="31">
        <v>0</v>
      </c>
      <c r="J548" s="31">
        <v>0</v>
      </c>
      <c r="K548" s="67">
        <v>0</v>
      </c>
      <c r="L548" s="31">
        <v>0</v>
      </c>
      <c r="M548" s="38">
        <v>191.4</v>
      </c>
      <c r="N548" s="144">
        <v>875542.21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  <c r="AC548" s="38">
        <v>12237.4</v>
      </c>
      <c r="AD548" s="38">
        <v>42828.7</v>
      </c>
      <c r="AE548" s="31">
        <v>0</v>
      </c>
      <c r="AF548" s="33">
        <v>2020</v>
      </c>
      <c r="AG548" s="33">
        <v>2020</v>
      </c>
      <c r="AH548" s="34">
        <v>2020</v>
      </c>
      <c r="AT548" s="20" t="e">
        <f t="shared" si="115"/>
        <v>#N/A</v>
      </c>
      <c r="BZ548" s="64"/>
      <c r="CD548" s="20" t="e">
        <f t="shared" si="114"/>
        <v>#N/A</v>
      </c>
    </row>
    <row r="549" spans="1:82" ht="61.5" x14ac:dyDescent="0.85">
      <c r="A549" s="20">
        <v>1</v>
      </c>
      <c r="B549" s="60">
        <f>SUBTOTAL(103,$A$22:A549)</f>
        <v>464</v>
      </c>
      <c r="C549" s="24" t="s">
        <v>224</v>
      </c>
      <c r="D549" s="31">
        <f>E549+F549+G549+H549+I549+J549+L549+N549+P549+R549+T549+U549+V549+W549+X549+Y549+Z549+AA549+AB549+AC549+AD549+AE549</f>
        <v>36456.78</v>
      </c>
      <c r="E549" s="31">
        <v>0</v>
      </c>
      <c r="F549" s="31">
        <v>0</v>
      </c>
      <c r="G549" s="31">
        <v>0</v>
      </c>
      <c r="H549" s="31">
        <v>0</v>
      </c>
      <c r="I549" s="31">
        <v>0</v>
      </c>
      <c r="J549" s="31">
        <v>0</v>
      </c>
      <c r="K549" s="67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  <c r="AC549" s="31">
        <v>0</v>
      </c>
      <c r="AD549" s="31">
        <v>36456.78</v>
      </c>
      <c r="AE549" s="31">
        <v>0</v>
      </c>
      <c r="AF549" s="33">
        <v>2020</v>
      </c>
      <c r="AG549" s="33" t="s">
        <v>268</v>
      </c>
      <c r="AH549" s="33" t="s">
        <v>268</v>
      </c>
      <c r="AT549" s="20" t="e">
        <v>#N/A</v>
      </c>
      <c r="BZ549" s="64"/>
      <c r="CD549" s="20" t="e">
        <v>#N/A</v>
      </c>
    </row>
    <row r="550" spans="1:82" ht="61.5" x14ac:dyDescent="0.85">
      <c r="B550" s="24" t="s">
        <v>864</v>
      </c>
      <c r="C550" s="24"/>
      <c r="D550" s="199">
        <f t="shared" ref="D550:AE550" si="117">SUM(D551:D552)</f>
        <v>735510.79</v>
      </c>
      <c r="E550" s="31">
        <f t="shared" si="117"/>
        <v>0</v>
      </c>
      <c r="F550" s="31">
        <f t="shared" si="117"/>
        <v>0</v>
      </c>
      <c r="G550" s="31">
        <f t="shared" si="117"/>
        <v>0</v>
      </c>
      <c r="H550" s="31">
        <f t="shared" si="117"/>
        <v>0</v>
      </c>
      <c r="I550" s="31">
        <f t="shared" si="117"/>
        <v>0</v>
      </c>
      <c r="J550" s="31">
        <f t="shared" si="117"/>
        <v>0</v>
      </c>
      <c r="K550" s="67">
        <f t="shared" si="117"/>
        <v>0</v>
      </c>
      <c r="L550" s="31">
        <f t="shared" si="117"/>
        <v>0</v>
      </c>
      <c r="M550" s="31">
        <f t="shared" si="117"/>
        <v>0</v>
      </c>
      <c r="N550" s="31">
        <f t="shared" si="117"/>
        <v>0</v>
      </c>
      <c r="O550" s="31">
        <f t="shared" si="117"/>
        <v>263.2</v>
      </c>
      <c r="P550" s="31">
        <f t="shared" si="117"/>
        <v>423511.37</v>
      </c>
      <c r="Q550" s="31">
        <f t="shared" si="117"/>
        <v>582.4</v>
      </c>
      <c r="R550" s="31">
        <f t="shared" si="117"/>
        <v>301826.55</v>
      </c>
      <c r="S550" s="31">
        <f t="shared" si="117"/>
        <v>0</v>
      </c>
      <c r="T550" s="31">
        <f t="shared" si="117"/>
        <v>0</v>
      </c>
      <c r="U550" s="31">
        <f t="shared" si="117"/>
        <v>0</v>
      </c>
      <c r="V550" s="31">
        <f t="shared" si="117"/>
        <v>0</v>
      </c>
      <c r="W550" s="31">
        <f t="shared" si="117"/>
        <v>0</v>
      </c>
      <c r="X550" s="31">
        <f t="shared" si="117"/>
        <v>0</v>
      </c>
      <c r="Y550" s="31">
        <f t="shared" si="117"/>
        <v>0</v>
      </c>
      <c r="Z550" s="31">
        <f t="shared" si="117"/>
        <v>0</v>
      </c>
      <c r="AA550" s="31">
        <f t="shared" si="117"/>
        <v>0</v>
      </c>
      <c r="AB550" s="31">
        <f t="shared" si="117"/>
        <v>0</v>
      </c>
      <c r="AC550" s="31">
        <f t="shared" si="117"/>
        <v>10172.869999999999</v>
      </c>
      <c r="AD550" s="31">
        <f t="shared" si="117"/>
        <v>0</v>
      </c>
      <c r="AE550" s="31">
        <f t="shared" si="117"/>
        <v>0</v>
      </c>
      <c r="AF550" s="65" t="s">
        <v>751</v>
      </c>
      <c r="AG550" s="65" t="s">
        <v>751</v>
      </c>
      <c r="AH550" s="79" t="s">
        <v>751</v>
      </c>
      <c r="AT550" s="20" t="e">
        <f>VLOOKUP(C550,AW:AX,2,FALSE)</f>
        <v>#N/A</v>
      </c>
      <c r="BZ550" s="64">
        <v>786720.65</v>
      </c>
      <c r="CB550" s="64">
        <f>BZ550-D550</f>
        <v>51209.859999999986</v>
      </c>
      <c r="CD550" s="20" t="e">
        <f>VLOOKUP(C550,CE:CF,2,FALSE)</f>
        <v>#N/A</v>
      </c>
    </row>
    <row r="551" spans="1:82" ht="61.5" x14ac:dyDescent="0.85">
      <c r="A551" s="20">
        <v>1</v>
      </c>
      <c r="B551" s="60">
        <f>SUBTOTAL(103,$A$22:A551)</f>
        <v>465</v>
      </c>
      <c r="C551" s="24" t="s">
        <v>1286</v>
      </c>
      <c r="D551" s="31">
        <f>E551+F551+G551+H551+I551+J551+L551+N551+P551+R551+T551+U551+V551+W551+X551+Y551+Z551+AA551+AB551+AC551+AD551+AE551</f>
        <v>306059.67</v>
      </c>
      <c r="E551" s="31">
        <v>0</v>
      </c>
      <c r="F551" s="31">
        <v>0</v>
      </c>
      <c r="G551" s="31">
        <v>0</v>
      </c>
      <c r="H551" s="31">
        <v>0</v>
      </c>
      <c r="I551" s="31">
        <v>0</v>
      </c>
      <c r="J551" s="31">
        <v>0</v>
      </c>
      <c r="K551" s="67">
        <v>0</v>
      </c>
      <c r="L551" s="31">
        <v>0</v>
      </c>
      <c r="M551" s="31">
        <v>0</v>
      </c>
      <c r="N551" s="31">
        <v>0</v>
      </c>
      <c r="O551" s="31">
        <v>0</v>
      </c>
      <c r="P551" s="31">
        <v>0</v>
      </c>
      <c r="Q551" s="38">
        <v>582.4</v>
      </c>
      <c r="R551" s="38">
        <v>301826.55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  <c r="AA551" s="31">
        <v>0</v>
      </c>
      <c r="AB551" s="31">
        <v>0</v>
      </c>
      <c r="AC551" s="38">
        <v>4233.12</v>
      </c>
      <c r="AD551" s="31">
        <v>0</v>
      </c>
      <c r="AE551" s="31">
        <v>0</v>
      </c>
      <c r="AF551" s="33" t="s">
        <v>268</v>
      </c>
      <c r="AG551" s="33">
        <v>2020</v>
      </c>
      <c r="AH551" s="34">
        <v>2020</v>
      </c>
      <c r="BZ551" s="64"/>
      <c r="CD551" s="20" t="e">
        <f>VLOOKUP(C551,CE:CF,2,FALSE)</f>
        <v>#N/A</v>
      </c>
    </row>
    <row r="552" spans="1:82" ht="61.5" x14ac:dyDescent="0.85">
      <c r="A552" s="20">
        <v>1</v>
      </c>
      <c r="B552" s="60">
        <f>SUBTOTAL(103,$A$22:A552)</f>
        <v>466</v>
      </c>
      <c r="C552" s="24" t="s">
        <v>1287</v>
      </c>
      <c r="D552" s="31">
        <f>E552+F552+G552+H552+I552+J552+L552+N552+P552+R552+T552+U552+V552+W552+X552+Y552+Z552+AA552+AB552+AC552+AD552+AE552</f>
        <v>429451.12</v>
      </c>
      <c r="E552" s="31">
        <v>0</v>
      </c>
      <c r="F552" s="31">
        <v>0</v>
      </c>
      <c r="G552" s="31">
        <v>0</v>
      </c>
      <c r="H552" s="31">
        <v>0</v>
      </c>
      <c r="I552" s="31">
        <v>0</v>
      </c>
      <c r="J552" s="31">
        <v>0</v>
      </c>
      <c r="K552" s="67">
        <v>0</v>
      </c>
      <c r="L552" s="31">
        <v>0</v>
      </c>
      <c r="M552" s="31">
        <v>0</v>
      </c>
      <c r="N552" s="31">
        <v>0</v>
      </c>
      <c r="O552" s="38">
        <v>263.2</v>
      </c>
      <c r="P552" s="38">
        <v>423511.37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  <c r="AC552" s="38">
        <v>5939.75</v>
      </c>
      <c r="AD552" s="31">
        <v>0</v>
      </c>
      <c r="AE552" s="31">
        <v>0</v>
      </c>
      <c r="AF552" s="33" t="s">
        <v>268</v>
      </c>
      <c r="AG552" s="33">
        <v>2020</v>
      </c>
      <c r="AH552" s="34">
        <v>2020</v>
      </c>
      <c r="BZ552" s="64"/>
      <c r="CD552" s="20" t="e">
        <f>VLOOKUP(C552,CE:CF,2,FALSE)</f>
        <v>#N/A</v>
      </c>
    </row>
    <row r="553" spans="1:82" ht="61.5" x14ac:dyDescent="0.85">
      <c r="B553" s="24" t="s">
        <v>865</v>
      </c>
      <c r="C553" s="24"/>
      <c r="D553" s="199">
        <f>SUM(D554:D555)</f>
        <v>1268994.68</v>
      </c>
      <c r="E553" s="31">
        <f t="shared" ref="E553:AE553" si="118">SUM(E554:E555)</f>
        <v>0</v>
      </c>
      <c r="F553" s="31">
        <f t="shared" si="118"/>
        <v>0</v>
      </c>
      <c r="G553" s="31">
        <f t="shared" si="118"/>
        <v>0</v>
      </c>
      <c r="H553" s="31">
        <f t="shared" si="118"/>
        <v>0</v>
      </c>
      <c r="I553" s="31">
        <f t="shared" si="118"/>
        <v>0</v>
      </c>
      <c r="J553" s="31">
        <f t="shared" si="118"/>
        <v>0</v>
      </c>
      <c r="K553" s="67">
        <f t="shared" si="118"/>
        <v>0</v>
      </c>
      <c r="L553" s="31">
        <f t="shared" si="118"/>
        <v>0</v>
      </c>
      <c r="M553" s="31">
        <f t="shared" si="118"/>
        <v>297</v>
      </c>
      <c r="N553" s="31">
        <f t="shared" si="118"/>
        <v>1177854.29</v>
      </c>
      <c r="O553" s="31">
        <f t="shared" si="118"/>
        <v>0</v>
      </c>
      <c r="P553" s="31">
        <f t="shared" si="118"/>
        <v>0</v>
      </c>
      <c r="Q553" s="31">
        <f t="shared" si="118"/>
        <v>0</v>
      </c>
      <c r="R553" s="31">
        <f t="shared" si="118"/>
        <v>0</v>
      </c>
      <c r="S553" s="31">
        <f t="shared" si="118"/>
        <v>0</v>
      </c>
      <c r="T553" s="31">
        <f t="shared" si="118"/>
        <v>0</v>
      </c>
      <c r="U553" s="31">
        <f t="shared" si="118"/>
        <v>0</v>
      </c>
      <c r="V553" s="31">
        <f t="shared" si="118"/>
        <v>0</v>
      </c>
      <c r="W553" s="31">
        <f t="shared" si="118"/>
        <v>0</v>
      </c>
      <c r="X553" s="31">
        <f t="shared" si="118"/>
        <v>0</v>
      </c>
      <c r="Y553" s="31">
        <f t="shared" si="118"/>
        <v>0</v>
      </c>
      <c r="Z553" s="31">
        <f t="shared" si="118"/>
        <v>0</v>
      </c>
      <c r="AA553" s="31">
        <f t="shared" si="118"/>
        <v>0</v>
      </c>
      <c r="AB553" s="31">
        <f t="shared" si="118"/>
        <v>0</v>
      </c>
      <c r="AC553" s="31">
        <f t="shared" si="118"/>
        <v>16519.41</v>
      </c>
      <c r="AD553" s="31">
        <f t="shared" si="118"/>
        <v>74620.98</v>
      </c>
      <c r="AE553" s="31">
        <f t="shared" si="118"/>
        <v>0</v>
      </c>
      <c r="AF553" s="65" t="s">
        <v>751</v>
      </c>
      <c r="AG553" s="65" t="s">
        <v>751</v>
      </c>
      <c r="AH553" s="79" t="s">
        <v>751</v>
      </c>
      <c r="AT553" s="20" t="e">
        <f>VLOOKUP(C553,AW:AX,2,FALSE)</f>
        <v>#N/A</v>
      </c>
      <c r="BZ553" s="31">
        <v>1568000</v>
      </c>
      <c r="CA553" s="31"/>
      <c r="CB553" s="31">
        <f>BZ553-D553</f>
        <v>299005.32000000007</v>
      </c>
      <c r="CD553" s="20" t="e">
        <f>VLOOKUP(C553,CE:CF,2,FALSE)</f>
        <v>#N/A</v>
      </c>
    </row>
    <row r="554" spans="1:82" ht="61.5" x14ac:dyDescent="0.85">
      <c r="A554" s="20">
        <v>1</v>
      </c>
      <c r="B554" s="60">
        <f>SUBTOTAL(103,$A$22:A554)</f>
        <v>467</v>
      </c>
      <c r="C554" s="24" t="s">
        <v>222</v>
      </c>
      <c r="D554" s="31">
        <f>E554+F554+G554+H554+I554+J554+L554+N554+P554+R554+T554+U554+V554+W554+X554+Y554+Z554+AA554+AB554+AC554+AD554+AE554</f>
        <v>1233277.05</v>
      </c>
      <c r="E554" s="31">
        <v>0</v>
      </c>
      <c r="F554" s="31">
        <v>0</v>
      </c>
      <c r="G554" s="31">
        <v>0</v>
      </c>
      <c r="H554" s="31">
        <v>0</v>
      </c>
      <c r="I554" s="31">
        <v>0</v>
      </c>
      <c r="J554" s="31">
        <v>0</v>
      </c>
      <c r="K554" s="67">
        <v>0</v>
      </c>
      <c r="L554" s="31">
        <v>0</v>
      </c>
      <c r="M554" s="38">
        <v>297</v>
      </c>
      <c r="N554" s="38">
        <v>1177854.29</v>
      </c>
      <c r="O554" s="31">
        <v>0</v>
      </c>
      <c r="P554" s="31">
        <v>0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31">
        <v>0</v>
      </c>
      <c r="Y554" s="31">
        <v>0</v>
      </c>
      <c r="Z554" s="31">
        <v>0</v>
      </c>
      <c r="AA554" s="31">
        <v>0</v>
      </c>
      <c r="AB554" s="31">
        <v>0</v>
      </c>
      <c r="AC554" s="38">
        <v>16519.41</v>
      </c>
      <c r="AD554" s="38">
        <v>38903.35</v>
      </c>
      <c r="AE554" s="31">
        <v>0</v>
      </c>
      <c r="AF554" s="33">
        <v>2020</v>
      </c>
      <c r="AG554" s="33">
        <v>2020</v>
      </c>
      <c r="AH554" s="34">
        <v>2020</v>
      </c>
      <c r="AT554" s="20" t="e">
        <f>VLOOKUP(C554,AW:AX,2,FALSE)</f>
        <v>#N/A</v>
      </c>
      <c r="BZ554" s="64"/>
      <c r="CD554" s="20">
        <f>VLOOKUP(C554,CE:CF,2,FALSE)</f>
        <v>289.86</v>
      </c>
    </row>
    <row r="555" spans="1:82" ht="61.5" x14ac:dyDescent="0.85">
      <c r="A555" s="20">
        <v>1</v>
      </c>
      <c r="B555" s="60">
        <f>SUBTOTAL(103,$A$22:A555)</f>
        <v>468</v>
      </c>
      <c r="C555" s="24" t="s">
        <v>218</v>
      </c>
      <c r="D555" s="31">
        <f>E555+F555+G555+H555+I555+J555+L555+N555+P555+R555+T555+U555+V555+W555+X555+Y555+Z555+AA555+AB555+AC555+AD555+AE555</f>
        <v>35717.629999999997</v>
      </c>
      <c r="E555" s="31">
        <v>0</v>
      </c>
      <c r="F555" s="31">
        <v>0</v>
      </c>
      <c r="G555" s="31">
        <v>0</v>
      </c>
      <c r="H555" s="31">
        <v>0</v>
      </c>
      <c r="I555" s="31">
        <v>0</v>
      </c>
      <c r="J555" s="31">
        <v>0</v>
      </c>
      <c r="K555" s="67">
        <v>0</v>
      </c>
      <c r="L555" s="31">
        <v>0</v>
      </c>
      <c r="M555" s="31">
        <v>0</v>
      </c>
      <c r="N555" s="31">
        <v>0</v>
      </c>
      <c r="O555" s="31">
        <v>0</v>
      </c>
      <c r="P555" s="31">
        <v>0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0</v>
      </c>
      <c r="AC555" s="31">
        <f>ROUND(N555*1.5%,2)</f>
        <v>0</v>
      </c>
      <c r="AD555" s="31">
        <v>35717.629999999997</v>
      </c>
      <c r="AE555" s="31">
        <v>0</v>
      </c>
      <c r="AF555" s="33">
        <v>2020</v>
      </c>
      <c r="AG555" s="33" t="s">
        <v>268</v>
      </c>
      <c r="AH555" s="33" t="s">
        <v>268</v>
      </c>
      <c r="AT555" s="20" t="e">
        <v>#N/A</v>
      </c>
      <c r="BZ555" s="64"/>
      <c r="CD555" s="20" t="e">
        <v>#N/A</v>
      </c>
    </row>
    <row r="556" spans="1:82" ht="61.5" x14ac:dyDescent="0.85">
      <c r="B556" s="24" t="s">
        <v>754</v>
      </c>
      <c r="C556" s="24"/>
      <c r="D556" s="199">
        <f t="shared" ref="D556:AE556" si="119">D557+D647+D679+D723+D752+D765+D792+D800+D807+D812+D814+D817+D819+D821+D838+D849+D855+D859+D861+D863+D865+D867+D874+D890+D894+D897+D900+D903+D912+D916+D918+D925+D927+D929+D931+D936+D939+D945+D949+D951+D960+D966+D969+D971+D975+D979+D985+D992+D996+D998+D1002+D1004+D1012+D1016+D1024+D1030+D1014+D852+D872+D887+D964+D973+D1000+D1032+D857+D1010+D923</f>
        <v>1533901394.6799998</v>
      </c>
      <c r="E556" s="31">
        <f t="shared" si="119"/>
        <v>5025151.3899999997</v>
      </c>
      <c r="F556" s="31">
        <f t="shared" si="119"/>
        <v>6376262.6000000006</v>
      </c>
      <c r="G556" s="31">
        <f t="shared" si="119"/>
        <v>43097742.369999997</v>
      </c>
      <c r="H556" s="31">
        <f t="shared" si="119"/>
        <v>12064512.91</v>
      </c>
      <c r="I556" s="31">
        <f t="shared" si="119"/>
        <v>23879049.619999997</v>
      </c>
      <c r="J556" s="31">
        <f t="shared" si="119"/>
        <v>0</v>
      </c>
      <c r="K556" s="69">
        <f t="shared" si="119"/>
        <v>80</v>
      </c>
      <c r="L556" s="31">
        <f t="shared" si="119"/>
        <v>177432885.28999999</v>
      </c>
      <c r="M556" s="31">
        <f t="shared" si="119"/>
        <v>214997.09999999998</v>
      </c>
      <c r="N556" s="31">
        <f t="shared" si="119"/>
        <v>1005955800.08</v>
      </c>
      <c r="O556" s="31">
        <f t="shared" si="119"/>
        <v>1058</v>
      </c>
      <c r="P556" s="31">
        <f t="shared" si="119"/>
        <v>2360078.6100000003</v>
      </c>
      <c r="Q556" s="31">
        <f t="shared" si="119"/>
        <v>52306.979999999981</v>
      </c>
      <c r="R556" s="31">
        <f t="shared" si="119"/>
        <v>146601860.01000002</v>
      </c>
      <c r="S556" s="31">
        <f t="shared" si="119"/>
        <v>674.8</v>
      </c>
      <c r="T556" s="31">
        <f t="shared" si="119"/>
        <v>13382541.470000001</v>
      </c>
      <c r="U556" s="31">
        <f t="shared" si="119"/>
        <v>46641220.150000006</v>
      </c>
      <c r="V556" s="31">
        <f t="shared" si="119"/>
        <v>210000</v>
      </c>
      <c r="W556" s="31">
        <f t="shared" si="119"/>
        <v>0</v>
      </c>
      <c r="X556" s="31">
        <f t="shared" si="119"/>
        <v>0</v>
      </c>
      <c r="Y556" s="31">
        <f t="shared" si="119"/>
        <v>0</v>
      </c>
      <c r="Z556" s="31">
        <f t="shared" si="119"/>
        <v>0</v>
      </c>
      <c r="AA556" s="31">
        <f t="shared" si="119"/>
        <v>400000</v>
      </c>
      <c r="AB556" s="31">
        <f t="shared" si="119"/>
        <v>0</v>
      </c>
      <c r="AC556" s="31">
        <f t="shared" si="119"/>
        <v>19108760.609999999</v>
      </c>
      <c r="AD556" s="31">
        <f t="shared" si="119"/>
        <v>29325529.569999997</v>
      </c>
      <c r="AE556" s="31">
        <f t="shared" si="119"/>
        <v>2040000</v>
      </c>
      <c r="AF556" s="65" t="s">
        <v>751</v>
      </c>
      <c r="AG556" s="65" t="s">
        <v>751</v>
      </c>
      <c r="AH556" s="79" t="s">
        <v>751</v>
      </c>
      <c r="AT556" s="20" t="e">
        <f>VLOOKUP(C556,AW:AX,2,FALSE)</f>
        <v>#N/A</v>
      </c>
      <c r="BZ556" s="64">
        <v>799638471.25999999</v>
      </c>
      <c r="CD556" s="20" t="e">
        <f t="shared" ref="CD556:CD587" si="120">VLOOKUP(C556,CE:CF,2,FALSE)</f>
        <v>#N/A</v>
      </c>
    </row>
    <row r="557" spans="1:82" ht="61.5" x14ac:dyDescent="0.85">
      <c r="B557" s="24" t="s">
        <v>1087</v>
      </c>
      <c r="C557" s="198"/>
      <c r="D557" s="199">
        <f t="shared" ref="D557:AE557" si="121">SUM(D558:D646)</f>
        <v>299889783.23999983</v>
      </c>
      <c r="E557" s="31">
        <f t="shared" si="121"/>
        <v>102509.44</v>
      </c>
      <c r="F557" s="31">
        <f t="shared" si="121"/>
        <v>0</v>
      </c>
      <c r="G557" s="31">
        <f t="shared" si="121"/>
        <v>600000</v>
      </c>
      <c r="H557" s="31">
        <f t="shared" si="121"/>
        <v>115886.17</v>
      </c>
      <c r="I557" s="31">
        <f t="shared" si="121"/>
        <v>0</v>
      </c>
      <c r="J557" s="31">
        <f t="shared" si="121"/>
        <v>0</v>
      </c>
      <c r="K557" s="67">
        <f t="shared" si="121"/>
        <v>8</v>
      </c>
      <c r="L557" s="31">
        <f t="shared" si="121"/>
        <v>16127006.109999999</v>
      </c>
      <c r="M557" s="31">
        <f t="shared" si="121"/>
        <v>57114.819999999992</v>
      </c>
      <c r="N557" s="31">
        <f t="shared" si="121"/>
        <v>246210435.94</v>
      </c>
      <c r="O557" s="31">
        <f t="shared" si="121"/>
        <v>1058</v>
      </c>
      <c r="P557" s="31">
        <f t="shared" si="121"/>
        <v>2360078.6100000003</v>
      </c>
      <c r="Q557" s="31">
        <f t="shared" si="121"/>
        <v>10006.779999999999</v>
      </c>
      <c r="R557" s="31">
        <f t="shared" si="121"/>
        <v>26568861.460000001</v>
      </c>
      <c r="S557" s="31">
        <f t="shared" si="121"/>
        <v>0</v>
      </c>
      <c r="T557" s="31">
        <f t="shared" si="121"/>
        <v>0</v>
      </c>
      <c r="U557" s="31">
        <f t="shared" si="121"/>
        <v>0</v>
      </c>
      <c r="V557" s="31">
        <f t="shared" si="121"/>
        <v>0</v>
      </c>
      <c r="W557" s="31">
        <f t="shared" si="121"/>
        <v>0</v>
      </c>
      <c r="X557" s="31">
        <f t="shared" si="121"/>
        <v>0</v>
      </c>
      <c r="Y557" s="31">
        <f t="shared" si="121"/>
        <v>0</v>
      </c>
      <c r="Z557" s="31">
        <f t="shared" si="121"/>
        <v>0</v>
      </c>
      <c r="AA557" s="31">
        <f t="shared" si="121"/>
        <v>0</v>
      </c>
      <c r="AB557" s="31">
        <f t="shared" si="121"/>
        <v>0</v>
      </c>
      <c r="AC557" s="31">
        <f t="shared" si="121"/>
        <v>4035077.3699999992</v>
      </c>
      <c r="AD557" s="31">
        <f t="shared" si="121"/>
        <v>3769928.1400000006</v>
      </c>
      <c r="AE557" s="31">
        <f t="shared" si="121"/>
        <v>0</v>
      </c>
      <c r="AF557" s="65" t="s">
        <v>751</v>
      </c>
      <c r="AG557" s="65" t="s">
        <v>751</v>
      </c>
      <c r="AH557" s="79" t="s">
        <v>751</v>
      </c>
      <c r="AT557" s="20" t="e">
        <f>VLOOKUP(C557,AW:AX,2,FALSE)</f>
        <v>#N/A</v>
      </c>
      <c r="BZ557" s="64">
        <v>225509821.20999989</v>
      </c>
      <c r="CD557" s="20" t="e">
        <f t="shared" si="120"/>
        <v>#N/A</v>
      </c>
    </row>
    <row r="558" spans="1:82" ht="61.5" x14ac:dyDescent="0.85">
      <c r="A558" s="20">
        <v>1</v>
      </c>
      <c r="B558" s="60">
        <f>SUBTOTAL(103,$A$558:A558)</f>
        <v>1</v>
      </c>
      <c r="C558" s="24" t="s">
        <v>529</v>
      </c>
      <c r="D558" s="31">
        <f t="shared" ref="D558:D638" si="122">E558+F558+G558+H558+I558+J558+L558+N558+P558+R558+T558+U558+V558+W558+X558+Y558+Z558+AA558+AB558+AC558+AD558+AE558</f>
        <v>4549307.4399999995</v>
      </c>
      <c r="E558" s="31">
        <v>0</v>
      </c>
      <c r="F558" s="31">
        <v>0</v>
      </c>
      <c r="G558" s="31">
        <v>0</v>
      </c>
      <c r="H558" s="31">
        <v>0</v>
      </c>
      <c r="I558" s="31">
        <v>0</v>
      </c>
      <c r="J558" s="31">
        <v>0</v>
      </c>
      <c r="K558" s="67">
        <v>0</v>
      </c>
      <c r="L558" s="31">
        <v>0</v>
      </c>
      <c r="M558" s="31">
        <v>960</v>
      </c>
      <c r="N558" s="31">
        <v>4383570.43</v>
      </c>
      <c r="O558" s="31">
        <v>0</v>
      </c>
      <c r="P558" s="31">
        <v>0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  <c r="AA558" s="31">
        <v>0</v>
      </c>
      <c r="AB558" s="31">
        <v>0</v>
      </c>
      <c r="AC558" s="31">
        <v>65753.56</v>
      </c>
      <c r="AD558" s="31">
        <v>99983.45</v>
      </c>
      <c r="AE558" s="31">
        <v>0</v>
      </c>
      <c r="AF558" s="33">
        <v>2021</v>
      </c>
      <c r="AG558" s="33">
        <v>2021</v>
      </c>
      <c r="AH558" s="34">
        <v>2021</v>
      </c>
      <c r="AT558" s="20" t="e">
        <f>VLOOKUP(C558,AW:AX,2,FALSE)</f>
        <v>#N/A</v>
      </c>
      <c r="BZ558" s="64"/>
      <c r="CD558" s="20" t="e">
        <f t="shared" si="120"/>
        <v>#N/A</v>
      </c>
    </row>
    <row r="559" spans="1:82" ht="61.5" x14ac:dyDescent="0.85">
      <c r="A559" s="20">
        <v>1</v>
      </c>
      <c r="B559" s="60">
        <f>SUBTOTAL(103,$A$558:A559)</f>
        <v>2</v>
      </c>
      <c r="C559" s="24" t="s">
        <v>530</v>
      </c>
      <c r="D559" s="31">
        <f t="shared" si="122"/>
        <v>4549313.9099999992</v>
      </c>
      <c r="E559" s="31">
        <v>0</v>
      </c>
      <c r="F559" s="31">
        <v>0</v>
      </c>
      <c r="G559" s="31">
        <v>0</v>
      </c>
      <c r="H559" s="31">
        <v>0</v>
      </c>
      <c r="I559" s="31">
        <v>0</v>
      </c>
      <c r="J559" s="31">
        <v>0</v>
      </c>
      <c r="K559" s="67">
        <v>0</v>
      </c>
      <c r="L559" s="31">
        <v>0</v>
      </c>
      <c r="M559" s="31">
        <v>960</v>
      </c>
      <c r="N559" s="31">
        <v>4383570.43</v>
      </c>
      <c r="O559" s="31">
        <v>0</v>
      </c>
      <c r="P559" s="31">
        <v>0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0</v>
      </c>
      <c r="AB559" s="31">
        <v>0</v>
      </c>
      <c r="AC559" s="31">
        <v>65753.56</v>
      </c>
      <c r="AD559" s="31">
        <v>99989.92</v>
      </c>
      <c r="AE559" s="31">
        <v>0</v>
      </c>
      <c r="AF559" s="33">
        <v>2021</v>
      </c>
      <c r="AG559" s="33">
        <v>2021</v>
      </c>
      <c r="AH559" s="34">
        <v>2021</v>
      </c>
      <c r="AT559" s="20" t="e">
        <f>VLOOKUP(C559,AW:AX,2,FALSE)</f>
        <v>#N/A</v>
      </c>
      <c r="BZ559" s="64"/>
      <c r="CD559" s="20" t="e">
        <f t="shared" si="120"/>
        <v>#N/A</v>
      </c>
    </row>
    <row r="560" spans="1:82" ht="61.5" x14ac:dyDescent="0.85">
      <c r="A560" s="20">
        <v>1</v>
      </c>
      <c r="B560" s="60">
        <f>SUBTOTAL(103,$A$558:A560)</f>
        <v>3</v>
      </c>
      <c r="C560" s="24" t="s">
        <v>531</v>
      </c>
      <c r="D560" s="31">
        <f t="shared" si="122"/>
        <v>1761025</v>
      </c>
      <c r="E560" s="31">
        <v>0</v>
      </c>
      <c r="F560" s="31">
        <v>0</v>
      </c>
      <c r="G560" s="31">
        <v>0</v>
      </c>
      <c r="H560" s="31">
        <v>0</v>
      </c>
      <c r="I560" s="31">
        <v>0</v>
      </c>
      <c r="J560" s="31">
        <v>0</v>
      </c>
      <c r="K560" s="67">
        <v>0</v>
      </c>
      <c r="L560" s="31">
        <v>0</v>
      </c>
      <c r="M560" s="31">
        <v>657.1</v>
      </c>
      <c r="N560" s="31">
        <v>1735000</v>
      </c>
      <c r="O560" s="31">
        <v>0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  <c r="AA560" s="31">
        <v>0</v>
      </c>
      <c r="AB560" s="31">
        <v>0</v>
      </c>
      <c r="AC560" s="31">
        <v>26025</v>
      </c>
      <c r="AD560" s="31">
        <v>0</v>
      </c>
      <c r="AE560" s="31">
        <v>0</v>
      </c>
      <c r="AF560" s="33" t="s">
        <v>268</v>
      </c>
      <c r="AG560" s="33">
        <v>2021</v>
      </c>
      <c r="AH560" s="34">
        <v>2021</v>
      </c>
      <c r="BZ560" s="64"/>
      <c r="CD560" s="20" t="e">
        <f t="shared" si="120"/>
        <v>#N/A</v>
      </c>
    </row>
    <row r="561" spans="1:82" ht="61.5" x14ac:dyDescent="0.85">
      <c r="A561" s="20">
        <v>1</v>
      </c>
      <c r="B561" s="60">
        <f>SUBTOTAL(103,$A$558:A561)</f>
        <v>4</v>
      </c>
      <c r="C561" s="24" t="s">
        <v>535</v>
      </c>
      <c r="D561" s="31">
        <f t="shared" si="122"/>
        <v>4060000</v>
      </c>
      <c r="E561" s="31">
        <v>0</v>
      </c>
      <c r="F561" s="31">
        <v>0</v>
      </c>
      <c r="G561" s="31">
        <v>0</v>
      </c>
      <c r="H561" s="31">
        <v>0</v>
      </c>
      <c r="I561" s="31">
        <v>0</v>
      </c>
      <c r="J561" s="31">
        <v>0</v>
      </c>
      <c r="K561" s="67">
        <v>0</v>
      </c>
      <c r="L561" s="31">
        <v>0</v>
      </c>
      <c r="M561" s="31">
        <v>710</v>
      </c>
      <c r="N561" s="31">
        <v>4000000</v>
      </c>
      <c r="O561" s="31">
        <v>0</v>
      </c>
      <c r="P561" s="31">
        <v>0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0</v>
      </c>
      <c r="W561" s="31">
        <v>0</v>
      </c>
      <c r="X561" s="31">
        <v>0</v>
      </c>
      <c r="Y561" s="31">
        <v>0</v>
      </c>
      <c r="Z561" s="31">
        <v>0</v>
      </c>
      <c r="AA561" s="31">
        <v>0</v>
      </c>
      <c r="AB561" s="31">
        <v>0</v>
      </c>
      <c r="AC561" s="31">
        <v>60000</v>
      </c>
      <c r="AD561" s="31">
        <v>0</v>
      </c>
      <c r="AE561" s="31">
        <v>0</v>
      </c>
      <c r="AF561" s="33" t="s">
        <v>268</v>
      </c>
      <c r="AG561" s="33">
        <v>2021</v>
      </c>
      <c r="AH561" s="34">
        <v>2021</v>
      </c>
      <c r="AT561" s="20" t="e">
        <f t="shared" ref="AT561:AT571" si="123">VLOOKUP(C561,AW:AX,2,FALSE)</f>
        <v>#N/A</v>
      </c>
      <c r="BZ561" s="64"/>
      <c r="CD561" s="20" t="e">
        <f t="shared" si="120"/>
        <v>#N/A</v>
      </c>
    </row>
    <row r="562" spans="1:82" ht="61.5" x14ac:dyDescent="0.85">
      <c r="A562" s="20">
        <v>1</v>
      </c>
      <c r="B562" s="60">
        <f>SUBTOTAL(103,$A$558:A562)</f>
        <v>5</v>
      </c>
      <c r="C562" s="24" t="s">
        <v>536</v>
      </c>
      <c r="D562" s="31">
        <f t="shared" si="122"/>
        <v>2570383.31</v>
      </c>
      <c r="E562" s="31">
        <v>0</v>
      </c>
      <c r="F562" s="31">
        <v>0</v>
      </c>
      <c r="G562" s="31">
        <v>0</v>
      </c>
      <c r="H562" s="31">
        <v>0</v>
      </c>
      <c r="I562" s="31">
        <v>0</v>
      </c>
      <c r="J562" s="31">
        <v>0</v>
      </c>
      <c r="K562" s="67">
        <v>0</v>
      </c>
      <c r="L562" s="31">
        <v>0</v>
      </c>
      <c r="M562" s="31">
        <v>520</v>
      </c>
      <c r="N562" s="31">
        <v>2433875.1800000002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0</v>
      </c>
      <c r="AC562" s="31">
        <v>36508.129999999997</v>
      </c>
      <c r="AD562" s="31">
        <v>100000</v>
      </c>
      <c r="AE562" s="31">
        <v>0</v>
      </c>
      <c r="AF562" s="33">
        <v>2021</v>
      </c>
      <c r="AG562" s="33">
        <v>2021</v>
      </c>
      <c r="AH562" s="34">
        <v>2021</v>
      </c>
      <c r="AT562" s="20" t="e">
        <f t="shared" si="123"/>
        <v>#N/A</v>
      </c>
      <c r="BZ562" s="64"/>
      <c r="CD562" s="20" t="e">
        <f t="shared" si="120"/>
        <v>#N/A</v>
      </c>
    </row>
    <row r="563" spans="1:82" ht="61.5" x14ac:dyDescent="0.85">
      <c r="A563" s="20">
        <v>1</v>
      </c>
      <c r="B563" s="60">
        <f>SUBTOTAL(103,$A$558:A563)</f>
        <v>6</v>
      </c>
      <c r="C563" s="24" t="s">
        <v>537</v>
      </c>
      <c r="D563" s="31">
        <f t="shared" si="122"/>
        <v>4554037.87</v>
      </c>
      <c r="E563" s="31">
        <v>0</v>
      </c>
      <c r="F563" s="31">
        <v>0</v>
      </c>
      <c r="G563" s="31">
        <v>0</v>
      </c>
      <c r="H563" s="31">
        <v>0</v>
      </c>
      <c r="I563" s="31">
        <v>0</v>
      </c>
      <c r="J563" s="31">
        <v>0</v>
      </c>
      <c r="K563" s="67">
        <v>0</v>
      </c>
      <c r="L563" s="31">
        <v>0</v>
      </c>
      <c r="M563" s="31">
        <v>925.13</v>
      </c>
      <c r="N563" s="31">
        <v>4388214.6500000004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0</v>
      </c>
      <c r="AC563" s="31">
        <v>65823.22</v>
      </c>
      <c r="AD563" s="31">
        <v>100000</v>
      </c>
      <c r="AE563" s="31">
        <v>0</v>
      </c>
      <c r="AF563" s="33">
        <v>2021</v>
      </c>
      <c r="AG563" s="33">
        <v>2021</v>
      </c>
      <c r="AH563" s="34">
        <v>2021</v>
      </c>
      <c r="AT563" s="20" t="e">
        <f t="shared" si="123"/>
        <v>#N/A</v>
      </c>
      <c r="BZ563" s="64"/>
      <c r="CD563" s="20" t="e">
        <f t="shared" si="120"/>
        <v>#N/A</v>
      </c>
    </row>
    <row r="564" spans="1:82" ht="61.5" x14ac:dyDescent="0.85">
      <c r="A564" s="20">
        <v>1</v>
      </c>
      <c r="B564" s="60">
        <f>SUBTOTAL(103,$A$558:A564)</f>
        <v>7</v>
      </c>
      <c r="C564" s="24" t="s">
        <v>538</v>
      </c>
      <c r="D564" s="31">
        <f t="shared" si="122"/>
        <v>3400250</v>
      </c>
      <c r="E564" s="31">
        <v>0</v>
      </c>
      <c r="F564" s="31">
        <v>0</v>
      </c>
      <c r="G564" s="31">
        <v>0</v>
      </c>
      <c r="H564" s="31">
        <v>0</v>
      </c>
      <c r="I564" s="31">
        <v>0</v>
      </c>
      <c r="J564" s="31">
        <v>0</v>
      </c>
      <c r="K564" s="67">
        <v>0</v>
      </c>
      <c r="L564" s="31">
        <v>0</v>
      </c>
      <c r="M564" s="31">
        <v>760</v>
      </c>
      <c r="N564" s="31">
        <v>3350000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31">
        <v>0</v>
      </c>
      <c r="AC564" s="31">
        <v>50250</v>
      </c>
      <c r="AD564" s="31">
        <v>0</v>
      </c>
      <c r="AE564" s="31">
        <v>0</v>
      </c>
      <c r="AF564" s="33" t="s">
        <v>268</v>
      </c>
      <c r="AG564" s="33">
        <v>2021</v>
      </c>
      <c r="AH564" s="34">
        <v>2021</v>
      </c>
      <c r="AT564" s="20" t="e">
        <f t="shared" si="123"/>
        <v>#N/A</v>
      </c>
      <c r="BZ564" s="64"/>
      <c r="CD564" s="20" t="e">
        <f t="shared" si="120"/>
        <v>#N/A</v>
      </c>
    </row>
    <row r="565" spans="1:82" ht="61.5" x14ac:dyDescent="0.85">
      <c r="A565" s="20">
        <v>1</v>
      </c>
      <c r="B565" s="60">
        <f>SUBTOTAL(103,$A$558:A565)</f>
        <v>8</v>
      </c>
      <c r="C565" s="24" t="s">
        <v>539</v>
      </c>
      <c r="D565" s="31">
        <f t="shared" si="122"/>
        <v>3310801.92</v>
      </c>
      <c r="E565" s="31">
        <v>0</v>
      </c>
      <c r="F565" s="31">
        <v>0</v>
      </c>
      <c r="G565" s="31">
        <v>0</v>
      </c>
      <c r="H565" s="31">
        <v>0</v>
      </c>
      <c r="I565" s="31">
        <v>0</v>
      </c>
      <c r="J565" s="31">
        <v>0</v>
      </c>
      <c r="K565" s="67">
        <v>0</v>
      </c>
      <c r="L565" s="31">
        <v>0</v>
      </c>
      <c r="M565" s="31">
        <v>524</v>
      </c>
      <c r="N565" s="31">
        <v>3163362.73</v>
      </c>
      <c r="O565" s="31">
        <v>0</v>
      </c>
      <c r="P565" s="31">
        <v>0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31">
        <v>0</v>
      </c>
      <c r="AC565" s="31">
        <v>47450.44</v>
      </c>
      <c r="AD565" s="31">
        <v>99988.75</v>
      </c>
      <c r="AE565" s="31">
        <v>0</v>
      </c>
      <c r="AF565" s="33">
        <v>2021</v>
      </c>
      <c r="AG565" s="33">
        <v>2021</v>
      </c>
      <c r="AH565" s="34">
        <v>2021</v>
      </c>
      <c r="AT565" s="20" t="e">
        <f t="shared" si="123"/>
        <v>#N/A</v>
      </c>
      <c r="BZ565" s="64"/>
      <c r="CD565" s="20" t="e">
        <f t="shared" si="120"/>
        <v>#N/A</v>
      </c>
    </row>
    <row r="566" spans="1:82" ht="61.5" x14ac:dyDescent="0.85">
      <c r="A566" s="20">
        <v>1</v>
      </c>
      <c r="B566" s="60">
        <f>SUBTOTAL(103,$A$558:A566)</f>
        <v>9</v>
      </c>
      <c r="C566" s="24" t="s">
        <v>540</v>
      </c>
      <c r="D566" s="31">
        <f t="shared" si="122"/>
        <v>5092635.92</v>
      </c>
      <c r="E566" s="31">
        <v>0</v>
      </c>
      <c r="F566" s="31">
        <v>0</v>
      </c>
      <c r="G566" s="31">
        <v>0</v>
      </c>
      <c r="H566" s="31">
        <v>0</v>
      </c>
      <c r="I566" s="31">
        <v>0</v>
      </c>
      <c r="J566" s="31">
        <v>0</v>
      </c>
      <c r="K566" s="67">
        <v>0</v>
      </c>
      <c r="L566" s="31">
        <v>0</v>
      </c>
      <c r="M566" s="31">
        <v>1037</v>
      </c>
      <c r="N566" s="31">
        <v>4918853.12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31">
        <v>0</v>
      </c>
      <c r="AC566" s="31">
        <v>73782.8</v>
      </c>
      <c r="AD566" s="31">
        <v>100000</v>
      </c>
      <c r="AE566" s="31">
        <v>0</v>
      </c>
      <c r="AF566" s="33">
        <v>2021</v>
      </c>
      <c r="AG566" s="33">
        <v>2021</v>
      </c>
      <c r="AH566" s="34">
        <v>2021</v>
      </c>
      <c r="AT566" s="20" t="e">
        <f t="shared" si="123"/>
        <v>#N/A</v>
      </c>
      <c r="BZ566" s="64"/>
      <c r="CD566" s="20" t="e">
        <f t="shared" si="120"/>
        <v>#N/A</v>
      </c>
    </row>
    <row r="567" spans="1:82" ht="61.5" x14ac:dyDescent="0.85">
      <c r="A567" s="20">
        <v>1</v>
      </c>
      <c r="B567" s="60">
        <f>SUBTOTAL(103,$A$558:A567)</f>
        <v>10</v>
      </c>
      <c r="C567" s="24" t="s">
        <v>543</v>
      </c>
      <c r="D567" s="31">
        <f>E567+F567+G567+H567+I567+J567+L567+N567+P567+R567+T567+U567+V567+W567+X567+Y567+Z567+AA567+AB567+AC567+AD567+AE567</f>
        <v>5133204.34</v>
      </c>
      <c r="E567" s="31">
        <v>0</v>
      </c>
      <c r="F567" s="31">
        <v>0</v>
      </c>
      <c r="G567" s="31">
        <v>0</v>
      </c>
      <c r="H567" s="31">
        <v>0</v>
      </c>
      <c r="I567" s="31">
        <v>0</v>
      </c>
      <c r="J567" s="31">
        <v>0</v>
      </c>
      <c r="K567" s="67">
        <v>0</v>
      </c>
      <c r="L567" s="31">
        <v>0</v>
      </c>
      <c r="M567" s="31">
        <v>1062</v>
      </c>
      <c r="N567" s="31">
        <v>4970533.93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0</v>
      </c>
      <c r="AB567" s="31">
        <v>0</v>
      </c>
      <c r="AC567" s="31">
        <v>74558.009999999995</v>
      </c>
      <c r="AD567" s="31">
        <v>88112.4</v>
      </c>
      <c r="AE567" s="31">
        <v>0</v>
      </c>
      <c r="AF567" s="33">
        <v>2021</v>
      </c>
      <c r="AG567" s="33">
        <v>2021</v>
      </c>
      <c r="AH567" s="34">
        <v>2021</v>
      </c>
      <c r="AT567" s="20" t="e">
        <f t="shared" si="123"/>
        <v>#N/A</v>
      </c>
      <c r="BZ567" s="64"/>
      <c r="CD567" s="20" t="e">
        <f t="shared" si="120"/>
        <v>#N/A</v>
      </c>
    </row>
    <row r="568" spans="1:82" ht="61.5" x14ac:dyDescent="0.85">
      <c r="A568" s="20">
        <v>1</v>
      </c>
      <c r="B568" s="60">
        <f>SUBTOTAL(103,$A$558:A568)</f>
        <v>11</v>
      </c>
      <c r="C568" s="24" t="s">
        <v>542</v>
      </c>
      <c r="D568" s="31">
        <f t="shared" si="122"/>
        <v>6230855.9800000004</v>
      </c>
      <c r="E568" s="31">
        <v>0</v>
      </c>
      <c r="F568" s="31">
        <v>0</v>
      </c>
      <c r="G568" s="31">
        <v>0</v>
      </c>
      <c r="H568" s="31">
        <v>0</v>
      </c>
      <c r="I568" s="31">
        <v>0</v>
      </c>
      <c r="J568" s="31">
        <v>0</v>
      </c>
      <c r="K568" s="67">
        <v>0</v>
      </c>
      <c r="L568" s="31">
        <v>0</v>
      </c>
      <c r="M568" s="31">
        <v>1068</v>
      </c>
      <c r="N568" s="31">
        <v>6140855.9800000004</v>
      </c>
      <c r="O568" s="31">
        <v>0</v>
      </c>
      <c r="P568" s="31">
        <v>0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0</v>
      </c>
      <c r="W568" s="31">
        <v>0</v>
      </c>
      <c r="X568" s="31">
        <v>0</v>
      </c>
      <c r="Y568" s="31">
        <v>0</v>
      </c>
      <c r="Z568" s="31">
        <v>0</v>
      </c>
      <c r="AA568" s="31">
        <v>0</v>
      </c>
      <c r="AB568" s="31">
        <v>0</v>
      </c>
      <c r="AC568" s="31">
        <v>90000</v>
      </c>
      <c r="AD568" s="31">
        <v>0</v>
      </c>
      <c r="AE568" s="31">
        <v>0</v>
      </c>
      <c r="AF568" s="33" t="s">
        <v>268</v>
      </c>
      <c r="AG568" s="33">
        <v>2021</v>
      </c>
      <c r="AH568" s="34">
        <v>2021</v>
      </c>
      <c r="AT568" s="20" t="e">
        <f t="shared" si="123"/>
        <v>#N/A</v>
      </c>
      <c r="BZ568" s="64"/>
      <c r="CD568" s="20" t="e">
        <f t="shared" si="120"/>
        <v>#N/A</v>
      </c>
    </row>
    <row r="569" spans="1:82" ht="61.5" x14ac:dyDescent="0.85">
      <c r="A569" s="20">
        <v>1</v>
      </c>
      <c r="B569" s="60">
        <f>SUBTOTAL(103,$A$558:A569)</f>
        <v>12</v>
      </c>
      <c r="C569" s="24" t="s">
        <v>797</v>
      </c>
      <c r="D569" s="31">
        <f t="shared" si="122"/>
        <v>2799900</v>
      </c>
      <c r="E569" s="31">
        <v>0</v>
      </c>
      <c r="F569" s="31">
        <v>0</v>
      </c>
      <c r="G569" s="31">
        <v>0</v>
      </c>
      <c r="H569" s="31">
        <v>0</v>
      </c>
      <c r="I569" s="31">
        <v>0</v>
      </c>
      <c r="J569" s="31">
        <v>0</v>
      </c>
      <c r="K569" s="67">
        <v>0</v>
      </c>
      <c r="L569" s="31">
        <v>0</v>
      </c>
      <c r="M569" s="31">
        <v>635</v>
      </c>
      <c r="N569" s="31">
        <v>2660000</v>
      </c>
      <c r="O569" s="31">
        <v>0</v>
      </c>
      <c r="P569" s="31">
        <v>0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0</v>
      </c>
      <c r="W569" s="31">
        <v>0</v>
      </c>
      <c r="X569" s="31">
        <v>0</v>
      </c>
      <c r="Y569" s="31">
        <v>0</v>
      </c>
      <c r="Z569" s="31">
        <v>0</v>
      </c>
      <c r="AA569" s="31">
        <v>0</v>
      </c>
      <c r="AB569" s="31">
        <v>0</v>
      </c>
      <c r="AC569" s="31">
        <v>39900</v>
      </c>
      <c r="AD569" s="31">
        <v>100000</v>
      </c>
      <c r="AE569" s="31">
        <v>0</v>
      </c>
      <c r="AF569" s="33">
        <v>2021</v>
      </c>
      <c r="AG569" s="33">
        <v>2021</v>
      </c>
      <c r="AH569" s="34">
        <v>2021</v>
      </c>
      <c r="AT569" s="20" t="e">
        <f t="shared" si="123"/>
        <v>#N/A</v>
      </c>
      <c r="BZ569" s="64"/>
      <c r="CD569" s="20" t="e">
        <f t="shared" si="120"/>
        <v>#N/A</v>
      </c>
    </row>
    <row r="570" spans="1:82" ht="61.5" x14ac:dyDescent="0.85">
      <c r="A570" s="20">
        <v>1</v>
      </c>
      <c r="B570" s="60">
        <f>SUBTOTAL(103,$A$558:A570)</f>
        <v>13</v>
      </c>
      <c r="C570" s="24" t="s">
        <v>545</v>
      </c>
      <c r="D570" s="31">
        <f t="shared" si="122"/>
        <v>4475118.7699999996</v>
      </c>
      <c r="E570" s="31">
        <v>0</v>
      </c>
      <c r="F570" s="31">
        <v>0</v>
      </c>
      <c r="G570" s="31">
        <v>0</v>
      </c>
      <c r="H570" s="31">
        <v>0</v>
      </c>
      <c r="I570" s="31">
        <v>0</v>
      </c>
      <c r="J570" s="31">
        <v>0</v>
      </c>
      <c r="K570" s="67">
        <v>0</v>
      </c>
      <c r="L570" s="31">
        <v>0</v>
      </c>
      <c r="M570" s="31">
        <v>960</v>
      </c>
      <c r="N570" s="31">
        <v>4408981.05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  <c r="AC570" s="31">
        <v>66137.72</v>
      </c>
      <c r="AD570" s="31">
        <v>0</v>
      </c>
      <c r="AE570" s="31">
        <v>0</v>
      </c>
      <c r="AF570" s="33" t="s">
        <v>268</v>
      </c>
      <c r="AG570" s="33">
        <v>2021</v>
      </c>
      <c r="AH570" s="34">
        <v>2021</v>
      </c>
      <c r="AT570" s="20" t="e">
        <f t="shared" si="123"/>
        <v>#N/A</v>
      </c>
      <c r="BZ570" s="64"/>
      <c r="CD570" s="20" t="e">
        <f t="shared" si="120"/>
        <v>#N/A</v>
      </c>
    </row>
    <row r="571" spans="1:82" ht="61.5" x14ac:dyDescent="0.85">
      <c r="A571" s="20">
        <v>1</v>
      </c>
      <c r="B571" s="60">
        <f>SUBTOTAL(103,$A$558:A571)</f>
        <v>14</v>
      </c>
      <c r="C571" s="24" t="s">
        <v>546</v>
      </c>
      <c r="D571" s="31">
        <f t="shared" si="122"/>
        <v>3635296.26</v>
      </c>
      <c r="E571" s="31">
        <v>0</v>
      </c>
      <c r="F571" s="31">
        <v>0</v>
      </c>
      <c r="G571" s="31">
        <v>0</v>
      </c>
      <c r="H571" s="31">
        <v>0</v>
      </c>
      <c r="I571" s="31">
        <v>0</v>
      </c>
      <c r="J571" s="31">
        <v>0</v>
      </c>
      <c r="K571" s="67">
        <v>0</v>
      </c>
      <c r="L571" s="31">
        <v>0</v>
      </c>
      <c r="M571" s="31">
        <v>732.9</v>
      </c>
      <c r="N571" s="31">
        <v>3581572.67</v>
      </c>
      <c r="O571" s="31">
        <v>0</v>
      </c>
      <c r="P571" s="31">
        <v>0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0</v>
      </c>
      <c r="W571" s="31">
        <v>0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  <c r="AC571" s="31">
        <v>53723.59</v>
      </c>
      <c r="AD571" s="31">
        <v>0</v>
      </c>
      <c r="AE571" s="31">
        <v>0</v>
      </c>
      <c r="AF571" s="33" t="s">
        <v>268</v>
      </c>
      <c r="AG571" s="33">
        <v>2021</v>
      </c>
      <c r="AH571" s="34">
        <v>2021</v>
      </c>
      <c r="AT571" s="20" t="e">
        <f t="shared" si="123"/>
        <v>#N/A</v>
      </c>
      <c r="BZ571" s="64"/>
      <c r="CD571" s="20" t="e">
        <f t="shared" si="120"/>
        <v>#N/A</v>
      </c>
    </row>
    <row r="572" spans="1:82" ht="61.5" x14ac:dyDescent="0.85">
      <c r="A572" s="20">
        <v>1</v>
      </c>
      <c r="B572" s="60">
        <f>SUBTOTAL(103,$A$558:A572)</f>
        <v>15</v>
      </c>
      <c r="C572" s="24" t="s">
        <v>1398</v>
      </c>
      <c r="D572" s="31">
        <f t="shared" si="122"/>
        <v>5684659.8300000001</v>
      </c>
      <c r="E572" s="31">
        <v>0</v>
      </c>
      <c r="F572" s="31">
        <v>0</v>
      </c>
      <c r="G572" s="31">
        <v>0</v>
      </c>
      <c r="H572" s="31">
        <v>0</v>
      </c>
      <c r="I572" s="31">
        <v>0</v>
      </c>
      <c r="J572" s="31">
        <v>0</v>
      </c>
      <c r="K572" s="67">
        <v>0</v>
      </c>
      <c r="L572" s="31">
        <v>0</v>
      </c>
      <c r="M572" s="31">
        <v>1207.0999999999999</v>
      </c>
      <c r="N572" s="31">
        <v>5600650.0800000001</v>
      </c>
      <c r="O572" s="31">
        <v>0</v>
      </c>
      <c r="P572" s="31">
        <v>0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0</v>
      </c>
      <c r="AB572" s="31">
        <v>0</v>
      </c>
      <c r="AC572" s="31">
        <v>84009.75</v>
      </c>
      <c r="AD572" s="31">
        <v>0</v>
      </c>
      <c r="AE572" s="31">
        <v>0</v>
      </c>
      <c r="AF572" s="33" t="s">
        <v>268</v>
      </c>
      <c r="AG572" s="33">
        <v>2021</v>
      </c>
      <c r="AH572" s="34">
        <v>2021</v>
      </c>
      <c r="BZ572" s="64"/>
      <c r="CD572" s="20" t="e">
        <f t="shared" si="120"/>
        <v>#N/A</v>
      </c>
    </row>
    <row r="573" spans="1:82" ht="61.5" x14ac:dyDescent="0.85">
      <c r="A573" s="20">
        <v>1</v>
      </c>
      <c r="B573" s="60">
        <f>SUBTOTAL(103,$A$558:A573)</f>
        <v>16</v>
      </c>
      <c r="C573" s="24" t="s">
        <v>798</v>
      </c>
      <c r="D573" s="31">
        <f t="shared" si="122"/>
        <v>3010127.71</v>
      </c>
      <c r="E573" s="31">
        <v>0</v>
      </c>
      <c r="F573" s="31">
        <v>0</v>
      </c>
      <c r="G573" s="31">
        <v>0</v>
      </c>
      <c r="H573" s="31">
        <v>0</v>
      </c>
      <c r="I573" s="31">
        <v>0</v>
      </c>
      <c r="J573" s="31">
        <v>0</v>
      </c>
      <c r="K573" s="67">
        <v>0</v>
      </c>
      <c r="L573" s="31">
        <v>0</v>
      </c>
      <c r="M573" s="31">
        <v>700</v>
      </c>
      <c r="N573" s="31">
        <v>2867120.9</v>
      </c>
      <c r="O573" s="31">
        <v>0</v>
      </c>
      <c r="P573" s="31">
        <v>0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0</v>
      </c>
      <c r="Z573" s="31">
        <v>0</v>
      </c>
      <c r="AA573" s="31">
        <v>0</v>
      </c>
      <c r="AB573" s="31">
        <v>0</v>
      </c>
      <c r="AC573" s="31">
        <v>43006.81</v>
      </c>
      <c r="AD573" s="31">
        <v>100000</v>
      </c>
      <c r="AE573" s="31">
        <v>0</v>
      </c>
      <c r="AF573" s="33">
        <v>2021</v>
      </c>
      <c r="AG573" s="33">
        <v>2021</v>
      </c>
      <c r="AH573" s="34">
        <v>2021</v>
      </c>
      <c r="AT573" s="20" t="e">
        <f t="shared" ref="AT573:AT580" si="124">VLOOKUP(C573,AW:AX,2,FALSE)</f>
        <v>#N/A</v>
      </c>
      <c r="BZ573" s="64"/>
      <c r="CD573" s="20" t="e">
        <f t="shared" si="120"/>
        <v>#N/A</v>
      </c>
    </row>
    <row r="574" spans="1:82" ht="61.5" x14ac:dyDescent="0.85">
      <c r="A574" s="20">
        <v>1</v>
      </c>
      <c r="B574" s="60">
        <f>SUBTOTAL(103,$A$558:A574)</f>
        <v>17</v>
      </c>
      <c r="C574" s="24" t="s">
        <v>548</v>
      </c>
      <c r="D574" s="31">
        <f t="shared" si="122"/>
        <v>1412384.95</v>
      </c>
      <c r="E574" s="31">
        <v>0</v>
      </c>
      <c r="F574" s="31">
        <v>0</v>
      </c>
      <c r="G574" s="31">
        <v>0</v>
      </c>
      <c r="H574" s="31">
        <v>0</v>
      </c>
      <c r="I574" s="31">
        <v>0</v>
      </c>
      <c r="J574" s="31">
        <v>0</v>
      </c>
      <c r="K574" s="67">
        <v>0</v>
      </c>
      <c r="L574" s="31">
        <v>0</v>
      </c>
      <c r="M574" s="31">
        <v>210</v>
      </c>
      <c r="N574" s="31">
        <f>1030000+366934.95</f>
        <v>1396934.95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  <c r="AC574" s="31">
        <v>15450</v>
      </c>
      <c r="AD574" s="31">
        <v>0</v>
      </c>
      <c r="AE574" s="31">
        <v>0</v>
      </c>
      <c r="AF574" s="33" t="s">
        <v>268</v>
      </c>
      <c r="AG574" s="33">
        <v>2021</v>
      </c>
      <c r="AH574" s="34">
        <v>2021</v>
      </c>
      <c r="AT574" s="20" t="e">
        <f t="shared" si="124"/>
        <v>#N/A</v>
      </c>
      <c r="BZ574" s="64"/>
      <c r="CD574" s="20" t="e">
        <f t="shared" si="120"/>
        <v>#N/A</v>
      </c>
    </row>
    <row r="575" spans="1:82" ht="61.5" x14ac:dyDescent="0.85">
      <c r="A575" s="20">
        <v>1</v>
      </c>
      <c r="B575" s="60">
        <f>SUBTOTAL(103,$A$558:A575)</f>
        <v>18</v>
      </c>
      <c r="C575" s="24" t="s">
        <v>800</v>
      </c>
      <c r="D575" s="31">
        <f t="shared" si="122"/>
        <v>5592536.2299999995</v>
      </c>
      <c r="E575" s="31">
        <v>0</v>
      </c>
      <c r="F575" s="31">
        <v>0</v>
      </c>
      <c r="G575" s="31">
        <v>0</v>
      </c>
      <c r="H575" s="31">
        <v>0</v>
      </c>
      <c r="I575" s="31">
        <v>0</v>
      </c>
      <c r="J575" s="31">
        <v>0</v>
      </c>
      <c r="K575" s="67">
        <v>0</v>
      </c>
      <c r="L575" s="31">
        <v>0</v>
      </c>
      <c r="M575" s="31">
        <v>1391</v>
      </c>
      <c r="N575" s="31">
        <v>5411390</v>
      </c>
      <c r="O575" s="31">
        <v>0</v>
      </c>
      <c r="P575" s="31">
        <v>0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0</v>
      </c>
      <c r="W575" s="31">
        <v>0</v>
      </c>
      <c r="X575" s="31">
        <v>0</v>
      </c>
      <c r="Y575" s="31">
        <v>0</v>
      </c>
      <c r="Z575" s="31">
        <v>0</v>
      </c>
      <c r="AA575" s="31">
        <v>0</v>
      </c>
      <c r="AB575" s="31">
        <v>0</v>
      </c>
      <c r="AC575" s="31">
        <v>81170.850000000006</v>
      </c>
      <c r="AD575" s="31">
        <v>99975.38</v>
      </c>
      <c r="AE575" s="31">
        <v>0</v>
      </c>
      <c r="AF575" s="33">
        <v>2021</v>
      </c>
      <c r="AG575" s="33">
        <v>2021</v>
      </c>
      <c r="AH575" s="34">
        <v>2021</v>
      </c>
      <c r="AT575" s="20" t="e">
        <f t="shared" si="124"/>
        <v>#N/A</v>
      </c>
      <c r="BZ575" s="64"/>
      <c r="CD575" s="20" t="e">
        <f t="shared" si="120"/>
        <v>#N/A</v>
      </c>
    </row>
    <row r="576" spans="1:82" ht="61.5" x14ac:dyDescent="0.85">
      <c r="A576" s="20">
        <v>1</v>
      </c>
      <c r="B576" s="60">
        <f>SUBTOTAL(103,$A$558:A576)</f>
        <v>19</v>
      </c>
      <c r="C576" s="24" t="s">
        <v>551</v>
      </c>
      <c r="D576" s="31">
        <f t="shared" si="122"/>
        <v>4005099.29</v>
      </c>
      <c r="E576" s="31">
        <v>0</v>
      </c>
      <c r="F576" s="31">
        <v>0</v>
      </c>
      <c r="G576" s="31">
        <v>0</v>
      </c>
      <c r="H576" s="31">
        <v>0</v>
      </c>
      <c r="I576" s="31">
        <v>0</v>
      </c>
      <c r="J576" s="31">
        <v>0</v>
      </c>
      <c r="K576" s="67">
        <v>0</v>
      </c>
      <c r="L576" s="31">
        <v>0</v>
      </c>
      <c r="M576" s="31">
        <v>822</v>
      </c>
      <c r="N576" s="31">
        <v>3847395.52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  <c r="AC576" s="31">
        <v>57710.93</v>
      </c>
      <c r="AD576" s="31">
        <v>99992.84</v>
      </c>
      <c r="AE576" s="31">
        <v>0</v>
      </c>
      <c r="AF576" s="33">
        <v>2021</v>
      </c>
      <c r="AG576" s="33">
        <v>2021</v>
      </c>
      <c r="AH576" s="34">
        <v>2021</v>
      </c>
      <c r="AT576" s="20" t="e">
        <f t="shared" si="124"/>
        <v>#N/A</v>
      </c>
      <c r="BZ576" s="64"/>
      <c r="CD576" s="20" t="e">
        <f t="shared" si="120"/>
        <v>#N/A</v>
      </c>
    </row>
    <row r="577" spans="1:82" ht="61.5" x14ac:dyDescent="0.85">
      <c r="A577" s="20">
        <v>1</v>
      </c>
      <c r="B577" s="60">
        <f>SUBTOTAL(103,$A$558:A577)</f>
        <v>20</v>
      </c>
      <c r="C577" s="24" t="s">
        <v>1626</v>
      </c>
      <c r="D577" s="31">
        <f t="shared" si="122"/>
        <v>2397304.5699999998</v>
      </c>
      <c r="E577" s="31">
        <v>0</v>
      </c>
      <c r="F577" s="31">
        <v>0</v>
      </c>
      <c r="G577" s="31">
        <v>0</v>
      </c>
      <c r="H577" s="31">
        <v>0</v>
      </c>
      <c r="I577" s="31">
        <v>0</v>
      </c>
      <c r="J577" s="31">
        <v>0</v>
      </c>
      <c r="K577" s="67">
        <v>0</v>
      </c>
      <c r="L577" s="31">
        <v>0</v>
      </c>
      <c r="M577" s="31">
        <v>485</v>
      </c>
      <c r="N577" s="31">
        <v>2263354.2599999998</v>
      </c>
      <c r="O577" s="31">
        <v>0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0</v>
      </c>
      <c r="AC577" s="31">
        <v>33950.31</v>
      </c>
      <c r="AD577" s="31">
        <v>100000</v>
      </c>
      <c r="AE577" s="31">
        <v>0</v>
      </c>
      <c r="AF577" s="33">
        <v>2021</v>
      </c>
      <c r="AG577" s="33">
        <v>2021</v>
      </c>
      <c r="AH577" s="34">
        <v>2021</v>
      </c>
      <c r="AT577" s="20" t="e">
        <f t="shared" si="124"/>
        <v>#N/A</v>
      </c>
      <c r="BZ577" s="64"/>
      <c r="CD577" s="20" t="e">
        <f t="shared" si="120"/>
        <v>#N/A</v>
      </c>
    </row>
    <row r="578" spans="1:82" ht="61.5" x14ac:dyDescent="0.85">
      <c r="A578" s="20">
        <v>1</v>
      </c>
      <c r="B578" s="60">
        <f>SUBTOTAL(103,$A$558:A578)</f>
        <v>21</v>
      </c>
      <c r="C578" s="24" t="s">
        <v>554</v>
      </c>
      <c r="D578" s="31">
        <f t="shared" si="122"/>
        <v>2564514.5199999996</v>
      </c>
      <c r="E578" s="31">
        <v>0</v>
      </c>
      <c r="F578" s="31">
        <v>0</v>
      </c>
      <c r="G578" s="31">
        <v>0</v>
      </c>
      <c r="H578" s="31">
        <v>0</v>
      </c>
      <c r="I578" s="31">
        <v>0</v>
      </c>
      <c r="J578" s="31">
        <v>0</v>
      </c>
      <c r="K578" s="67">
        <v>0</v>
      </c>
      <c r="L578" s="31">
        <v>0</v>
      </c>
      <c r="M578" s="31">
        <v>606</v>
      </c>
      <c r="N578" s="31">
        <v>2425477.84</v>
      </c>
      <c r="O578" s="31">
        <v>0</v>
      </c>
      <c r="P578" s="31">
        <v>0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  <c r="AC578" s="31">
        <v>36382.17</v>
      </c>
      <c r="AD578" s="31">
        <v>102654.51</v>
      </c>
      <c r="AE578" s="31">
        <v>0</v>
      </c>
      <c r="AF578" s="33">
        <v>2021</v>
      </c>
      <c r="AG578" s="33">
        <v>2021</v>
      </c>
      <c r="AH578" s="34">
        <v>2021</v>
      </c>
      <c r="AT578" s="20" t="e">
        <f t="shared" si="124"/>
        <v>#N/A</v>
      </c>
      <c r="BZ578" s="64"/>
      <c r="CD578" s="20" t="e">
        <f t="shared" si="120"/>
        <v>#N/A</v>
      </c>
    </row>
    <row r="579" spans="1:82" ht="61.5" x14ac:dyDescent="0.85">
      <c r="A579" s="20">
        <v>1</v>
      </c>
      <c r="B579" s="60">
        <f>SUBTOTAL(103,$A$558:A579)</f>
        <v>22</v>
      </c>
      <c r="C579" s="24" t="s">
        <v>557</v>
      </c>
      <c r="D579" s="31">
        <f t="shared" si="122"/>
        <v>2185133.9699999997</v>
      </c>
      <c r="E579" s="31">
        <v>0</v>
      </c>
      <c r="F579" s="31">
        <v>0</v>
      </c>
      <c r="G579" s="31">
        <v>0</v>
      </c>
      <c r="H579" s="31">
        <v>0</v>
      </c>
      <c r="I579" s="31">
        <v>0</v>
      </c>
      <c r="J579" s="31">
        <v>0</v>
      </c>
      <c r="K579" s="67">
        <v>0</v>
      </c>
      <c r="L579" s="31">
        <v>0</v>
      </c>
      <c r="M579" s="31">
        <v>432.6</v>
      </c>
      <c r="N579" s="31">
        <v>2070720.36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  <c r="AC579" s="31">
        <v>31060.81</v>
      </c>
      <c r="AD579" s="31">
        <v>83352.800000000003</v>
      </c>
      <c r="AE579" s="31">
        <v>0</v>
      </c>
      <c r="AF579" s="33">
        <v>2021</v>
      </c>
      <c r="AG579" s="33">
        <v>2021</v>
      </c>
      <c r="AH579" s="34">
        <v>2021</v>
      </c>
      <c r="AT579" s="20" t="e">
        <f t="shared" si="124"/>
        <v>#N/A</v>
      </c>
      <c r="BZ579" s="64"/>
      <c r="CD579" s="20" t="e">
        <f t="shared" si="120"/>
        <v>#N/A</v>
      </c>
    </row>
    <row r="580" spans="1:82" ht="61.5" x14ac:dyDescent="0.85">
      <c r="A580" s="20">
        <v>1</v>
      </c>
      <c r="B580" s="60">
        <f>SUBTOTAL(103,$A$558:A580)</f>
        <v>23</v>
      </c>
      <c r="C580" s="24" t="s">
        <v>558</v>
      </c>
      <c r="D580" s="31">
        <f t="shared" si="122"/>
        <v>2794940.58</v>
      </c>
      <c r="E580" s="31">
        <v>0</v>
      </c>
      <c r="F580" s="31">
        <v>0</v>
      </c>
      <c r="G580" s="31">
        <v>0</v>
      </c>
      <c r="H580" s="31">
        <v>0</v>
      </c>
      <c r="I580" s="31">
        <v>0</v>
      </c>
      <c r="J580" s="31">
        <v>0</v>
      </c>
      <c r="K580" s="67">
        <v>0</v>
      </c>
      <c r="L580" s="31">
        <v>0</v>
      </c>
      <c r="M580" s="31">
        <v>642</v>
      </c>
      <c r="N580" s="31">
        <v>2655113.87</v>
      </c>
      <c r="O580" s="31">
        <v>0</v>
      </c>
      <c r="P580" s="31">
        <v>0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39826.71</v>
      </c>
      <c r="AD580" s="31">
        <v>100000</v>
      </c>
      <c r="AE580" s="31">
        <v>0</v>
      </c>
      <c r="AF580" s="33">
        <v>2021</v>
      </c>
      <c r="AG580" s="33">
        <v>2021</v>
      </c>
      <c r="AH580" s="34">
        <v>2021</v>
      </c>
      <c r="AT580" s="20" t="e">
        <f t="shared" si="124"/>
        <v>#N/A</v>
      </c>
      <c r="BZ580" s="64"/>
      <c r="CD580" s="20" t="e">
        <f t="shared" si="120"/>
        <v>#N/A</v>
      </c>
    </row>
    <row r="581" spans="1:82" ht="61.5" x14ac:dyDescent="0.85">
      <c r="A581" s="20">
        <v>1</v>
      </c>
      <c r="B581" s="60">
        <f>SUBTOTAL(103,$A$558:A581)</f>
        <v>24</v>
      </c>
      <c r="C581" s="24" t="s">
        <v>1611</v>
      </c>
      <c r="D581" s="31">
        <f t="shared" si="122"/>
        <v>8789900</v>
      </c>
      <c r="E581" s="31">
        <v>0</v>
      </c>
      <c r="F581" s="31">
        <v>0</v>
      </c>
      <c r="G581" s="31">
        <v>0</v>
      </c>
      <c r="H581" s="31">
        <v>0</v>
      </c>
      <c r="I581" s="31">
        <v>0</v>
      </c>
      <c r="J581" s="31">
        <v>0</v>
      </c>
      <c r="K581" s="67">
        <v>0</v>
      </c>
      <c r="L581" s="31">
        <v>0</v>
      </c>
      <c r="M581" s="31">
        <v>2300</v>
      </c>
      <c r="N581" s="31">
        <v>8660000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  <c r="AC581" s="31">
        <v>129900</v>
      </c>
      <c r="AD581" s="31">
        <v>0</v>
      </c>
      <c r="AE581" s="31">
        <v>0</v>
      </c>
      <c r="AF581" s="33" t="s">
        <v>268</v>
      </c>
      <c r="AG581" s="33">
        <v>2021</v>
      </c>
      <c r="AH581" s="34">
        <v>2021</v>
      </c>
      <c r="BZ581" s="64"/>
      <c r="CD581" s="20" t="e">
        <f t="shared" si="120"/>
        <v>#N/A</v>
      </c>
    </row>
    <row r="582" spans="1:82" ht="61.5" x14ac:dyDescent="0.85">
      <c r="A582" s="20">
        <v>1</v>
      </c>
      <c r="B582" s="60">
        <f>SUBTOTAL(103,$A$558:A582)</f>
        <v>25</v>
      </c>
      <c r="C582" s="24" t="s">
        <v>559</v>
      </c>
      <c r="D582" s="31">
        <f t="shared" si="122"/>
        <v>2349725</v>
      </c>
      <c r="E582" s="31">
        <v>0</v>
      </c>
      <c r="F582" s="31">
        <v>0</v>
      </c>
      <c r="G582" s="31">
        <v>0</v>
      </c>
      <c r="H582" s="31">
        <v>0</v>
      </c>
      <c r="I582" s="31">
        <v>0</v>
      </c>
      <c r="J582" s="31">
        <v>0</v>
      </c>
      <c r="K582" s="67">
        <v>0</v>
      </c>
      <c r="L582" s="31">
        <v>0</v>
      </c>
      <c r="M582" s="31">
        <v>1200</v>
      </c>
      <c r="N582" s="31">
        <v>2315000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  <c r="AC582" s="31">
        <v>34725</v>
      </c>
      <c r="AD582" s="31">
        <v>0</v>
      </c>
      <c r="AE582" s="31">
        <v>0</v>
      </c>
      <c r="AF582" s="33" t="s">
        <v>268</v>
      </c>
      <c r="AG582" s="33">
        <v>2021</v>
      </c>
      <c r="AH582" s="34">
        <v>2021</v>
      </c>
      <c r="AT582" s="20" t="e">
        <f>VLOOKUP(C582,AW:AX,2,FALSE)</f>
        <v>#N/A</v>
      </c>
      <c r="BZ582" s="64"/>
      <c r="CD582" s="20" t="e">
        <f t="shared" si="120"/>
        <v>#N/A</v>
      </c>
    </row>
    <row r="583" spans="1:82" ht="61.5" x14ac:dyDescent="0.85">
      <c r="A583" s="20">
        <v>1</v>
      </c>
      <c r="B583" s="60">
        <f>SUBTOTAL(103,$A$558:A583)</f>
        <v>26</v>
      </c>
      <c r="C583" s="24" t="s">
        <v>560</v>
      </c>
      <c r="D583" s="31">
        <f t="shared" si="122"/>
        <v>2102735.67</v>
      </c>
      <c r="E583" s="31">
        <v>0</v>
      </c>
      <c r="F583" s="31">
        <v>0</v>
      </c>
      <c r="G583" s="31">
        <v>0</v>
      </c>
      <c r="H583" s="31">
        <v>0</v>
      </c>
      <c r="I583" s="31">
        <v>0</v>
      </c>
      <c r="J583" s="31">
        <v>0</v>
      </c>
      <c r="K583" s="67">
        <v>0</v>
      </c>
      <c r="L583" s="31">
        <v>0</v>
      </c>
      <c r="M583" s="31">
        <v>483</v>
      </c>
      <c r="N583" s="31">
        <v>1973138.59</v>
      </c>
      <c r="O583" s="31">
        <v>0</v>
      </c>
      <c r="P583" s="31">
        <v>0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  <c r="AA583" s="31">
        <v>0</v>
      </c>
      <c r="AB583" s="31">
        <v>0</v>
      </c>
      <c r="AC583" s="31">
        <v>29597.08</v>
      </c>
      <c r="AD583" s="31">
        <v>100000</v>
      </c>
      <c r="AE583" s="31">
        <v>0</v>
      </c>
      <c r="AF583" s="33">
        <v>2021</v>
      </c>
      <c r="AG583" s="33">
        <v>2021</v>
      </c>
      <c r="AH583" s="34">
        <v>2021</v>
      </c>
      <c r="AT583" s="20" t="e">
        <f>VLOOKUP(C583,AW:AX,2,FALSE)</f>
        <v>#N/A</v>
      </c>
      <c r="BZ583" s="64"/>
      <c r="CD583" s="20" t="e">
        <f t="shared" si="120"/>
        <v>#N/A</v>
      </c>
    </row>
    <row r="584" spans="1:82" ht="61.5" x14ac:dyDescent="0.85">
      <c r="A584" s="20">
        <v>1</v>
      </c>
      <c r="B584" s="60">
        <f>SUBTOTAL(103,$A$558:A584)</f>
        <v>27</v>
      </c>
      <c r="C584" s="24" t="s">
        <v>561</v>
      </c>
      <c r="D584" s="31">
        <f t="shared" si="122"/>
        <v>1977750</v>
      </c>
      <c r="E584" s="31">
        <v>0</v>
      </c>
      <c r="F584" s="31">
        <v>0</v>
      </c>
      <c r="G584" s="31">
        <v>0</v>
      </c>
      <c r="H584" s="31">
        <v>0</v>
      </c>
      <c r="I584" s="31">
        <v>0</v>
      </c>
      <c r="J584" s="31">
        <v>0</v>
      </c>
      <c r="K584" s="67">
        <v>0</v>
      </c>
      <c r="L584" s="31">
        <v>0</v>
      </c>
      <c r="M584" s="31">
        <v>506.2</v>
      </c>
      <c r="N584" s="31">
        <v>1850000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  <c r="AC584" s="31">
        <v>27750</v>
      </c>
      <c r="AD584" s="31">
        <v>100000</v>
      </c>
      <c r="AE584" s="31">
        <v>0</v>
      </c>
      <c r="AF584" s="33">
        <v>2021</v>
      </c>
      <c r="AG584" s="33">
        <v>2021</v>
      </c>
      <c r="AH584" s="34">
        <v>2021</v>
      </c>
      <c r="AT584" s="20" t="e">
        <f>VLOOKUP(C584,AW:AX,2,FALSE)</f>
        <v>#N/A</v>
      </c>
      <c r="BZ584" s="64"/>
      <c r="CD584" s="20" t="e">
        <f t="shared" si="120"/>
        <v>#N/A</v>
      </c>
    </row>
    <row r="585" spans="1:82" ht="61.5" x14ac:dyDescent="0.85">
      <c r="A585" s="20">
        <v>1</v>
      </c>
      <c r="B585" s="60">
        <f>SUBTOTAL(103,$A$558:A585)</f>
        <v>28</v>
      </c>
      <c r="C585" s="24" t="s">
        <v>562</v>
      </c>
      <c r="D585" s="31">
        <f t="shared" si="122"/>
        <v>3319050</v>
      </c>
      <c r="E585" s="31">
        <v>0</v>
      </c>
      <c r="F585" s="31">
        <v>0</v>
      </c>
      <c r="G585" s="31">
        <v>0</v>
      </c>
      <c r="H585" s="31">
        <v>0</v>
      </c>
      <c r="I585" s="31">
        <v>0</v>
      </c>
      <c r="J585" s="31">
        <v>0</v>
      </c>
      <c r="K585" s="67">
        <v>0</v>
      </c>
      <c r="L585" s="31">
        <v>0</v>
      </c>
      <c r="M585" s="31">
        <v>960</v>
      </c>
      <c r="N585" s="31">
        <v>3270000</v>
      </c>
      <c r="O585" s="31">
        <v>0</v>
      </c>
      <c r="P585" s="31">
        <v>0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  <c r="AC585" s="31">
        <v>49050</v>
      </c>
      <c r="AD585" s="31">
        <v>0</v>
      </c>
      <c r="AE585" s="31">
        <v>0</v>
      </c>
      <c r="AF585" s="33" t="s">
        <v>268</v>
      </c>
      <c r="AG585" s="33">
        <v>2021</v>
      </c>
      <c r="AH585" s="34">
        <v>2021</v>
      </c>
      <c r="BZ585" s="64"/>
      <c r="CD585" s="20" t="e">
        <f t="shared" si="120"/>
        <v>#N/A</v>
      </c>
    </row>
    <row r="586" spans="1:82" ht="61.5" x14ac:dyDescent="0.85">
      <c r="A586" s="20">
        <v>1</v>
      </c>
      <c r="B586" s="60">
        <f>SUBTOTAL(103,$A$558:A586)</f>
        <v>29</v>
      </c>
      <c r="C586" s="24" t="s">
        <v>563</v>
      </c>
      <c r="D586" s="31">
        <f t="shared" si="122"/>
        <v>3977523.46</v>
      </c>
      <c r="E586" s="31">
        <v>0</v>
      </c>
      <c r="F586" s="31">
        <v>0</v>
      </c>
      <c r="G586" s="31">
        <v>0</v>
      </c>
      <c r="H586" s="31">
        <v>0</v>
      </c>
      <c r="I586" s="31">
        <v>0</v>
      </c>
      <c r="J586" s="31">
        <v>0</v>
      </c>
      <c r="K586" s="67">
        <v>0</v>
      </c>
      <c r="L586" s="31">
        <v>0</v>
      </c>
      <c r="M586" s="31">
        <v>651</v>
      </c>
      <c r="N586" s="31">
        <v>3820232.32</v>
      </c>
      <c r="O586" s="31">
        <v>0</v>
      </c>
      <c r="P586" s="31">
        <v>0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  <c r="AC586" s="31">
        <v>57303.48</v>
      </c>
      <c r="AD586" s="31">
        <v>99987.66</v>
      </c>
      <c r="AE586" s="31">
        <v>0</v>
      </c>
      <c r="AF586" s="33">
        <v>2021</v>
      </c>
      <c r="AG586" s="33">
        <v>2021</v>
      </c>
      <c r="AH586" s="34">
        <v>2021</v>
      </c>
      <c r="AT586" s="20" t="e">
        <f>VLOOKUP(C586,AW:AX,2,FALSE)</f>
        <v>#N/A</v>
      </c>
      <c r="BZ586" s="64"/>
      <c r="CD586" s="20" t="e">
        <f t="shared" si="120"/>
        <v>#N/A</v>
      </c>
    </row>
    <row r="587" spans="1:82" ht="61.5" x14ac:dyDescent="0.85">
      <c r="A587" s="20">
        <v>1</v>
      </c>
      <c r="B587" s="60">
        <f>SUBTOTAL(103,$A$558:A587)</f>
        <v>30</v>
      </c>
      <c r="C587" s="24" t="s">
        <v>564</v>
      </c>
      <c r="D587" s="31">
        <f t="shared" si="122"/>
        <v>1141875</v>
      </c>
      <c r="E587" s="31">
        <v>0</v>
      </c>
      <c r="F587" s="31">
        <v>0</v>
      </c>
      <c r="G587" s="31">
        <v>0</v>
      </c>
      <c r="H587" s="31">
        <v>0</v>
      </c>
      <c r="I587" s="31">
        <v>0</v>
      </c>
      <c r="J587" s="31">
        <v>0</v>
      </c>
      <c r="K587" s="67">
        <v>0</v>
      </c>
      <c r="L587" s="31">
        <v>0</v>
      </c>
      <c r="M587" s="31">
        <v>287</v>
      </c>
      <c r="N587" s="31">
        <v>1125000</v>
      </c>
      <c r="O587" s="31">
        <v>0</v>
      </c>
      <c r="P587" s="31">
        <v>0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0</v>
      </c>
      <c r="W587" s="31">
        <v>0</v>
      </c>
      <c r="X587" s="31">
        <v>0</v>
      </c>
      <c r="Y587" s="31">
        <v>0</v>
      </c>
      <c r="Z587" s="31">
        <v>0</v>
      </c>
      <c r="AA587" s="31">
        <v>0</v>
      </c>
      <c r="AB587" s="31">
        <v>0</v>
      </c>
      <c r="AC587" s="31">
        <v>16875</v>
      </c>
      <c r="AD587" s="31">
        <v>0</v>
      </c>
      <c r="AE587" s="31">
        <v>0</v>
      </c>
      <c r="AF587" s="33" t="s">
        <v>268</v>
      </c>
      <c r="AG587" s="33">
        <v>2021</v>
      </c>
      <c r="AH587" s="34">
        <v>2021</v>
      </c>
      <c r="AT587" s="20" t="e">
        <f>VLOOKUP(C587,AW:AX,2,FALSE)</f>
        <v>#N/A</v>
      </c>
      <c r="BZ587" s="64"/>
      <c r="CD587" s="20" t="e">
        <f t="shared" si="120"/>
        <v>#N/A</v>
      </c>
    </row>
    <row r="588" spans="1:82" ht="61.5" x14ac:dyDescent="0.85">
      <c r="A588" s="20">
        <v>1</v>
      </c>
      <c r="B588" s="60">
        <f>SUBTOTAL(103,$A$558:A588)</f>
        <v>31</v>
      </c>
      <c r="C588" s="24" t="s">
        <v>565</v>
      </c>
      <c r="D588" s="31">
        <f t="shared" si="122"/>
        <v>2314200</v>
      </c>
      <c r="E588" s="31">
        <v>0</v>
      </c>
      <c r="F588" s="31">
        <v>0</v>
      </c>
      <c r="G588" s="31">
        <v>0</v>
      </c>
      <c r="H588" s="31">
        <v>0</v>
      </c>
      <c r="I588" s="31">
        <v>0</v>
      </c>
      <c r="J588" s="31">
        <v>0</v>
      </c>
      <c r="K588" s="67">
        <v>0</v>
      </c>
      <c r="L588" s="31">
        <v>0</v>
      </c>
      <c r="M588" s="31">
        <v>722</v>
      </c>
      <c r="N588" s="31">
        <v>2280000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  <c r="AC588" s="31">
        <v>34200</v>
      </c>
      <c r="AD588" s="31">
        <v>0</v>
      </c>
      <c r="AE588" s="31">
        <v>0</v>
      </c>
      <c r="AF588" s="33" t="s">
        <v>268</v>
      </c>
      <c r="AG588" s="33">
        <v>2021</v>
      </c>
      <c r="AH588" s="34">
        <v>2021</v>
      </c>
      <c r="AT588" s="20" t="e">
        <f>VLOOKUP(C588,AW:AX,2,FALSE)</f>
        <v>#N/A</v>
      </c>
      <c r="BZ588" s="64"/>
      <c r="CD588" s="20" t="e">
        <f t="shared" ref="CD588:CD619" si="125">VLOOKUP(C588,CE:CF,2,FALSE)</f>
        <v>#N/A</v>
      </c>
    </row>
    <row r="589" spans="1:82" ht="61.5" x14ac:dyDescent="0.85">
      <c r="A589" s="20">
        <v>1</v>
      </c>
      <c r="B589" s="60">
        <f>SUBTOTAL(103,$A$558:A589)</f>
        <v>32</v>
      </c>
      <c r="C589" s="24" t="s">
        <v>566</v>
      </c>
      <c r="D589" s="31">
        <f t="shared" si="122"/>
        <v>5440002.8600000003</v>
      </c>
      <c r="E589" s="31">
        <v>0</v>
      </c>
      <c r="F589" s="31">
        <v>0</v>
      </c>
      <c r="G589" s="31">
        <v>0</v>
      </c>
      <c r="H589" s="31">
        <v>0</v>
      </c>
      <c r="I589" s="31">
        <v>0</v>
      </c>
      <c r="J589" s="31">
        <v>0</v>
      </c>
      <c r="K589" s="67">
        <v>0</v>
      </c>
      <c r="L589" s="31">
        <v>0</v>
      </c>
      <c r="M589" s="31">
        <v>1688</v>
      </c>
      <c r="N589" s="31">
        <v>5261110.2699999996</v>
      </c>
      <c r="O589" s="31">
        <v>0</v>
      </c>
      <c r="P589" s="31">
        <v>0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0</v>
      </c>
      <c r="Z589" s="31">
        <v>0</v>
      </c>
      <c r="AA589" s="31">
        <v>0</v>
      </c>
      <c r="AB589" s="31">
        <v>0</v>
      </c>
      <c r="AC589" s="31">
        <v>78916.649999999994</v>
      </c>
      <c r="AD589" s="31">
        <v>99975.94</v>
      </c>
      <c r="AE589" s="31">
        <v>0</v>
      </c>
      <c r="AF589" s="33">
        <v>2021</v>
      </c>
      <c r="AG589" s="33">
        <v>2021</v>
      </c>
      <c r="AH589" s="34">
        <v>2021</v>
      </c>
      <c r="AT589" s="20" t="e">
        <f>VLOOKUP(C589,AW:AX,2,FALSE)</f>
        <v>#N/A</v>
      </c>
      <c r="BZ589" s="64"/>
      <c r="CD589" s="20" t="e">
        <f t="shared" si="125"/>
        <v>#N/A</v>
      </c>
    </row>
    <row r="590" spans="1:82" ht="61.5" x14ac:dyDescent="0.85">
      <c r="A590" s="20">
        <v>1</v>
      </c>
      <c r="B590" s="60">
        <f>SUBTOTAL(103,$A$558:A590)</f>
        <v>33</v>
      </c>
      <c r="C590" s="24" t="s">
        <v>567</v>
      </c>
      <c r="D590" s="31">
        <f t="shared" si="122"/>
        <v>5734750</v>
      </c>
      <c r="E590" s="31">
        <v>0</v>
      </c>
      <c r="F590" s="31">
        <v>0</v>
      </c>
      <c r="G590" s="31">
        <v>0</v>
      </c>
      <c r="H590" s="31">
        <v>0</v>
      </c>
      <c r="I590" s="31">
        <v>0</v>
      </c>
      <c r="J590" s="31">
        <v>0</v>
      </c>
      <c r="K590" s="67">
        <v>0</v>
      </c>
      <c r="L590" s="31">
        <v>0</v>
      </c>
      <c r="M590" s="31">
        <v>1130</v>
      </c>
      <c r="N590" s="31">
        <v>5650000</v>
      </c>
      <c r="O590" s="31">
        <v>0</v>
      </c>
      <c r="P590" s="31">
        <v>0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0</v>
      </c>
      <c r="Z590" s="31">
        <v>0</v>
      </c>
      <c r="AA590" s="31">
        <v>0</v>
      </c>
      <c r="AB590" s="31">
        <v>0</v>
      </c>
      <c r="AC590" s="31">
        <v>84750</v>
      </c>
      <c r="AD590" s="31">
        <v>0</v>
      </c>
      <c r="AE590" s="31">
        <v>0</v>
      </c>
      <c r="AF590" s="33" t="s">
        <v>268</v>
      </c>
      <c r="AG590" s="33">
        <v>2021</v>
      </c>
      <c r="AH590" s="34">
        <v>2021</v>
      </c>
      <c r="AT590" s="20" t="e">
        <f>VLOOKUP(C590,AW:AX,2,FALSE)</f>
        <v>#N/A</v>
      </c>
      <c r="BZ590" s="64"/>
      <c r="CD590" s="20" t="e">
        <f t="shared" si="125"/>
        <v>#N/A</v>
      </c>
    </row>
    <row r="591" spans="1:82" ht="61.5" x14ac:dyDescent="0.85">
      <c r="A591" s="20">
        <v>1</v>
      </c>
      <c r="B591" s="60">
        <f>SUBTOTAL(103,$A$558:A591)</f>
        <v>34</v>
      </c>
      <c r="C591" s="24" t="s">
        <v>1374</v>
      </c>
      <c r="D591" s="31">
        <f t="shared" si="122"/>
        <v>4022972.66</v>
      </c>
      <c r="E591" s="31">
        <v>0</v>
      </c>
      <c r="F591" s="31">
        <v>0</v>
      </c>
      <c r="G591" s="31">
        <v>0</v>
      </c>
      <c r="H591" s="31">
        <v>0</v>
      </c>
      <c r="I591" s="31">
        <v>0</v>
      </c>
      <c r="J591" s="31">
        <v>0</v>
      </c>
      <c r="K591" s="67">
        <v>0</v>
      </c>
      <c r="L591" s="31">
        <v>0</v>
      </c>
      <c r="M591" s="31">
        <v>756</v>
      </c>
      <c r="N591" s="31">
        <v>3865000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0</v>
      </c>
      <c r="AB591" s="31">
        <v>0</v>
      </c>
      <c r="AC591" s="31">
        <v>57975</v>
      </c>
      <c r="AD591" s="31">
        <v>99997.66</v>
      </c>
      <c r="AE591" s="31">
        <v>0</v>
      </c>
      <c r="AF591" s="33">
        <v>2021</v>
      </c>
      <c r="AG591" s="33">
        <v>2021</v>
      </c>
      <c r="AH591" s="34">
        <v>2021</v>
      </c>
      <c r="BZ591" s="64"/>
      <c r="CD591" s="20" t="e">
        <f t="shared" si="125"/>
        <v>#N/A</v>
      </c>
    </row>
    <row r="592" spans="1:82" ht="61.5" x14ac:dyDescent="0.85">
      <c r="A592" s="20">
        <v>1</v>
      </c>
      <c r="B592" s="60">
        <f>SUBTOTAL(103,$A$558:A592)</f>
        <v>35</v>
      </c>
      <c r="C592" s="24" t="s">
        <v>1375</v>
      </c>
      <c r="D592" s="31">
        <f t="shared" si="122"/>
        <v>3214935.44</v>
      </c>
      <c r="E592" s="31">
        <v>0</v>
      </c>
      <c r="F592" s="31">
        <v>0</v>
      </c>
      <c r="G592" s="31">
        <v>0</v>
      </c>
      <c r="H592" s="31">
        <v>0</v>
      </c>
      <c r="I592" s="31">
        <v>0</v>
      </c>
      <c r="J592" s="31">
        <v>0</v>
      </c>
      <c r="K592" s="67">
        <v>0</v>
      </c>
      <c r="L592" s="31">
        <v>0</v>
      </c>
      <c r="M592" s="31">
        <v>670</v>
      </c>
      <c r="N592" s="31">
        <v>3068910</v>
      </c>
      <c r="O592" s="31">
        <v>0</v>
      </c>
      <c r="P592" s="31">
        <v>0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0</v>
      </c>
      <c r="W592" s="31">
        <v>0</v>
      </c>
      <c r="X592" s="31">
        <v>0</v>
      </c>
      <c r="Y592" s="31">
        <v>0</v>
      </c>
      <c r="Z592" s="31">
        <v>0</v>
      </c>
      <c r="AA592" s="31">
        <v>0</v>
      </c>
      <c r="AB592" s="31">
        <v>0</v>
      </c>
      <c r="AC592" s="31">
        <v>46033.65</v>
      </c>
      <c r="AD592" s="31">
        <v>99991.79</v>
      </c>
      <c r="AE592" s="31">
        <v>0</v>
      </c>
      <c r="AF592" s="33">
        <v>2021</v>
      </c>
      <c r="AG592" s="33">
        <v>2021</v>
      </c>
      <c r="AH592" s="34">
        <v>2021</v>
      </c>
      <c r="BZ592" s="64"/>
      <c r="CD592" s="20" t="e">
        <f t="shared" si="125"/>
        <v>#N/A</v>
      </c>
    </row>
    <row r="593" spans="1:82" ht="61.5" x14ac:dyDescent="0.85">
      <c r="A593" s="20">
        <v>1</v>
      </c>
      <c r="B593" s="60">
        <f>SUBTOTAL(103,$A$558:A593)</f>
        <v>36</v>
      </c>
      <c r="C593" s="24" t="s">
        <v>1376</v>
      </c>
      <c r="D593" s="31">
        <f t="shared" si="122"/>
        <v>1335035.1000000001</v>
      </c>
      <c r="E593" s="31">
        <v>0</v>
      </c>
      <c r="F593" s="31">
        <v>0</v>
      </c>
      <c r="G593" s="31">
        <v>0</v>
      </c>
      <c r="H593" s="31">
        <v>0</v>
      </c>
      <c r="I593" s="31">
        <v>0</v>
      </c>
      <c r="J593" s="31">
        <v>0</v>
      </c>
      <c r="K593" s="67">
        <v>0</v>
      </c>
      <c r="L593" s="31">
        <v>0</v>
      </c>
      <c r="M593" s="31">
        <v>272.05</v>
      </c>
      <c r="N593" s="31">
        <v>1246340</v>
      </c>
      <c r="O593" s="31">
        <v>0</v>
      </c>
      <c r="P593" s="31">
        <v>0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0</v>
      </c>
      <c r="W593" s="31">
        <v>0</v>
      </c>
      <c r="X593" s="31">
        <v>0</v>
      </c>
      <c r="Y593" s="31">
        <v>0</v>
      </c>
      <c r="Z593" s="31">
        <v>0</v>
      </c>
      <c r="AA593" s="31">
        <v>0</v>
      </c>
      <c r="AB593" s="31">
        <v>0</v>
      </c>
      <c r="AC593" s="31">
        <v>18695.099999999999</v>
      </c>
      <c r="AD593" s="31">
        <v>70000</v>
      </c>
      <c r="AE593" s="31">
        <v>0</v>
      </c>
      <c r="AF593" s="33">
        <v>2021</v>
      </c>
      <c r="AG593" s="33">
        <v>2021</v>
      </c>
      <c r="AH593" s="34">
        <v>2021</v>
      </c>
      <c r="BZ593" s="64"/>
      <c r="CD593" s="20" t="e">
        <f t="shared" si="125"/>
        <v>#N/A</v>
      </c>
    </row>
    <row r="594" spans="1:82" ht="61.5" x14ac:dyDescent="0.85">
      <c r="A594" s="20">
        <v>1</v>
      </c>
      <c r="B594" s="60">
        <f>SUBTOTAL(103,$A$558:A594)</f>
        <v>37</v>
      </c>
      <c r="C594" s="24" t="s">
        <v>1377</v>
      </c>
      <c r="D594" s="31">
        <f t="shared" si="122"/>
        <v>4364500</v>
      </c>
      <c r="E594" s="31">
        <v>0</v>
      </c>
      <c r="F594" s="31">
        <v>0</v>
      </c>
      <c r="G594" s="31">
        <v>0</v>
      </c>
      <c r="H594" s="31">
        <v>0</v>
      </c>
      <c r="I594" s="31">
        <v>0</v>
      </c>
      <c r="J594" s="31">
        <v>0</v>
      </c>
      <c r="K594" s="67">
        <v>0</v>
      </c>
      <c r="L594" s="31">
        <v>0</v>
      </c>
      <c r="M594" s="31">
        <v>886</v>
      </c>
      <c r="N594" s="31">
        <v>4300000</v>
      </c>
      <c r="O594" s="31">
        <v>0</v>
      </c>
      <c r="P594" s="31">
        <v>0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  <c r="AA594" s="31">
        <v>0</v>
      </c>
      <c r="AB594" s="31">
        <v>0</v>
      </c>
      <c r="AC594" s="31">
        <v>64500</v>
      </c>
      <c r="AD594" s="31">
        <v>0</v>
      </c>
      <c r="AE594" s="31">
        <v>0</v>
      </c>
      <c r="AF594" s="33" t="s">
        <v>268</v>
      </c>
      <c r="AG594" s="33">
        <v>2021</v>
      </c>
      <c r="AH594" s="34">
        <v>2021</v>
      </c>
      <c r="BZ594" s="64"/>
      <c r="CD594" s="20" t="e">
        <f t="shared" si="125"/>
        <v>#N/A</v>
      </c>
    </row>
    <row r="595" spans="1:82" ht="61.5" x14ac:dyDescent="0.85">
      <c r="A595" s="20">
        <v>1</v>
      </c>
      <c r="B595" s="60">
        <f>SUBTOTAL(103,$A$558:A595)</f>
        <v>38</v>
      </c>
      <c r="C595" s="24" t="s">
        <v>1378</v>
      </c>
      <c r="D595" s="31">
        <f t="shared" si="122"/>
        <v>3434732.13</v>
      </c>
      <c r="E595" s="31">
        <v>0</v>
      </c>
      <c r="F595" s="31">
        <v>0</v>
      </c>
      <c r="G595" s="31">
        <v>0</v>
      </c>
      <c r="H595" s="31">
        <v>0</v>
      </c>
      <c r="I595" s="31">
        <v>0</v>
      </c>
      <c r="J595" s="31">
        <v>0</v>
      </c>
      <c r="K595" s="67">
        <v>0</v>
      </c>
      <c r="L595" s="31">
        <v>0</v>
      </c>
      <c r="M595" s="31">
        <v>630</v>
      </c>
      <c r="N595" s="31">
        <v>3285460.19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  <c r="AC595" s="31">
        <v>49281.9</v>
      </c>
      <c r="AD595" s="31">
        <v>99990.04</v>
      </c>
      <c r="AE595" s="31">
        <v>0</v>
      </c>
      <c r="AF595" s="33">
        <v>2021</v>
      </c>
      <c r="AG595" s="33">
        <v>2021</v>
      </c>
      <c r="AH595" s="34">
        <v>2021</v>
      </c>
      <c r="BZ595" s="64"/>
      <c r="CD595" s="20" t="e">
        <f t="shared" si="125"/>
        <v>#N/A</v>
      </c>
    </row>
    <row r="596" spans="1:82" ht="61.5" x14ac:dyDescent="0.85">
      <c r="A596" s="20">
        <v>1</v>
      </c>
      <c r="B596" s="60">
        <f>SUBTOTAL(103,$A$558:A596)</f>
        <v>39</v>
      </c>
      <c r="C596" s="24" t="s">
        <v>499</v>
      </c>
      <c r="D596" s="31">
        <f t="shared" si="122"/>
        <v>5709375</v>
      </c>
      <c r="E596" s="31">
        <v>0</v>
      </c>
      <c r="F596" s="31">
        <v>0</v>
      </c>
      <c r="G596" s="31">
        <v>0</v>
      </c>
      <c r="H596" s="31">
        <v>0</v>
      </c>
      <c r="I596" s="31">
        <v>0</v>
      </c>
      <c r="J596" s="31">
        <v>0</v>
      </c>
      <c r="K596" s="67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2002</v>
      </c>
      <c r="R596" s="31">
        <v>5625000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0</v>
      </c>
      <c r="AC596" s="31">
        <v>84375</v>
      </c>
      <c r="AD596" s="31">
        <v>0</v>
      </c>
      <c r="AE596" s="31">
        <v>0</v>
      </c>
      <c r="AF596" s="33" t="s">
        <v>268</v>
      </c>
      <c r="AG596" s="33">
        <v>2021</v>
      </c>
      <c r="AH596" s="34">
        <v>2021</v>
      </c>
      <c r="BZ596" s="64"/>
      <c r="CD596" s="20" t="e">
        <f t="shared" si="125"/>
        <v>#N/A</v>
      </c>
    </row>
    <row r="597" spans="1:82" ht="61.5" x14ac:dyDescent="0.85">
      <c r="A597" s="20">
        <v>1</v>
      </c>
      <c r="B597" s="60">
        <f>SUBTOTAL(103,$A$558:A597)</f>
        <v>40</v>
      </c>
      <c r="C597" s="24" t="s">
        <v>1064</v>
      </c>
      <c r="D597" s="31">
        <f t="shared" si="122"/>
        <v>2783418.81</v>
      </c>
      <c r="E597" s="31">
        <v>0</v>
      </c>
      <c r="F597" s="31">
        <v>0</v>
      </c>
      <c r="G597" s="31">
        <v>0</v>
      </c>
      <c r="H597" s="31">
        <v>0</v>
      </c>
      <c r="I597" s="31">
        <v>0</v>
      </c>
      <c r="J597" s="31">
        <v>0</v>
      </c>
      <c r="K597" s="67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860</v>
      </c>
      <c r="R597" s="31">
        <v>2742284.54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0</v>
      </c>
      <c r="AC597" s="31">
        <v>41134.269999999997</v>
      </c>
      <c r="AD597" s="31">
        <v>0</v>
      </c>
      <c r="AE597" s="31">
        <v>0</v>
      </c>
      <c r="AF597" s="33" t="s">
        <v>268</v>
      </c>
      <c r="AG597" s="33">
        <v>2021</v>
      </c>
      <c r="AH597" s="34">
        <v>2021</v>
      </c>
      <c r="BZ597" s="64"/>
      <c r="CD597" s="20" t="e">
        <f t="shared" si="125"/>
        <v>#N/A</v>
      </c>
    </row>
    <row r="598" spans="1:82" ht="61.5" x14ac:dyDescent="0.85">
      <c r="A598" s="20">
        <v>1</v>
      </c>
      <c r="B598" s="60">
        <f>SUBTOTAL(103,$A$558:A598)</f>
        <v>41</v>
      </c>
      <c r="C598" s="24" t="s">
        <v>1397</v>
      </c>
      <c r="D598" s="31">
        <f t="shared" si="122"/>
        <v>3863646.31</v>
      </c>
      <c r="E598" s="31">
        <v>0</v>
      </c>
      <c r="F598" s="31">
        <v>0</v>
      </c>
      <c r="G598" s="31">
        <v>0</v>
      </c>
      <c r="H598" s="31">
        <v>0</v>
      </c>
      <c r="I598" s="31">
        <v>0</v>
      </c>
      <c r="J598" s="31">
        <v>0</v>
      </c>
      <c r="K598" s="67">
        <v>0</v>
      </c>
      <c r="L598" s="31">
        <v>0</v>
      </c>
      <c r="M598" s="31">
        <v>931.14</v>
      </c>
      <c r="N598" s="31">
        <v>3806548.09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0</v>
      </c>
      <c r="AC598" s="31">
        <v>57098.22</v>
      </c>
      <c r="AD598" s="31">
        <v>0</v>
      </c>
      <c r="AE598" s="31">
        <v>0</v>
      </c>
      <c r="AF598" s="33" t="s">
        <v>268</v>
      </c>
      <c r="AG598" s="33">
        <v>2021</v>
      </c>
      <c r="AH598" s="34">
        <v>2021</v>
      </c>
      <c r="BZ598" s="64"/>
      <c r="CD598" s="20" t="e">
        <f t="shared" si="125"/>
        <v>#N/A</v>
      </c>
    </row>
    <row r="599" spans="1:82" ht="61.5" x14ac:dyDescent="0.85">
      <c r="A599" s="20">
        <v>1</v>
      </c>
      <c r="B599" s="60">
        <f>SUBTOTAL(103,$A$558:A599)</f>
        <v>42</v>
      </c>
      <c r="C599" s="24" t="s">
        <v>1370</v>
      </c>
      <c r="D599" s="31">
        <f t="shared" si="122"/>
        <v>1040953.78</v>
      </c>
      <c r="E599" s="31">
        <v>0</v>
      </c>
      <c r="F599" s="31">
        <v>0</v>
      </c>
      <c r="G599" s="31">
        <v>0</v>
      </c>
      <c r="H599" s="31">
        <v>0</v>
      </c>
      <c r="I599" s="31">
        <v>0</v>
      </c>
      <c r="J599" s="31">
        <v>0</v>
      </c>
      <c r="K599" s="67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554</v>
      </c>
      <c r="R599" s="31">
        <v>1025570.23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  <c r="AC599" s="31">
        <v>15383.55</v>
      </c>
      <c r="AD599" s="31">
        <v>0</v>
      </c>
      <c r="AE599" s="31">
        <v>0</v>
      </c>
      <c r="AF599" s="33" t="s">
        <v>268</v>
      </c>
      <c r="AG599" s="33">
        <v>2021</v>
      </c>
      <c r="AH599" s="34">
        <v>2021</v>
      </c>
      <c r="BZ599" s="64"/>
      <c r="CD599" s="20" t="e">
        <f t="shared" si="125"/>
        <v>#N/A</v>
      </c>
    </row>
    <row r="600" spans="1:82" ht="61.5" x14ac:dyDescent="0.85">
      <c r="A600" s="20">
        <v>1</v>
      </c>
      <c r="B600" s="60">
        <f>SUBTOTAL(103,$A$558:A600)</f>
        <v>43</v>
      </c>
      <c r="C600" s="24" t="s">
        <v>1112</v>
      </c>
      <c r="D600" s="31">
        <f t="shared" si="122"/>
        <v>1338055.4100000001</v>
      </c>
      <c r="E600" s="31">
        <v>0</v>
      </c>
      <c r="F600" s="31">
        <v>0</v>
      </c>
      <c r="G600" s="31">
        <v>0</v>
      </c>
      <c r="H600" s="31">
        <v>0</v>
      </c>
      <c r="I600" s="31">
        <v>0</v>
      </c>
      <c r="J600" s="31">
        <v>0</v>
      </c>
      <c r="K600" s="67">
        <v>0</v>
      </c>
      <c r="L600" s="31">
        <v>0</v>
      </c>
      <c r="M600" s="31">
        <v>0</v>
      </c>
      <c r="N600" s="31">
        <v>0</v>
      </c>
      <c r="O600" s="31">
        <v>278</v>
      </c>
      <c r="P600" s="31">
        <v>1318378.6100000001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  <c r="AC600" s="31">
        <v>19676.8</v>
      </c>
      <c r="AD600" s="31">
        <v>0</v>
      </c>
      <c r="AE600" s="31">
        <v>0</v>
      </c>
      <c r="AF600" s="33" t="s">
        <v>268</v>
      </c>
      <c r="AG600" s="33">
        <v>2021</v>
      </c>
      <c r="AH600" s="34">
        <v>2021</v>
      </c>
      <c r="BZ600" s="64"/>
      <c r="CD600" s="20" t="e">
        <f t="shared" si="125"/>
        <v>#N/A</v>
      </c>
    </row>
    <row r="601" spans="1:82" ht="61.5" x14ac:dyDescent="0.85">
      <c r="A601" s="20">
        <v>1</v>
      </c>
      <c r="B601" s="60">
        <f>SUBTOTAL(103,$A$558:A601)</f>
        <v>44</v>
      </c>
      <c r="C601" s="24" t="s">
        <v>1113</v>
      </c>
      <c r="D601" s="31">
        <f t="shared" si="122"/>
        <v>221655.15999999997</v>
      </c>
      <c r="E601" s="31">
        <v>102509.44</v>
      </c>
      <c r="F601" s="31">
        <v>0</v>
      </c>
      <c r="G601" s="31">
        <v>0</v>
      </c>
      <c r="H601" s="31">
        <v>115886.17</v>
      </c>
      <c r="I601" s="31">
        <v>0</v>
      </c>
      <c r="J601" s="31">
        <v>0</v>
      </c>
      <c r="K601" s="67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  <c r="AC601" s="31">
        <v>3259.55</v>
      </c>
      <c r="AD601" s="31">
        <v>0</v>
      </c>
      <c r="AE601" s="31">
        <v>0</v>
      </c>
      <c r="AF601" s="33" t="s">
        <v>268</v>
      </c>
      <c r="AG601" s="33">
        <v>2021</v>
      </c>
      <c r="AH601" s="34">
        <v>2021</v>
      </c>
      <c r="BZ601" s="64"/>
      <c r="CD601" s="20" t="e">
        <f t="shared" si="125"/>
        <v>#N/A</v>
      </c>
    </row>
    <row r="602" spans="1:82" ht="61.5" x14ac:dyDescent="0.85">
      <c r="A602" s="20">
        <v>1</v>
      </c>
      <c r="B602" s="60">
        <f>SUBTOTAL(103,$A$558:A602)</f>
        <v>45</v>
      </c>
      <c r="C602" s="24" t="s">
        <v>1115</v>
      </c>
      <c r="D602" s="31">
        <f t="shared" si="122"/>
        <v>2839946.57</v>
      </c>
      <c r="E602" s="31">
        <v>0</v>
      </c>
      <c r="F602" s="31">
        <v>0</v>
      </c>
      <c r="G602" s="31">
        <v>0</v>
      </c>
      <c r="H602" s="31">
        <v>0</v>
      </c>
      <c r="I602" s="31">
        <v>0</v>
      </c>
      <c r="J602" s="31">
        <v>0</v>
      </c>
      <c r="K602" s="67">
        <v>0</v>
      </c>
      <c r="L602" s="31">
        <v>0</v>
      </c>
      <c r="M602" s="31">
        <v>453.4</v>
      </c>
      <c r="N602" s="31">
        <v>2797976.92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0</v>
      </c>
      <c r="AB602" s="31">
        <v>0</v>
      </c>
      <c r="AC602" s="31">
        <v>41969.65</v>
      </c>
      <c r="AD602" s="31">
        <v>0</v>
      </c>
      <c r="AE602" s="31">
        <v>0</v>
      </c>
      <c r="AF602" s="33" t="s">
        <v>268</v>
      </c>
      <c r="AG602" s="33">
        <v>2021</v>
      </c>
      <c r="AH602" s="34">
        <v>2021</v>
      </c>
      <c r="BZ602" s="64"/>
      <c r="CD602" s="20">
        <f t="shared" si="125"/>
        <v>453.4</v>
      </c>
    </row>
    <row r="603" spans="1:82" ht="61.5" x14ac:dyDescent="0.85">
      <c r="A603" s="20">
        <v>1</v>
      </c>
      <c r="B603" s="60">
        <f>SUBTOTAL(103,$A$558:A603)</f>
        <v>46</v>
      </c>
      <c r="C603" s="24" t="s">
        <v>1118</v>
      </c>
      <c r="D603" s="31">
        <f t="shared" si="122"/>
        <v>3246745.9499999997</v>
      </c>
      <c r="E603" s="31">
        <v>0</v>
      </c>
      <c r="F603" s="31">
        <v>0</v>
      </c>
      <c r="G603" s="31">
        <v>0</v>
      </c>
      <c r="H603" s="31">
        <v>0</v>
      </c>
      <c r="I603" s="31">
        <v>0</v>
      </c>
      <c r="J603" s="31">
        <v>0</v>
      </c>
      <c r="K603" s="67">
        <v>0</v>
      </c>
      <c r="L603" s="31">
        <v>0</v>
      </c>
      <c r="M603" s="31">
        <v>1093</v>
      </c>
      <c r="N603" s="31">
        <v>3199000.86</v>
      </c>
      <c r="O603" s="31">
        <v>0</v>
      </c>
      <c r="P603" s="31">
        <v>0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  <c r="AA603" s="31">
        <v>0</v>
      </c>
      <c r="AB603" s="31">
        <v>0</v>
      </c>
      <c r="AC603" s="31">
        <v>47745.09</v>
      </c>
      <c r="AD603" s="31">
        <v>0</v>
      </c>
      <c r="AE603" s="31">
        <v>0</v>
      </c>
      <c r="AF603" s="33" t="s">
        <v>268</v>
      </c>
      <c r="AG603" s="33">
        <v>2021</v>
      </c>
      <c r="AH603" s="34">
        <v>2021</v>
      </c>
      <c r="BZ603" s="64"/>
      <c r="CD603" s="20">
        <f t="shared" si="125"/>
        <v>1093</v>
      </c>
    </row>
    <row r="604" spans="1:82" ht="61.5" x14ac:dyDescent="0.85">
      <c r="A604" s="20">
        <v>1</v>
      </c>
      <c r="B604" s="60">
        <f>SUBTOTAL(103,$A$558:A604)</f>
        <v>47</v>
      </c>
      <c r="C604" s="24" t="s">
        <v>1129</v>
      </c>
      <c r="D604" s="31">
        <f t="shared" si="122"/>
        <v>2490072.1</v>
      </c>
      <c r="E604" s="31">
        <v>0</v>
      </c>
      <c r="F604" s="31">
        <v>0</v>
      </c>
      <c r="G604" s="31">
        <v>0</v>
      </c>
      <c r="H604" s="31">
        <v>0</v>
      </c>
      <c r="I604" s="31">
        <v>0</v>
      </c>
      <c r="J604" s="31">
        <v>0</v>
      </c>
      <c r="K604" s="67">
        <v>0</v>
      </c>
      <c r="L604" s="31">
        <v>0</v>
      </c>
      <c r="M604" s="31">
        <v>543.4</v>
      </c>
      <c r="N604" s="31">
        <v>2453273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  <c r="AC604" s="31">
        <v>36799.1</v>
      </c>
      <c r="AD604" s="31">
        <v>0</v>
      </c>
      <c r="AE604" s="31">
        <v>0</v>
      </c>
      <c r="AF604" s="33" t="s">
        <v>268</v>
      </c>
      <c r="AG604" s="33">
        <v>2021</v>
      </c>
      <c r="AH604" s="34">
        <v>2021</v>
      </c>
      <c r="BZ604" s="64"/>
      <c r="CD604" s="20" t="e">
        <f t="shared" si="125"/>
        <v>#N/A</v>
      </c>
    </row>
    <row r="605" spans="1:82" ht="61.5" x14ac:dyDescent="0.85">
      <c r="A605" s="20">
        <v>1</v>
      </c>
      <c r="B605" s="60">
        <f>SUBTOTAL(103,$A$558:A605)</f>
        <v>48</v>
      </c>
      <c r="C605" s="24" t="s">
        <v>1130</v>
      </c>
      <c r="D605" s="31">
        <f t="shared" si="122"/>
        <v>2875925.36</v>
      </c>
      <c r="E605" s="31">
        <v>0</v>
      </c>
      <c r="F605" s="31">
        <v>0</v>
      </c>
      <c r="G605" s="31">
        <v>0</v>
      </c>
      <c r="H605" s="31">
        <v>0</v>
      </c>
      <c r="I605" s="31">
        <v>0</v>
      </c>
      <c r="J605" s="31">
        <v>0</v>
      </c>
      <c r="K605" s="67">
        <v>0</v>
      </c>
      <c r="L605" s="31">
        <v>0</v>
      </c>
      <c r="M605" s="31">
        <v>665</v>
      </c>
      <c r="N605" s="31">
        <v>2833424</v>
      </c>
      <c r="O605" s="31">
        <v>0</v>
      </c>
      <c r="P605" s="31">
        <v>0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0</v>
      </c>
      <c r="W605" s="31">
        <v>0</v>
      </c>
      <c r="X605" s="31">
        <v>0</v>
      </c>
      <c r="Y605" s="31">
        <v>0</v>
      </c>
      <c r="Z605" s="31">
        <v>0</v>
      </c>
      <c r="AA605" s="31">
        <v>0</v>
      </c>
      <c r="AB605" s="31">
        <v>0</v>
      </c>
      <c r="AC605" s="31">
        <v>42501.36</v>
      </c>
      <c r="AD605" s="31">
        <v>0</v>
      </c>
      <c r="AE605" s="31">
        <v>0</v>
      </c>
      <c r="AF605" s="33" t="s">
        <v>268</v>
      </c>
      <c r="AG605" s="33">
        <v>2021</v>
      </c>
      <c r="AH605" s="34">
        <v>2021</v>
      </c>
      <c r="BZ605" s="64"/>
      <c r="CD605" s="20" t="e">
        <f t="shared" si="125"/>
        <v>#N/A</v>
      </c>
    </row>
    <row r="606" spans="1:82" ht="61.5" x14ac:dyDescent="0.85">
      <c r="A606" s="20">
        <v>1</v>
      </c>
      <c r="B606" s="60">
        <f>SUBTOTAL(103,$A$558:A606)</f>
        <v>49</v>
      </c>
      <c r="C606" s="24" t="s">
        <v>1612</v>
      </c>
      <c r="D606" s="31">
        <f t="shared" si="122"/>
        <v>3684450</v>
      </c>
      <c r="E606" s="31">
        <v>0</v>
      </c>
      <c r="F606" s="31">
        <v>0</v>
      </c>
      <c r="G606" s="31">
        <v>0</v>
      </c>
      <c r="H606" s="31">
        <v>0</v>
      </c>
      <c r="I606" s="31">
        <v>0</v>
      </c>
      <c r="J606" s="31">
        <v>0</v>
      </c>
      <c r="K606" s="67">
        <v>0</v>
      </c>
      <c r="L606" s="31">
        <v>0</v>
      </c>
      <c r="M606" s="31">
        <v>900</v>
      </c>
      <c r="N606" s="31">
        <v>3630000</v>
      </c>
      <c r="O606" s="31">
        <v>0</v>
      </c>
      <c r="P606" s="31">
        <v>0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0</v>
      </c>
      <c r="W606" s="31">
        <v>0</v>
      </c>
      <c r="X606" s="31">
        <v>0</v>
      </c>
      <c r="Y606" s="31">
        <v>0</v>
      </c>
      <c r="Z606" s="31">
        <v>0</v>
      </c>
      <c r="AA606" s="31">
        <v>0</v>
      </c>
      <c r="AB606" s="31">
        <v>0</v>
      </c>
      <c r="AC606" s="31">
        <v>54450</v>
      </c>
      <c r="AD606" s="31">
        <v>0</v>
      </c>
      <c r="AE606" s="31">
        <v>0</v>
      </c>
      <c r="AF606" s="33" t="s">
        <v>268</v>
      </c>
      <c r="AG606" s="33">
        <v>2021</v>
      </c>
      <c r="AH606" s="34">
        <v>2021</v>
      </c>
      <c r="BZ606" s="64"/>
      <c r="CD606" s="20" t="e">
        <f t="shared" si="125"/>
        <v>#N/A</v>
      </c>
    </row>
    <row r="607" spans="1:82" ht="61.5" x14ac:dyDescent="0.85">
      <c r="A607" s="20">
        <v>1</v>
      </c>
      <c r="B607" s="60">
        <f>SUBTOTAL(103,$A$558:A607)</f>
        <v>50</v>
      </c>
      <c r="C607" s="24" t="s">
        <v>1614</v>
      </c>
      <c r="D607" s="31">
        <f t="shared" si="122"/>
        <v>3158279.48</v>
      </c>
      <c r="E607" s="31">
        <v>0</v>
      </c>
      <c r="F607" s="31">
        <v>0</v>
      </c>
      <c r="G607" s="31">
        <v>0</v>
      </c>
      <c r="H607" s="31">
        <v>0</v>
      </c>
      <c r="I607" s="31">
        <v>0</v>
      </c>
      <c r="J607" s="31">
        <v>0</v>
      </c>
      <c r="K607" s="67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1343.2</v>
      </c>
      <c r="R607" s="31">
        <v>3013086.71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0</v>
      </c>
      <c r="AC607" s="31">
        <v>45196.3</v>
      </c>
      <c r="AD607" s="31">
        <v>99996.47</v>
      </c>
      <c r="AE607" s="31">
        <v>0</v>
      </c>
      <c r="AF607" s="33">
        <v>2021</v>
      </c>
      <c r="AG607" s="33">
        <v>2021</v>
      </c>
      <c r="AH607" s="34">
        <v>2021</v>
      </c>
      <c r="BZ607" s="64"/>
      <c r="CD607" s="20" t="e">
        <f t="shared" si="125"/>
        <v>#N/A</v>
      </c>
    </row>
    <row r="608" spans="1:82" ht="61.5" x14ac:dyDescent="0.85">
      <c r="A608" s="20">
        <v>1</v>
      </c>
      <c r="B608" s="60">
        <f>SUBTOTAL(103,$A$558:A608)</f>
        <v>51</v>
      </c>
      <c r="C608" s="24" t="s">
        <v>1685</v>
      </c>
      <c r="D608" s="31">
        <f t="shared" si="122"/>
        <v>2934234.5</v>
      </c>
      <c r="E608" s="31">
        <v>0</v>
      </c>
      <c r="F608" s="31">
        <v>0</v>
      </c>
      <c r="G608" s="31">
        <v>0</v>
      </c>
      <c r="H608" s="31">
        <v>0</v>
      </c>
      <c r="I608" s="31">
        <v>0</v>
      </c>
      <c r="J608" s="31">
        <v>0</v>
      </c>
      <c r="K608" s="67">
        <v>2</v>
      </c>
      <c r="L608" s="31">
        <v>2934234.5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Z608" s="31">
        <v>0</v>
      </c>
      <c r="AA608" s="31">
        <v>0</v>
      </c>
      <c r="AB608" s="31">
        <v>0</v>
      </c>
      <c r="AC608" s="31">
        <v>0</v>
      </c>
      <c r="AD608" s="31">
        <v>0</v>
      </c>
      <c r="AE608" s="31">
        <v>0</v>
      </c>
      <c r="AF608" s="33" t="s">
        <v>268</v>
      </c>
      <c r="AG608" s="33">
        <v>2021</v>
      </c>
      <c r="AH608" s="34" t="s">
        <v>268</v>
      </c>
      <c r="BZ608" s="64"/>
      <c r="CD608" s="20" t="e">
        <f t="shared" si="125"/>
        <v>#N/A</v>
      </c>
    </row>
    <row r="609" spans="1:84" ht="61.5" x14ac:dyDescent="0.85">
      <c r="A609" s="20">
        <v>1</v>
      </c>
      <c r="B609" s="60">
        <f>SUBTOTAL(103,$A$558:A609)</f>
        <v>52</v>
      </c>
      <c r="C609" s="24" t="s">
        <v>481</v>
      </c>
      <c r="D609" s="31">
        <f t="shared" si="122"/>
        <v>4050838.2899999996</v>
      </c>
      <c r="E609" s="31">
        <v>0</v>
      </c>
      <c r="F609" s="31">
        <v>0</v>
      </c>
      <c r="G609" s="31">
        <v>0</v>
      </c>
      <c r="H609" s="31">
        <v>0</v>
      </c>
      <c r="I609" s="31">
        <v>0</v>
      </c>
      <c r="J609" s="31">
        <v>0</v>
      </c>
      <c r="K609" s="67">
        <v>0</v>
      </c>
      <c r="L609" s="31">
        <v>0</v>
      </c>
      <c r="M609" s="31">
        <v>600</v>
      </c>
      <c r="N609" s="31">
        <v>3892486.84</v>
      </c>
      <c r="O609" s="31">
        <v>0</v>
      </c>
      <c r="P609" s="31">
        <v>0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0</v>
      </c>
      <c r="Z609" s="31">
        <v>0</v>
      </c>
      <c r="AA609" s="31">
        <v>0</v>
      </c>
      <c r="AB609" s="31">
        <v>0</v>
      </c>
      <c r="AC609" s="31">
        <v>58387.3</v>
      </c>
      <c r="AD609" s="31">
        <v>99964.15</v>
      </c>
      <c r="AE609" s="31">
        <v>0</v>
      </c>
      <c r="AF609" s="33">
        <v>2021</v>
      </c>
      <c r="AG609" s="33">
        <v>2021</v>
      </c>
      <c r="AH609" s="33">
        <v>2021</v>
      </c>
      <c r="AT609" s="20" t="e">
        <f>VLOOKUP(C609,AW:AX,2,FALSE)</f>
        <v>#N/A</v>
      </c>
      <c r="AW609" s="20" t="s">
        <v>49</v>
      </c>
      <c r="AX609" s="20">
        <v>1</v>
      </c>
      <c r="BZ609" s="64"/>
      <c r="CD609" s="20" t="e">
        <f t="shared" si="125"/>
        <v>#N/A</v>
      </c>
      <c r="CE609" s="88" t="s">
        <v>517</v>
      </c>
      <c r="CF609" s="88">
        <v>1603.24</v>
      </c>
    </row>
    <row r="610" spans="1:84" ht="61.5" x14ac:dyDescent="0.85">
      <c r="A610" s="20">
        <v>1</v>
      </c>
      <c r="B610" s="60">
        <f>SUBTOTAL(103,$A$558:A610)</f>
        <v>53</v>
      </c>
      <c r="C610" s="24" t="s">
        <v>491</v>
      </c>
      <c r="D610" s="31">
        <f t="shared" si="122"/>
        <v>1987488.72</v>
      </c>
      <c r="E610" s="31">
        <v>0</v>
      </c>
      <c r="F610" s="31">
        <v>0</v>
      </c>
      <c r="G610" s="31">
        <v>0</v>
      </c>
      <c r="H610" s="31">
        <v>0</v>
      </c>
      <c r="I610" s="31">
        <v>0</v>
      </c>
      <c r="J610" s="31">
        <v>0</v>
      </c>
      <c r="K610" s="67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541.86</v>
      </c>
      <c r="R610" s="31">
        <v>1958116.97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0</v>
      </c>
      <c r="AC610" s="31">
        <v>29371.75</v>
      </c>
      <c r="AD610" s="31">
        <v>0</v>
      </c>
      <c r="AE610" s="31">
        <v>0</v>
      </c>
      <c r="AF610" s="33" t="s">
        <v>268</v>
      </c>
      <c r="AG610" s="33">
        <v>2021</v>
      </c>
      <c r="AH610" s="33">
        <v>2021</v>
      </c>
      <c r="AT610" s="20" t="e">
        <f>VLOOKUP(C610,AW:AX,2,FALSE)</f>
        <v>#N/A</v>
      </c>
      <c r="AW610" s="20" t="s">
        <v>813</v>
      </c>
      <c r="AX610" s="20">
        <v>1</v>
      </c>
      <c r="BZ610" s="64"/>
      <c r="CD610" s="20" t="e">
        <f t="shared" si="125"/>
        <v>#N/A</v>
      </c>
      <c r="CE610" s="88" t="s">
        <v>663</v>
      </c>
      <c r="CF610" s="88">
        <v>900</v>
      </c>
    </row>
    <row r="611" spans="1:84" ht="61.5" x14ac:dyDescent="0.85">
      <c r="A611" s="20">
        <v>1</v>
      </c>
      <c r="B611" s="60">
        <f>SUBTOTAL(103,$A$558:A611)</f>
        <v>54</v>
      </c>
      <c r="C611" s="24" t="s">
        <v>496</v>
      </c>
      <c r="D611" s="31">
        <f t="shared" si="122"/>
        <v>4358372.3199999994</v>
      </c>
      <c r="E611" s="31">
        <v>0</v>
      </c>
      <c r="F611" s="31">
        <v>0</v>
      </c>
      <c r="G611" s="31">
        <v>0</v>
      </c>
      <c r="H611" s="31">
        <v>0</v>
      </c>
      <c r="I611" s="31">
        <v>0</v>
      </c>
      <c r="J611" s="31">
        <v>0</v>
      </c>
      <c r="K611" s="67">
        <v>1</v>
      </c>
      <c r="L611" s="31">
        <v>2100000</v>
      </c>
      <c r="M611" s="31">
        <v>1020</v>
      </c>
      <c r="N611" s="31">
        <v>2126475.19</v>
      </c>
      <c r="O611" s="31">
        <v>0</v>
      </c>
      <c r="P611" s="31">
        <v>0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0</v>
      </c>
      <c r="AC611" s="31">
        <v>31897.13</v>
      </c>
      <c r="AD611" s="31">
        <v>100000</v>
      </c>
      <c r="AE611" s="31">
        <v>0</v>
      </c>
      <c r="AF611" s="33">
        <v>2021</v>
      </c>
      <c r="AG611" s="33">
        <v>2021</v>
      </c>
      <c r="AH611" s="33">
        <v>2021</v>
      </c>
      <c r="AT611" s="20" t="e">
        <f>VLOOKUP(C611,AW:AX,2,FALSE)</f>
        <v>#N/A</v>
      </c>
      <c r="BZ611" s="64"/>
      <c r="CD611" s="20" t="e">
        <f t="shared" si="125"/>
        <v>#N/A</v>
      </c>
      <c r="CE611" s="88" t="s">
        <v>168</v>
      </c>
      <c r="CF611" s="88">
        <v>412.82</v>
      </c>
    </row>
    <row r="612" spans="1:84" ht="61.5" x14ac:dyDescent="0.85">
      <c r="A612" s="20">
        <v>1</v>
      </c>
      <c r="B612" s="60">
        <f>SUBTOTAL(103,$A$558:A612)</f>
        <v>55</v>
      </c>
      <c r="C612" s="24" t="s">
        <v>497</v>
      </c>
      <c r="D612" s="31">
        <f t="shared" si="122"/>
        <v>1135747.27</v>
      </c>
      <c r="E612" s="31">
        <v>0</v>
      </c>
      <c r="F612" s="31">
        <v>0</v>
      </c>
      <c r="G612" s="31">
        <v>0</v>
      </c>
      <c r="H612" s="31">
        <v>0</v>
      </c>
      <c r="I612" s="31">
        <v>0</v>
      </c>
      <c r="J612" s="31">
        <v>0</v>
      </c>
      <c r="K612" s="67">
        <v>0</v>
      </c>
      <c r="L612" s="31">
        <v>0</v>
      </c>
      <c r="M612" s="31">
        <v>350</v>
      </c>
      <c r="N612" s="31">
        <v>1118962.83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0</v>
      </c>
      <c r="AC612" s="31">
        <v>16784.439999999999</v>
      </c>
      <c r="AD612" s="31">
        <v>0</v>
      </c>
      <c r="AE612" s="31">
        <v>0</v>
      </c>
      <c r="AF612" s="33" t="s">
        <v>268</v>
      </c>
      <c r="AG612" s="33">
        <v>2021</v>
      </c>
      <c r="AH612" s="33">
        <v>2021</v>
      </c>
      <c r="AT612" s="20" t="e">
        <f>VLOOKUP(C612,AW:AX,2,FALSE)</f>
        <v>#N/A</v>
      </c>
      <c r="BZ612" s="64"/>
      <c r="CD612" s="20" t="e">
        <f t="shared" si="125"/>
        <v>#N/A</v>
      </c>
      <c r="CE612" s="88" t="s">
        <v>1289</v>
      </c>
      <c r="CF612" s="88">
        <v>735</v>
      </c>
    </row>
    <row r="613" spans="1:84" ht="61.5" x14ac:dyDescent="0.85">
      <c r="A613" s="20">
        <v>1</v>
      </c>
      <c r="B613" s="60">
        <f>SUBTOTAL(103,$A$558:A613)</f>
        <v>56</v>
      </c>
      <c r="C613" s="24" t="s">
        <v>503</v>
      </c>
      <c r="D613" s="31">
        <f t="shared" si="122"/>
        <v>2536990.1700000004</v>
      </c>
      <c r="E613" s="31">
        <v>0</v>
      </c>
      <c r="F613" s="31">
        <v>0</v>
      </c>
      <c r="G613" s="31">
        <v>0</v>
      </c>
      <c r="H613" s="31">
        <v>0</v>
      </c>
      <c r="I613" s="31">
        <v>0</v>
      </c>
      <c r="J613" s="31">
        <v>0</v>
      </c>
      <c r="K613" s="67">
        <v>0</v>
      </c>
      <c r="L613" s="31">
        <v>0</v>
      </c>
      <c r="M613" s="31">
        <v>489</v>
      </c>
      <c r="N613" s="31">
        <v>2499497.7000000002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0</v>
      </c>
      <c r="AA613" s="31">
        <v>0</v>
      </c>
      <c r="AB613" s="31">
        <v>0</v>
      </c>
      <c r="AC613" s="31">
        <v>37492.47</v>
      </c>
      <c r="AD613" s="31">
        <v>0</v>
      </c>
      <c r="AE613" s="31">
        <v>0</v>
      </c>
      <c r="AF613" s="33" t="s">
        <v>268</v>
      </c>
      <c r="AG613" s="33">
        <v>2021</v>
      </c>
      <c r="AH613" s="33">
        <v>2021</v>
      </c>
      <c r="AT613" s="20" t="e">
        <f>VLOOKUP(C613,AW:AX,2,FALSE)</f>
        <v>#N/A</v>
      </c>
      <c r="BZ613" s="64"/>
      <c r="CD613" s="20" t="e">
        <f t="shared" si="125"/>
        <v>#N/A</v>
      </c>
      <c r="CE613" s="88" t="s">
        <v>519</v>
      </c>
      <c r="CF613" s="88">
        <v>777.1</v>
      </c>
    </row>
    <row r="614" spans="1:84" ht="61.5" x14ac:dyDescent="0.85">
      <c r="A614" s="20">
        <v>1</v>
      </c>
      <c r="B614" s="60">
        <f>SUBTOTAL(103,$A$558:A614)</f>
        <v>57</v>
      </c>
      <c r="C614" s="24" t="s">
        <v>1610</v>
      </c>
      <c r="D614" s="31">
        <f t="shared" si="122"/>
        <v>2018639.07</v>
      </c>
      <c r="E614" s="31">
        <v>0</v>
      </c>
      <c r="F614" s="31">
        <v>0</v>
      </c>
      <c r="G614" s="31">
        <v>0</v>
      </c>
      <c r="H614" s="31">
        <v>0</v>
      </c>
      <c r="I614" s="31">
        <v>0</v>
      </c>
      <c r="J614" s="31">
        <v>0</v>
      </c>
      <c r="K614" s="67">
        <v>0</v>
      </c>
      <c r="L614" s="31">
        <v>0</v>
      </c>
      <c r="M614" s="144">
        <v>573</v>
      </c>
      <c r="N614" s="144">
        <v>1991161.05</v>
      </c>
      <c r="O614" s="31">
        <v>0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0</v>
      </c>
      <c r="AA614" s="31">
        <v>0</v>
      </c>
      <c r="AB614" s="31">
        <v>0</v>
      </c>
      <c r="AC614" s="31">
        <v>27478.02</v>
      </c>
      <c r="AD614" s="31">
        <v>0</v>
      </c>
      <c r="AE614" s="31">
        <v>0</v>
      </c>
      <c r="AF614" s="33" t="s">
        <v>268</v>
      </c>
      <c r="AG614" s="33">
        <v>2021</v>
      </c>
      <c r="AH614" s="33">
        <v>2021</v>
      </c>
      <c r="BZ614" s="64"/>
      <c r="CD614" s="20" t="e">
        <f t="shared" si="125"/>
        <v>#N/A</v>
      </c>
      <c r="CE614" s="88" t="s">
        <v>1549</v>
      </c>
      <c r="CF614" s="88">
        <v>747.3</v>
      </c>
    </row>
    <row r="615" spans="1:84" ht="61.5" x14ac:dyDescent="0.85">
      <c r="A615" s="20">
        <v>1</v>
      </c>
      <c r="B615" s="60">
        <f>SUBTOTAL(103,$A$558:A615)</f>
        <v>58</v>
      </c>
      <c r="C615" s="24" t="s">
        <v>1698</v>
      </c>
      <c r="D615" s="31">
        <f t="shared" si="122"/>
        <v>8993212</v>
      </c>
      <c r="E615" s="31">
        <v>0</v>
      </c>
      <c r="F615" s="31">
        <v>0</v>
      </c>
      <c r="G615" s="31">
        <v>0</v>
      </c>
      <c r="H615" s="31">
        <v>0</v>
      </c>
      <c r="I615" s="31">
        <v>0</v>
      </c>
      <c r="J615" s="31">
        <v>0</v>
      </c>
      <c r="K615" s="67">
        <v>4</v>
      </c>
      <c r="L615" s="31">
        <v>8843212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  <c r="AC615" s="31">
        <v>0</v>
      </c>
      <c r="AD615" s="31">
        <v>150000</v>
      </c>
      <c r="AE615" s="31">
        <v>0</v>
      </c>
      <c r="AF615" s="33">
        <v>2021</v>
      </c>
      <c r="AG615" s="33">
        <v>2021</v>
      </c>
      <c r="AH615" s="34" t="s">
        <v>268</v>
      </c>
      <c r="BZ615" s="64"/>
      <c r="CD615" s="20" t="e">
        <f t="shared" si="125"/>
        <v>#N/A</v>
      </c>
    </row>
    <row r="616" spans="1:84" ht="61.5" x14ac:dyDescent="0.85">
      <c r="A616" s="20">
        <v>1</v>
      </c>
      <c r="B616" s="60">
        <f>SUBTOTAL(103,$A$558:A616)</f>
        <v>59</v>
      </c>
      <c r="C616" s="24" t="s">
        <v>1699</v>
      </c>
      <c r="D616" s="31">
        <f t="shared" si="122"/>
        <v>5622678.4500000002</v>
      </c>
      <c r="E616" s="31">
        <v>0</v>
      </c>
      <c r="F616" s="31">
        <v>0</v>
      </c>
      <c r="G616" s="31">
        <v>0</v>
      </c>
      <c r="H616" s="31">
        <v>0</v>
      </c>
      <c r="I616" s="31">
        <v>0</v>
      </c>
      <c r="J616" s="31">
        <v>0</v>
      </c>
      <c r="K616" s="67">
        <v>0</v>
      </c>
      <c r="L616" s="31">
        <v>0</v>
      </c>
      <c r="M616" s="31">
        <v>952</v>
      </c>
      <c r="N616" s="31">
        <f>4455865+1000000</f>
        <v>5455865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  <c r="AC616" s="31">
        <v>66837.98</v>
      </c>
      <c r="AD616" s="31">
        <v>99975.47</v>
      </c>
      <c r="AE616" s="31">
        <v>0</v>
      </c>
      <c r="AF616" s="33">
        <v>2021</v>
      </c>
      <c r="AG616" s="33">
        <v>2021</v>
      </c>
      <c r="AH616" s="33">
        <v>2021</v>
      </c>
      <c r="BZ616" s="64"/>
      <c r="CD616" s="20" t="e">
        <f t="shared" si="125"/>
        <v>#N/A</v>
      </c>
    </row>
    <row r="617" spans="1:84" ht="61.5" x14ac:dyDescent="0.85">
      <c r="A617" s="20">
        <v>1</v>
      </c>
      <c r="B617" s="60">
        <f>SUBTOTAL(103,$A$558:A617)</f>
        <v>60</v>
      </c>
      <c r="C617" s="24" t="s">
        <v>1872</v>
      </c>
      <c r="D617" s="31">
        <f t="shared" si="122"/>
        <v>2729561.1</v>
      </c>
      <c r="E617" s="31">
        <v>0</v>
      </c>
      <c r="F617" s="31">
        <v>0</v>
      </c>
      <c r="G617" s="31">
        <v>0</v>
      </c>
      <c r="H617" s="31">
        <v>0</v>
      </c>
      <c r="I617" s="31">
        <v>0</v>
      </c>
      <c r="J617" s="31">
        <v>0</v>
      </c>
      <c r="K617" s="67">
        <v>0</v>
      </c>
      <c r="L617" s="31">
        <v>0</v>
      </c>
      <c r="M617" s="31">
        <v>598</v>
      </c>
      <c r="N617" s="31">
        <v>2590720.06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0</v>
      </c>
      <c r="AC617" s="31">
        <v>38860.800000000003</v>
      </c>
      <c r="AD617" s="31">
        <v>99980.24</v>
      </c>
      <c r="AE617" s="31">
        <v>0</v>
      </c>
      <c r="AF617" s="33">
        <v>2021</v>
      </c>
      <c r="AG617" s="33">
        <v>2021</v>
      </c>
      <c r="AH617" s="33">
        <v>2021</v>
      </c>
      <c r="BZ617" s="64"/>
      <c r="CD617" s="20" t="e">
        <f t="shared" si="125"/>
        <v>#N/A</v>
      </c>
    </row>
    <row r="618" spans="1:84" ht="61.5" x14ac:dyDescent="0.85">
      <c r="A618" s="20">
        <v>1</v>
      </c>
      <c r="B618" s="60">
        <f>SUBTOTAL(103,$A$558:A618)</f>
        <v>61</v>
      </c>
      <c r="C618" s="24" t="s">
        <v>1928</v>
      </c>
      <c r="D618" s="31">
        <f t="shared" si="122"/>
        <v>5474632.6699999999</v>
      </c>
      <c r="E618" s="31">
        <v>0</v>
      </c>
      <c r="F618" s="31">
        <v>0</v>
      </c>
      <c r="G618" s="31">
        <v>0</v>
      </c>
      <c r="H618" s="31">
        <v>0</v>
      </c>
      <c r="I618" s="31">
        <v>0</v>
      </c>
      <c r="J618" s="31">
        <v>0</v>
      </c>
      <c r="K618" s="67">
        <v>0</v>
      </c>
      <c r="L618" s="31">
        <v>0</v>
      </c>
      <c r="M618" s="31">
        <v>960</v>
      </c>
      <c r="N618" s="31">
        <f>4310000+1000000</f>
        <v>5310000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0</v>
      </c>
      <c r="AC618" s="31">
        <v>64650</v>
      </c>
      <c r="AD618" s="31">
        <v>99982.67</v>
      </c>
      <c r="AE618" s="31">
        <v>0</v>
      </c>
      <c r="AF618" s="33">
        <v>2021</v>
      </c>
      <c r="AG618" s="33">
        <v>2021</v>
      </c>
      <c r="AH618" s="33">
        <v>2021</v>
      </c>
      <c r="BZ618" s="64"/>
      <c r="CD618" s="20" t="e">
        <f t="shared" si="125"/>
        <v>#N/A</v>
      </c>
    </row>
    <row r="619" spans="1:84" ht="61.5" x14ac:dyDescent="0.85">
      <c r="A619" s="20">
        <v>1</v>
      </c>
      <c r="B619" s="60">
        <f>SUBTOTAL(103,$A$558:A619)</f>
        <v>62</v>
      </c>
      <c r="C619" s="24" t="s">
        <v>1929</v>
      </c>
      <c r="D619" s="31">
        <f t="shared" si="122"/>
        <v>5362978.1900000004</v>
      </c>
      <c r="E619" s="31">
        <v>0</v>
      </c>
      <c r="F619" s="31">
        <v>0</v>
      </c>
      <c r="G619" s="31">
        <v>0</v>
      </c>
      <c r="H619" s="31">
        <v>0</v>
      </c>
      <c r="I619" s="31">
        <v>0</v>
      </c>
      <c r="J619" s="31">
        <v>0</v>
      </c>
      <c r="K619" s="67">
        <v>0</v>
      </c>
      <c r="L619" s="31">
        <v>0</v>
      </c>
      <c r="M619" s="31">
        <v>855</v>
      </c>
      <c r="N619" s="31">
        <f>4200000+1000000</f>
        <v>5200000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0</v>
      </c>
      <c r="AC619" s="31">
        <v>63000</v>
      </c>
      <c r="AD619" s="31">
        <v>99978.19</v>
      </c>
      <c r="AE619" s="31">
        <v>0</v>
      </c>
      <c r="AF619" s="33">
        <v>2021</v>
      </c>
      <c r="AG619" s="33">
        <v>2021</v>
      </c>
      <c r="AH619" s="33">
        <v>2021</v>
      </c>
      <c r="BZ619" s="64"/>
      <c r="CD619" s="20" t="e">
        <f t="shared" si="125"/>
        <v>#N/A</v>
      </c>
    </row>
    <row r="620" spans="1:84" ht="61.5" x14ac:dyDescent="0.85">
      <c r="A620" s="20">
        <v>1</v>
      </c>
      <c r="B620" s="60">
        <f>SUBTOTAL(103,$A$558:A620)</f>
        <v>63</v>
      </c>
      <c r="C620" s="24" t="s">
        <v>1930</v>
      </c>
      <c r="D620" s="31">
        <f t="shared" si="122"/>
        <v>5362980.45</v>
      </c>
      <c r="E620" s="31">
        <v>0</v>
      </c>
      <c r="F620" s="31">
        <v>0</v>
      </c>
      <c r="G620" s="31">
        <v>0</v>
      </c>
      <c r="H620" s="31">
        <v>0</v>
      </c>
      <c r="I620" s="31">
        <v>0</v>
      </c>
      <c r="J620" s="31">
        <v>0</v>
      </c>
      <c r="K620" s="67">
        <v>0</v>
      </c>
      <c r="L620" s="31">
        <v>0</v>
      </c>
      <c r="M620" s="31">
        <v>855</v>
      </c>
      <c r="N620" s="31">
        <f>4200000+1000000</f>
        <v>5200000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  <c r="AC620" s="31">
        <v>63000</v>
      </c>
      <c r="AD620" s="31">
        <v>99980.45</v>
      </c>
      <c r="AE620" s="31">
        <v>0</v>
      </c>
      <c r="AF620" s="33">
        <v>2021</v>
      </c>
      <c r="AG620" s="33">
        <v>2021</v>
      </c>
      <c r="AH620" s="33">
        <v>2021</v>
      </c>
      <c r="BZ620" s="64"/>
      <c r="CD620" s="20" t="e">
        <f t="shared" ref="CD620:CD651" si="126">VLOOKUP(C620,CE:CF,2,FALSE)</f>
        <v>#N/A</v>
      </c>
    </row>
    <row r="621" spans="1:84" ht="61.5" x14ac:dyDescent="0.85">
      <c r="A621" s="20">
        <v>1</v>
      </c>
      <c r="B621" s="60">
        <f>SUBTOTAL(103,$A$558:A621)</f>
        <v>64</v>
      </c>
      <c r="C621" s="24" t="s">
        <v>1931</v>
      </c>
      <c r="D621" s="31">
        <f t="shared" si="122"/>
        <v>7155522.0800000001</v>
      </c>
      <c r="E621" s="31">
        <v>0</v>
      </c>
      <c r="F621" s="31">
        <v>0</v>
      </c>
      <c r="G621" s="31">
        <v>0</v>
      </c>
      <c r="H621" s="31">
        <v>0</v>
      </c>
      <c r="I621" s="31">
        <v>0</v>
      </c>
      <c r="J621" s="31">
        <v>0</v>
      </c>
      <c r="K621" s="67">
        <v>0</v>
      </c>
      <c r="L621" s="31">
        <v>0</v>
      </c>
      <c r="M621" s="31">
        <v>1036</v>
      </c>
      <c r="N621" s="31">
        <f>5000000+1980533.84</f>
        <v>6980533.8399999999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0</v>
      </c>
      <c r="AC621" s="31">
        <v>75000</v>
      </c>
      <c r="AD621" s="31">
        <v>99988.24</v>
      </c>
      <c r="AE621" s="31">
        <v>0</v>
      </c>
      <c r="AF621" s="33">
        <v>2021</v>
      </c>
      <c r="AG621" s="33">
        <v>2021</v>
      </c>
      <c r="AH621" s="33">
        <v>2021</v>
      </c>
      <c r="BZ621" s="64"/>
      <c r="CD621" s="20" t="e">
        <f t="shared" si="126"/>
        <v>#N/A</v>
      </c>
    </row>
    <row r="622" spans="1:84" ht="61.5" x14ac:dyDescent="0.85">
      <c r="A622" s="20">
        <v>1</v>
      </c>
      <c r="B622" s="60">
        <f>SUBTOTAL(103,$A$558:A622)</f>
        <v>65</v>
      </c>
      <c r="C622" s="24" t="s">
        <v>1063</v>
      </c>
      <c r="D622" s="31">
        <f t="shared" si="122"/>
        <v>2112589</v>
      </c>
      <c r="E622" s="31">
        <v>0</v>
      </c>
      <c r="F622" s="31">
        <v>0</v>
      </c>
      <c r="G622" s="31">
        <v>0</v>
      </c>
      <c r="H622" s="31">
        <v>0</v>
      </c>
      <c r="I622" s="31">
        <v>0</v>
      </c>
      <c r="J622" s="31">
        <v>0</v>
      </c>
      <c r="K622" s="67">
        <v>0</v>
      </c>
      <c r="L622" s="31">
        <v>0</v>
      </c>
      <c r="M622" s="31">
        <v>500</v>
      </c>
      <c r="N622" s="31">
        <v>2081368.47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  <c r="AC622" s="31">
        <v>31220.53</v>
      </c>
      <c r="AD622" s="31">
        <v>0</v>
      </c>
      <c r="AE622" s="31">
        <v>0</v>
      </c>
      <c r="AF622" s="33" t="s">
        <v>268</v>
      </c>
      <c r="AG622" s="33">
        <v>2021</v>
      </c>
      <c r="AH622" s="33">
        <v>2021</v>
      </c>
      <c r="AT622" s="20" t="e">
        <f>VLOOKUP(C622,AW:AX,2,FALSE)</f>
        <v>#N/A</v>
      </c>
      <c r="AW622" s="20" t="s">
        <v>391</v>
      </c>
      <c r="AX622" s="20">
        <v>1</v>
      </c>
      <c r="BZ622" s="64"/>
      <c r="CD622" s="20" t="e">
        <f t="shared" si="126"/>
        <v>#N/A</v>
      </c>
      <c r="CE622" s="88" t="s">
        <v>492</v>
      </c>
      <c r="CF622" s="88">
        <v>761.5</v>
      </c>
    </row>
    <row r="623" spans="1:84" ht="61.5" x14ac:dyDescent="0.85">
      <c r="A623" s="20">
        <v>1</v>
      </c>
      <c r="B623" s="60">
        <f>SUBTOTAL(103,$A$558:A623)</f>
        <v>66</v>
      </c>
      <c r="C623" s="24" t="s">
        <v>488</v>
      </c>
      <c r="D623" s="31">
        <f t="shared" si="122"/>
        <v>2556530.7300000004</v>
      </c>
      <c r="E623" s="31">
        <v>0</v>
      </c>
      <c r="F623" s="31">
        <v>0</v>
      </c>
      <c r="G623" s="31">
        <v>0</v>
      </c>
      <c r="H623" s="31">
        <v>0</v>
      </c>
      <c r="I623" s="31">
        <v>0</v>
      </c>
      <c r="J623" s="31">
        <v>0</v>
      </c>
      <c r="K623" s="67">
        <v>0</v>
      </c>
      <c r="L623" s="31">
        <v>0</v>
      </c>
      <c r="M623" s="38">
        <v>693</v>
      </c>
      <c r="N623" s="31">
        <v>2518749.4900000002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  <c r="AC623" s="31">
        <v>37781.24</v>
      </c>
      <c r="AD623" s="31">
        <v>0</v>
      </c>
      <c r="AE623" s="31">
        <v>0</v>
      </c>
      <c r="AF623" s="33" t="s">
        <v>268</v>
      </c>
      <c r="AG623" s="33">
        <v>2021</v>
      </c>
      <c r="AH623" s="33">
        <v>2021</v>
      </c>
      <c r="AT623" s="20" t="e">
        <f>VLOOKUP(C623,AW:AX,2,FALSE)</f>
        <v>#N/A</v>
      </c>
      <c r="AW623" s="20" t="s">
        <v>431</v>
      </c>
      <c r="AX623" s="20">
        <v>1</v>
      </c>
      <c r="BZ623" s="64"/>
      <c r="CD623" s="20" t="e">
        <f t="shared" si="126"/>
        <v>#N/A</v>
      </c>
      <c r="CE623" s="88" t="s">
        <v>451</v>
      </c>
      <c r="CF623" s="88">
        <v>865.12</v>
      </c>
    </row>
    <row r="624" spans="1:84" ht="61.5" x14ac:dyDescent="0.85">
      <c r="A624" s="20">
        <v>1</v>
      </c>
      <c r="B624" s="60">
        <f>SUBTOTAL(103,$A$558:A624)</f>
        <v>67</v>
      </c>
      <c r="C624" s="24" t="s">
        <v>1094</v>
      </c>
      <c r="D624" s="31">
        <f t="shared" si="122"/>
        <v>2262188.67</v>
      </c>
      <c r="E624" s="31">
        <v>0</v>
      </c>
      <c r="F624" s="31">
        <v>0</v>
      </c>
      <c r="G624" s="31">
        <v>0</v>
      </c>
      <c r="H624" s="31">
        <v>0</v>
      </c>
      <c r="I624" s="31">
        <v>0</v>
      </c>
      <c r="J624" s="31">
        <v>0</v>
      </c>
      <c r="K624" s="67">
        <v>0</v>
      </c>
      <c r="L624" s="31">
        <v>0</v>
      </c>
      <c r="M624" s="38">
        <v>1224</v>
      </c>
      <c r="N624" s="31">
        <v>2228922.0099999998</v>
      </c>
      <c r="O624" s="31">
        <v>0</v>
      </c>
      <c r="P624" s="31">
        <v>0</v>
      </c>
      <c r="Q624" s="31"/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  <c r="AC624" s="31">
        <v>33266.660000000003</v>
      </c>
      <c r="AD624" s="31">
        <v>0</v>
      </c>
      <c r="AE624" s="31">
        <v>0</v>
      </c>
      <c r="AF624" s="33" t="s">
        <v>268</v>
      </c>
      <c r="AG624" s="33">
        <v>2021</v>
      </c>
      <c r="AH624" s="33">
        <v>2021</v>
      </c>
      <c r="BZ624" s="64"/>
      <c r="CD624" s="20">
        <f t="shared" si="126"/>
        <v>1147.7</v>
      </c>
      <c r="CE624" s="88" t="s">
        <v>1179</v>
      </c>
      <c r="CF624" s="88">
        <v>1906.5</v>
      </c>
    </row>
    <row r="625" spans="1:84" ht="61.5" x14ac:dyDescent="0.85">
      <c r="A625" s="20">
        <v>1</v>
      </c>
      <c r="B625" s="60">
        <f>SUBTOTAL(103,$A$558:A625)</f>
        <v>68</v>
      </c>
      <c r="C625" s="24" t="s">
        <v>1583</v>
      </c>
      <c r="D625" s="31">
        <f t="shared" si="122"/>
        <v>4542675.7399999993</v>
      </c>
      <c r="E625" s="31">
        <v>0</v>
      </c>
      <c r="F625" s="31">
        <v>0</v>
      </c>
      <c r="G625" s="31">
        <v>0</v>
      </c>
      <c r="H625" s="31">
        <v>0</v>
      </c>
      <c r="I625" s="31">
        <v>0</v>
      </c>
      <c r="J625" s="31">
        <v>0</v>
      </c>
      <c r="K625" s="67">
        <v>0</v>
      </c>
      <c r="L625" s="31">
        <v>0</v>
      </c>
      <c r="M625" s="31">
        <v>1119</v>
      </c>
      <c r="N625" s="31">
        <v>4475542.5999999996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  <c r="AC625" s="31">
        <v>67133.14</v>
      </c>
      <c r="AD625" s="31">
        <v>0</v>
      </c>
      <c r="AE625" s="31">
        <v>0</v>
      </c>
      <c r="AF625" s="33" t="s">
        <v>268</v>
      </c>
      <c r="AG625" s="33">
        <v>2021</v>
      </c>
      <c r="AH625" s="33">
        <v>2021</v>
      </c>
      <c r="BZ625" s="64"/>
      <c r="CD625" s="20" t="e">
        <f t="shared" si="126"/>
        <v>#N/A</v>
      </c>
      <c r="CE625" s="88" t="s">
        <v>1235</v>
      </c>
      <c r="CF625" s="88">
        <v>901.42</v>
      </c>
    </row>
    <row r="626" spans="1:84" ht="61.5" x14ac:dyDescent="0.85">
      <c r="A626" s="20">
        <v>1</v>
      </c>
      <c r="B626" s="60">
        <f>SUBTOTAL(103,$A$558:A626)</f>
        <v>69</v>
      </c>
      <c r="C626" s="24" t="s">
        <v>579</v>
      </c>
      <c r="D626" s="31">
        <f t="shared" si="122"/>
        <v>1966231.38</v>
      </c>
      <c r="E626" s="31">
        <v>0</v>
      </c>
      <c r="F626" s="31">
        <v>0</v>
      </c>
      <c r="G626" s="31">
        <v>0</v>
      </c>
      <c r="H626" s="31">
        <v>0</v>
      </c>
      <c r="I626" s="31">
        <v>0</v>
      </c>
      <c r="J626" s="31">
        <v>0</v>
      </c>
      <c r="K626" s="67">
        <v>0</v>
      </c>
      <c r="L626" s="31">
        <v>0</v>
      </c>
      <c r="M626" s="31">
        <v>917.7</v>
      </c>
      <c r="N626" s="31">
        <v>1939466.75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  <c r="AC626" s="31">
        <v>26764.63</v>
      </c>
      <c r="AD626" s="31">
        <v>0</v>
      </c>
      <c r="AE626" s="31">
        <v>0</v>
      </c>
      <c r="AF626" s="33" t="s">
        <v>268</v>
      </c>
      <c r="AG626" s="33">
        <v>2021</v>
      </c>
      <c r="AH626" s="33">
        <v>2021</v>
      </c>
      <c r="AT626" s="20" t="e">
        <f>VLOOKUP(C626,AW:AX,2,FALSE)</f>
        <v>#N/A</v>
      </c>
      <c r="BZ626" s="64"/>
    </row>
    <row r="627" spans="1:84" ht="61.5" x14ac:dyDescent="0.85">
      <c r="A627" s="20">
        <v>1</v>
      </c>
      <c r="B627" s="60">
        <f>SUBTOTAL(103,$A$558:A627)</f>
        <v>70</v>
      </c>
      <c r="C627" s="24" t="s">
        <v>1584</v>
      </c>
      <c r="D627" s="31">
        <f t="shared" si="122"/>
        <v>2739411.65</v>
      </c>
      <c r="E627" s="31">
        <v>0</v>
      </c>
      <c r="F627" s="31">
        <v>0</v>
      </c>
      <c r="G627" s="31">
        <v>0</v>
      </c>
      <c r="H627" s="31">
        <v>0</v>
      </c>
      <c r="I627" s="31">
        <v>0</v>
      </c>
      <c r="J627" s="31">
        <v>0</v>
      </c>
      <c r="K627" s="67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1314</v>
      </c>
      <c r="R627" s="31">
        <v>2698927.73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  <c r="AC627" s="31">
        <v>40483.919999999998</v>
      </c>
      <c r="AD627" s="31">
        <v>0</v>
      </c>
      <c r="AE627" s="31">
        <v>0</v>
      </c>
      <c r="AF627" s="33" t="s">
        <v>268</v>
      </c>
      <c r="AG627" s="33">
        <v>2021</v>
      </c>
      <c r="AH627" s="33">
        <v>2021</v>
      </c>
      <c r="BZ627" s="64"/>
      <c r="CD627" s="20" t="e">
        <f t="shared" ref="CD627:CD638" si="127">VLOOKUP(C627,CE:CF,2,FALSE)</f>
        <v>#N/A</v>
      </c>
      <c r="CE627" s="88" t="s">
        <v>44</v>
      </c>
      <c r="CF627" s="88">
        <v>631</v>
      </c>
    </row>
    <row r="628" spans="1:84" ht="61.5" x14ac:dyDescent="0.85">
      <c r="A628" s="20">
        <v>1</v>
      </c>
      <c r="B628" s="60">
        <f>SUBTOTAL(103,$A$558:A628)</f>
        <v>71</v>
      </c>
      <c r="C628" s="24" t="s">
        <v>498</v>
      </c>
      <c r="D628" s="31">
        <f t="shared" si="122"/>
        <v>4074712.4</v>
      </c>
      <c r="E628" s="31">
        <v>0</v>
      </c>
      <c r="F628" s="31">
        <v>0</v>
      </c>
      <c r="G628" s="31">
        <v>0</v>
      </c>
      <c r="H628" s="31">
        <v>0</v>
      </c>
      <c r="I628" s="31">
        <v>0</v>
      </c>
      <c r="J628" s="31">
        <v>0</v>
      </c>
      <c r="K628" s="67">
        <v>0</v>
      </c>
      <c r="L628" s="31">
        <v>0</v>
      </c>
      <c r="M628" s="31">
        <v>800</v>
      </c>
      <c r="N628" s="31">
        <v>4014495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Z628" s="31">
        <v>0</v>
      </c>
      <c r="AA628" s="31">
        <v>0</v>
      </c>
      <c r="AB628" s="31">
        <v>0</v>
      </c>
      <c r="AC628" s="31">
        <v>60217.4</v>
      </c>
      <c r="AD628" s="31">
        <v>0</v>
      </c>
      <c r="AE628" s="31">
        <v>0</v>
      </c>
      <c r="AF628" s="33" t="s">
        <v>268</v>
      </c>
      <c r="AG628" s="33">
        <v>2021</v>
      </c>
      <c r="AH628" s="33">
        <v>2021</v>
      </c>
      <c r="AT628" s="20" t="e">
        <f>VLOOKUP(C628,AW:AX,2,FALSE)</f>
        <v>#N/A</v>
      </c>
      <c r="BZ628" s="64"/>
      <c r="CD628" s="20" t="e">
        <f t="shared" si="127"/>
        <v>#N/A</v>
      </c>
      <c r="CE628" s="88" t="s">
        <v>151</v>
      </c>
      <c r="CF628" s="88">
        <v>833.9</v>
      </c>
    </row>
    <row r="629" spans="1:84" ht="61.5" x14ac:dyDescent="0.85">
      <c r="A629" s="20">
        <v>1</v>
      </c>
      <c r="B629" s="60">
        <f>SUBTOTAL(103,$A$558:A629)</f>
        <v>72</v>
      </c>
      <c r="C629" s="24" t="s">
        <v>1585</v>
      </c>
      <c r="D629" s="31">
        <f>E629+F629+G629+H629+I629+J629+L629+N629+P629+R629+T629+U629+V629+W629+X629+Y629+Z629+AA629+AB629+AC629+AD629+AE629</f>
        <v>3000999.9</v>
      </c>
      <c r="E629" s="31">
        <v>0</v>
      </c>
      <c r="F629" s="31">
        <v>0</v>
      </c>
      <c r="G629" s="31">
        <v>0</v>
      </c>
      <c r="H629" s="31">
        <v>0</v>
      </c>
      <c r="I629" s="31">
        <v>0</v>
      </c>
      <c r="J629" s="31">
        <v>0</v>
      </c>
      <c r="K629" s="67">
        <v>0</v>
      </c>
      <c r="L629" s="31">
        <v>0</v>
      </c>
      <c r="M629" s="31">
        <v>707</v>
      </c>
      <c r="N629" s="31">
        <v>2956650.15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0</v>
      </c>
      <c r="AB629" s="31">
        <v>0</v>
      </c>
      <c r="AC629" s="31">
        <v>44349.75</v>
      </c>
      <c r="AD629" s="31">
        <v>0</v>
      </c>
      <c r="AE629" s="31">
        <v>0</v>
      </c>
      <c r="AF629" s="33" t="s">
        <v>268</v>
      </c>
      <c r="AG629" s="33">
        <v>2021</v>
      </c>
      <c r="AH629" s="33">
        <v>2021</v>
      </c>
      <c r="BZ629" s="64"/>
      <c r="CD629" s="20" t="e">
        <f t="shared" si="127"/>
        <v>#N/A</v>
      </c>
      <c r="CE629" s="88" t="s">
        <v>43</v>
      </c>
      <c r="CF629" s="88">
        <v>566</v>
      </c>
    </row>
    <row r="630" spans="1:84" ht="61.5" x14ac:dyDescent="0.85">
      <c r="A630" s="20">
        <v>1</v>
      </c>
      <c r="B630" s="60">
        <f>SUBTOTAL(103,$A$558:A630)</f>
        <v>73</v>
      </c>
      <c r="C630" s="24" t="s">
        <v>502</v>
      </c>
      <c r="D630" s="31">
        <f t="shared" si="122"/>
        <v>685138.2</v>
      </c>
      <c r="E630" s="31">
        <v>0</v>
      </c>
      <c r="F630" s="31">
        <v>0</v>
      </c>
      <c r="G630" s="31">
        <v>600000</v>
      </c>
      <c r="H630" s="31">
        <v>0</v>
      </c>
      <c r="I630" s="31">
        <v>0</v>
      </c>
      <c r="J630" s="31">
        <v>0</v>
      </c>
      <c r="K630" s="67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Z630" s="31">
        <v>0</v>
      </c>
      <c r="AA630" s="31">
        <v>0</v>
      </c>
      <c r="AB630" s="31">
        <v>0</v>
      </c>
      <c r="AC630" s="31">
        <v>9000</v>
      </c>
      <c r="AD630" s="31">
        <v>76138.2</v>
      </c>
      <c r="AE630" s="31">
        <v>0</v>
      </c>
      <c r="AF630" s="33">
        <v>2021</v>
      </c>
      <c r="AG630" s="33">
        <v>2021</v>
      </c>
      <c r="AH630" s="33">
        <v>2021</v>
      </c>
      <c r="AT630" s="20" t="e">
        <f>VLOOKUP(C630,AW:AX,2,FALSE)</f>
        <v>#N/A</v>
      </c>
      <c r="BZ630" s="64"/>
      <c r="CD630" s="20" t="e">
        <f t="shared" si="127"/>
        <v>#N/A</v>
      </c>
      <c r="CE630" s="88" t="s">
        <v>515</v>
      </c>
      <c r="CF630" s="88">
        <v>702.2</v>
      </c>
    </row>
    <row r="631" spans="1:84" ht="61.5" x14ac:dyDescent="0.85">
      <c r="A631" s="20">
        <v>1</v>
      </c>
      <c r="B631" s="60">
        <f>SUBTOTAL(103,$A$558:A631)</f>
        <v>74</v>
      </c>
      <c r="C631" s="24" t="s">
        <v>504</v>
      </c>
      <c r="D631" s="31">
        <f>E631+F631+G631+H631+I631+J631+L631+N631+P631+R631+T631+U631+V631+W631+X631+Y631+Z631+AA631+AB631+AC631+AD631+AE631</f>
        <v>2489210.85</v>
      </c>
      <c r="E631" s="31">
        <v>0</v>
      </c>
      <c r="F631" s="31">
        <v>0</v>
      </c>
      <c r="G631" s="31">
        <v>0</v>
      </c>
      <c r="H631" s="31">
        <v>0</v>
      </c>
      <c r="I631" s="31">
        <v>0</v>
      </c>
      <c r="J631" s="31">
        <v>0</v>
      </c>
      <c r="K631" s="67">
        <v>0</v>
      </c>
      <c r="L631" s="31">
        <v>0</v>
      </c>
      <c r="M631" s="31">
        <v>605</v>
      </c>
      <c r="N631" s="31">
        <v>2452424.48</v>
      </c>
      <c r="O631" s="31">
        <v>0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  <c r="AA631" s="31">
        <v>0</v>
      </c>
      <c r="AB631" s="31">
        <v>0</v>
      </c>
      <c r="AC631" s="31">
        <v>36786.370000000003</v>
      </c>
      <c r="AD631" s="31">
        <v>0</v>
      </c>
      <c r="AE631" s="31">
        <v>0</v>
      </c>
      <c r="AF631" s="33" t="s">
        <v>268</v>
      </c>
      <c r="AG631" s="33">
        <v>2021</v>
      </c>
      <c r="AH631" s="33">
        <v>2021</v>
      </c>
      <c r="AT631" s="20" t="e">
        <f>VLOOKUP(C631,AW:AX,2,FALSE)</f>
        <v>#N/A</v>
      </c>
      <c r="BZ631" s="64"/>
      <c r="CD631" s="20" t="e">
        <f t="shared" si="127"/>
        <v>#N/A</v>
      </c>
      <c r="CE631" s="88" t="s">
        <v>520</v>
      </c>
      <c r="CF631" s="88">
        <v>1000</v>
      </c>
    </row>
    <row r="632" spans="1:84" ht="61.5" x14ac:dyDescent="0.85">
      <c r="A632" s="20">
        <v>1</v>
      </c>
      <c r="B632" s="60">
        <f>SUBTOTAL(103,$A$558:A632)</f>
        <v>75</v>
      </c>
      <c r="C632" s="24" t="s">
        <v>527</v>
      </c>
      <c r="D632" s="31">
        <f>E632+F632+G632+H632+I632+J632+L632+N632+P632+R632+T632+U632+V632+W632+X632+Y632+Z632+AA632+AB632+AC632+AD632+AE632</f>
        <v>2278490.67</v>
      </c>
      <c r="E632" s="31">
        <v>0</v>
      </c>
      <c r="F632" s="31">
        <v>0</v>
      </c>
      <c r="G632" s="31">
        <v>0</v>
      </c>
      <c r="H632" s="31">
        <v>0</v>
      </c>
      <c r="I632" s="31">
        <v>0</v>
      </c>
      <c r="J632" s="31">
        <v>0</v>
      </c>
      <c r="K632" s="67">
        <v>0</v>
      </c>
      <c r="L632" s="31">
        <v>0</v>
      </c>
      <c r="M632" s="31">
        <v>565</v>
      </c>
      <c r="N632" s="31">
        <v>2244818.39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0</v>
      </c>
      <c r="Z632" s="31">
        <v>0</v>
      </c>
      <c r="AA632" s="31">
        <v>0</v>
      </c>
      <c r="AB632" s="31">
        <v>0</v>
      </c>
      <c r="AC632" s="31">
        <v>33672.28</v>
      </c>
      <c r="AD632" s="31">
        <v>0</v>
      </c>
      <c r="AE632" s="31">
        <v>0</v>
      </c>
      <c r="AF632" s="33" t="s">
        <v>268</v>
      </c>
      <c r="AG632" s="33">
        <v>2021</v>
      </c>
      <c r="AH632" s="33">
        <v>2021</v>
      </c>
      <c r="AT632" s="20" t="e">
        <f>VLOOKUP(C632,AW:AX,2,FALSE)</f>
        <v>#N/A</v>
      </c>
      <c r="BZ632" s="64"/>
      <c r="CD632" s="20" t="e">
        <f t="shared" si="127"/>
        <v>#N/A</v>
      </c>
      <c r="CE632" s="88" t="s">
        <v>1164</v>
      </c>
      <c r="CF632" s="88">
        <v>1206.22</v>
      </c>
    </row>
    <row r="633" spans="1:84" ht="61.5" x14ac:dyDescent="0.85">
      <c r="A633" s="20">
        <v>1</v>
      </c>
      <c r="B633" s="60">
        <f>SUBTOTAL(103,$A$558:A633)</f>
        <v>76</v>
      </c>
      <c r="C633" s="24" t="s">
        <v>1372</v>
      </c>
      <c r="D633" s="31">
        <f t="shared" si="122"/>
        <v>2009865.45</v>
      </c>
      <c r="E633" s="31">
        <v>0</v>
      </c>
      <c r="F633" s="31">
        <v>0</v>
      </c>
      <c r="G633" s="31">
        <v>0</v>
      </c>
      <c r="H633" s="31">
        <v>0</v>
      </c>
      <c r="I633" s="31">
        <v>0</v>
      </c>
      <c r="J633" s="31">
        <v>0</v>
      </c>
      <c r="K633" s="67">
        <v>0</v>
      </c>
      <c r="L633" s="31">
        <v>0</v>
      </c>
      <c r="M633" s="31">
        <v>0</v>
      </c>
      <c r="N633" s="31">
        <v>0</v>
      </c>
      <c r="O633" s="31">
        <v>0</v>
      </c>
      <c r="P633" s="31">
        <v>0</v>
      </c>
      <c r="Q633" s="38">
        <v>736</v>
      </c>
      <c r="R633" s="31">
        <v>1980163</v>
      </c>
      <c r="S633" s="31">
        <v>0</v>
      </c>
      <c r="T633" s="31">
        <v>0</v>
      </c>
      <c r="U633" s="31">
        <v>0</v>
      </c>
      <c r="V633" s="31">
        <v>0</v>
      </c>
      <c r="W633" s="31">
        <v>0</v>
      </c>
      <c r="X633" s="31">
        <v>0</v>
      </c>
      <c r="Y633" s="31">
        <v>0</v>
      </c>
      <c r="Z633" s="31">
        <v>0</v>
      </c>
      <c r="AA633" s="31">
        <v>0</v>
      </c>
      <c r="AB633" s="31">
        <v>0</v>
      </c>
      <c r="AC633" s="31">
        <v>29702.45</v>
      </c>
      <c r="AD633" s="31">
        <v>0</v>
      </c>
      <c r="AE633" s="31">
        <v>0</v>
      </c>
      <c r="AF633" s="33" t="s">
        <v>268</v>
      </c>
      <c r="AG633" s="33">
        <v>2021</v>
      </c>
      <c r="AH633" s="33">
        <v>2021</v>
      </c>
      <c r="BZ633" s="64"/>
      <c r="CD633" s="20" t="e">
        <f t="shared" si="127"/>
        <v>#N/A</v>
      </c>
      <c r="CE633" s="88" t="s">
        <v>635</v>
      </c>
      <c r="CF633" s="88">
        <v>563.1</v>
      </c>
    </row>
    <row r="634" spans="1:84" ht="61.5" x14ac:dyDescent="0.85">
      <c r="A634" s="20">
        <v>1</v>
      </c>
      <c r="B634" s="60">
        <f>SUBTOTAL(103,$A$558:A634)</f>
        <v>77</v>
      </c>
      <c r="C634" s="24" t="s">
        <v>1613</v>
      </c>
      <c r="D634" s="31">
        <f>E634+F634+G634+H634+I634+J634+L634+N634+P634+R634+T634+U634+V634+W634+X634+Y634+Z634+AA634+AB634+AC634+AD634+AE634</f>
        <v>3896205.56</v>
      </c>
      <c r="E634" s="31">
        <v>0</v>
      </c>
      <c r="F634" s="31">
        <v>0</v>
      </c>
      <c r="G634" s="31">
        <v>0</v>
      </c>
      <c r="H634" s="31">
        <v>0</v>
      </c>
      <c r="I634" s="31">
        <v>0</v>
      </c>
      <c r="J634" s="31">
        <v>0</v>
      </c>
      <c r="K634" s="67">
        <v>0</v>
      </c>
      <c r="L634" s="31">
        <v>0</v>
      </c>
      <c r="M634" s="31">
        <v>878</v>
      </c>
      <c r="N634" s="31">
        <v>3838626.17</v>
      </c>
      <c r="O634" s="31">
        <v>0</v>
      </c>
      <c r="P634" s="31">
        <v>0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Z634" s="31">
        <v>0</v>
      </c>
      <c r="AA634" s="31">
        <v>0</v>
      </c>
      <c r="AB634" s="31">
        <v>0</v>
      </c>
      <c r="AC634" s="31">
        <v>57579.39</v>
      </c>
      <c r="AD634" s="31">
        <v>0</v>
      </c>
      <c r="AE634" s="31">
        <v>0</v>
      </c>
      <c r="AF634" s="33" t="s">
        <v>268</v>
      </c>
      <c r="AG634" s="33">
        <v>2021</v>
      </c>
      <c r="AH634" s="33">
        <v>2021</v>
      </c>
      <c r="BZ634" s="64"/>
      <c r="CD634" s="20" t="e">
        <f t="shared" si="127"/>
        <v>#N/A</v>
      </c>
    </row>
    <row r="635" spans="1:84" ht="61.5" x14ac:dyDescent="0.85">
      <c r="A635" s="20">
        <v>1</v>
      </c>
      <c r="B635" s="60">
        <f>SUBTOTAL(103,$A$558:A635)</f>
        <v>78</v>
      </c>
      <c r="C635" s="24" t="s">
        <v>568</v>
      </c>
      <c r="D635" s="31">
        <f>E635+F635+G635+H635+I635+J635+L635+N635+P635+R635+T635+U635+V635+W635+X635+Y635+Z635+AA635+AB635+AC635+AD635+AE635</f>
        <v>908808.26</v>
      </c>
      <c r="E635" s="31">
        <v>0</v>
      </c>
      <c r="F635" s="31">
        <v>0</v>
      </c>
      <c r="G635" s="31">
        <v>0</v>
      </c>
      <c r="H635" s="31">
        <v>0</v>
      </c>
      <c r="I635" s="31">
        <v>0</v>
      </c>
      <c r="J635" s="31">
        <v>0</v>
      </c>
      <c r="K635" s="67">
        <v>0</v>
      </c>
      <c r="L635" s="31">
        <v>0</v>
      </c>
      <c r="M635" s="31">
        <v>230</v>
      </c>
      <c r="N635" s="31">
        <v>895377.6</v>
      </c>
      <c r="O635" s="31">
        <v>0</v>
      </c>
      <c r="P635" s="31">
        <v>0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  <c r="AA635" s="31">
        <v>0</v>
      </c>
      <c r="AB635" s="31">
        <v>0</v>
      </c>
      <c r="AC635" s="31">
        <v>13430.66</v>
      </c>
      <c r="AD635" s="31">
        <v>0</v>
      </c>
      <c r="AE635" s="31">
        <v>0</v>
      </c>
      <c r="AF635" s="33" t="s">
        <v>268</v>
      </c>
      <c r="AG635" s="33">
        <v>2021</v>
      </c>
      <c r="AH635" s="33">
        <v>2021</v>
      </c>
      <c r="BZ635" s="64"/>
      <c r="CD635" s="20" t="e">
        <f t="shared" si="127"/>
        <v>#N/A</v>
      </c>
    </row>
    <row r="636" spans="1:84" ht="61.5" x14ac:dyDescent="0.85">
      <c r="A636" s="20">
        <v>1</v>
      </c>
      <c r="B636" s="60">
        <f>SUBTOTAL(103,$A$558:A636)</f>
        <v>79</v>
      </c>
      <c r="C636" s="24" t="s">
        <v>490</v>
      </c>
      <c r="D636" s="31">
        <f t="shared" si="122"/>
        <v>3888265.4</v>
      </c>
      <c r="E636" s="31">
        <v>0</v>
      </c>
      <c r="F636" s="31">
        <v>0</v>
      </c>
      <c r="G636" s="31">
        <v>0</v>
      </c>
      <c r="H636" s="31">
        <v>0</v>
      </c>
      <c r="I636" s="31">
        <v>0</v>
      </c>
      <c r="J636" s="31">
        <v>0</v>
      </c>
      <c r="K636" s="67">
        <v>0</v>
      </c>
      <c r="L636" s="31">
        <v>0</v>
      </c>
      <c r="M636" s="31">
        <v>947.4</v>
      </c>
      <c r="N636" s="31">
        <v>3830803.35</v>
      </c>
      <c r="O636" s="31">
        <v>0</v>
      </c>
      <c r="P636" s="31">
        <v>0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Z636" s="31">
        <v>0</v>
      </c>
      <c r="AA636" s="31">
        <v>0</v>
      </c>
      <c r="AB636" s="31">
        <v>0</v>
      </c>
      <c r="AC636" s="31">
        <v>57462.05</v>
      </c>
      <c r="AD636" s="31">
        <v>0</v>
      </c>
      <c r="AE636" s="31">
        <v>0</v>
      </c>
      <c r="AF636" s="33" t="s">
        <v>268</v>
      </c>
      <c r="AG636" s="33">
        <v>2021</v>
      </c>
      <c r="AH636" s="33">
        <v>2021</v>
      </c>
      <c r="AT636" s="20" t="e">
        <f>VLOOKUP(C636,AW:AX,2,FALSE)</f>
        <v>#N/A</v>
      </c>
      <c r="AW636" s="20" t="s">
        <v>786</v>
      </c>
      <c r="AX636" s="20">
        <v>1</v>
      </c>
      <c r="BZ636" s="64"/>
      <c r="CD636" s="20" t="e">
        <f t="shared" si="127"/>
        <v>#N/A</v>
      </c>
      <c r="CE636" s="88" t="s">
        <v>770</v>
      </c>
      <c r="CF636" s="88">
        <v>1319.27</v>
      </c>
    </row>
    <row r="637" spans="1:84" ht="61.5" x14ac:dyDescent="0.85">
      <c r="A637" s="20">
        <v>1</v>
      </c>
      <c r="B637" s="60">
        <f>SUBTOTAL(103,$A$558:A637)</f>
        <v>80</v>
      </c>
      <c r="C637" s="24" t="s">
        <v>1097</v>
      </c>
      <c r="D637" s="31">
        <f t="shared" si="122"/>
        <v>4301356.74</v>
      </c>
      <c r="E637" s="31">
        <v>0</v>
      </c>
      <c r="F637" s="31">
        <v>0</v>
      </c>
      <c r="G637" s="31">
        <v>0</v>
      </c>
      <c r="H637" s="31">
        <v>0</v>
      </c>
      <c r="I637" s="31">
        <v>0</v>
      </c>
      <c r="J637" s="31">
        <v>0</v>
      </c>
      <c r="K637" s="67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1131.4000000000001</v>
      </c>
      <c r="R637" s="31">
        <v>4238103.05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0</v>
      </c>
      <c r="AC637" s="31">
        <v>63253.69</v>
      </c>
      <c r="AD637" s="31">
        <v>0</v>
      </c>
      <c r="AE637" s="31">
        <v>0</v>
      </c>
      <c r="AF637" s="33" t="s">
        <v>268</v>
      </c>
      <c r="AG637" s="33">
        <v>2021</v>
      </c>
      <c r="AH637" s="33">
        <v>2021</v>
      </c>
      <c r="BZ637" s="64"/>
      <c r="CD637" s="20" t="e">
        <f t="shared" si="127"/>
        <v>#N/A</v>
      </c>
      <c r="CE637" s="88" t="s">
        <v>1187</v>
      </c>
      <c r="CF637" s="88">
        <v>2073.9</v>
      </c>
    </row>
    <row r="638" spans="1:84" ht="61.5" x14ac:dyDescent="0.85">
      <c r="A638" s="20">
        <v>1</v>
      </c>
      <c r="B638" s="60">
        <f>SUBTOTAL(103,$A$558:A638)</f>
        <v>81</v>
      </c>
      <c r="C638" s="24" t="s">
        <v>1127</v>
      </c>
      <c r="D638" s="31">
        <f t="shared" si="122"/>
        <v>1057247.3700000001</v>
      </c>
      <c r="E638" s="31">
        <v>0</v>
      </c>
      <c r="F638" s="31">
        <v>0</v>
      </c>
      <c r="G638" s="31">
        <v>0</v>
      </c>
      <c r="H638" s="31">
        <v>0</v>
      </c>
      <c r="I638" s="31">
        <v>0</v>
      </c>
      <c r="J638" s="31">
        <v>0</v>
      </c>
      <c r="K638" s="67">
        <v>0</v>
      </c>
      <c r="L638" s="31">
        <v>0</v>
      </c>
      <c r="M638" s="31">
        <v>0</v>
      </c>
      <c r="N638" s="31">
        <v>0</v>
      </c>
      <c r="O638" s="31">
        <v>780</v>
      </c>
      <c r="P638" s="31">
        <v>1041700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  <c r="AA638" s="31">
        <v>0</v>
      </c>
      <c r="AB638" s="31">
        <v>0</v>
      </c>
      <c r="AC638" s="31">
        <v>15547.37</v>
      </c>
      <c r="AD638" s="31">
        <v>0</v>
      </c>
      <c r="AE638" s="31">
        <v>0</v>
      </c>
      <c r="AF638" s="33" t="s">
        <v>268</v>
      </c>
      <c r="AG638" s="33">
        <v>2021</v>
      </c>
      <c r="AH638" s="33">
        <v>2021</v>
      </c>
      <c r="BZ638" s="64"/>
      <c r="CD638" s="20" t="e">
        <f t="shared" si="127"/>
        <v>#N/A</v>
      </c>
      <c r="CE638" s="88" t="s">
        <v>5</v>
      </c>
      <c r="CF638" s="88">
        <v>722.14</v>
      </c>
    </row>
    <row r="639" spans="1:84" ht="61.5" x14ac:dyDescent="0.85">
      <c r="A639" s="20">
        <v>1</v>
      </c>
      <c r="B639" s="60">
        <f>SUBTOTAL(103,$A$558:A639)</f>
        <v>82</v>
      </c>
      <c r="C639" s="24" t="s">
        <v>581</v>
      </c>
      <c r="D639" s="31">
        <f t="shared" ref="D639:D646" si="128">E639+F639+G639+H639+I639+J639+L639+N639+P639+R639+T639+U639+V639+W639+X639+Y639+Z639+AA639+AB639+AC639+AD639+AE639</f>
        <v>2647477.29</v>
      </c>
      <c r="E639" s="31">
        <v>0</v>
      </c>
      <c r="F639" s="31">
        <v>0</v>
      </c>
      <c r="G639" s="31">
        <v>0</v>
      </c>
      <c r="H639" s="31">
        <v>0</v>
      </c>
      <c r="I639" s="31">
        <v>0</v>
      </c>
      <c r="J639" s="31">
        <v>0</v>
      </c>
      <c r="K639" s="67">
        <v>0</v>
      </c>
      <c r="L639" s="31">
        <v>0</v>
      </c>
      <c r="M639" s="31">
        <v>557</v>
      </c>
      <c r="N639" s="31">
        <v>2509849.61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  <c r="AC639" s="31">
        <v>37647.74</v>
      </c>
      <c r="AD639" s="31">
        <v>99979.94</v>
      </c>
      <c r="AE639" s="31">
        <v>0</v>
      </c>
      <c r="AF639" s="33">
        <v>2021</v>
      </c>
      <c r="AG639" s="33">
        <v>2021</v>
      </c>
      <c r="AH639" s="33">
        <v>2021</v>
      </c>
      <c r="AT639" s="20" t="e">
        <f>VLOOKUP(C639,AW:AX,2,FALSE)</f>
        <v>#N/A</v>
      </c>
      <c r="BZ639" s="64"/>
    </row>
    <row r="640" spans="1:84" ht="61.5" x14ac:dyDescent="0.85">
      <c r="A640" s="20">
        <v>1</v>
      </c>
      <c r="B640" s="60">
        <f>SUBTOTAL(103,$A$558:A640)</f>
        <v>83</v>
      </c>
      <c r="C640" s="24" t="s">
        <v>590</v>
      </c>
      <c r="D640" s="31">
        <f t="shared" si="128"/>
        <v>2934054.27</v>
      </c>
      <c r="E640" s="31">
        <v>0</v>
      </c>
      <c r="F640" s="31">
        <v>0</v>
      </c>
      <c r="G640" s="31">
        <v>0</v>
      </c>
      <c r="H640" s="31">
        <v>0</v>
      </c>
      <c r="I640" s="31">
        <v>0</v>
      </c>
      <c r="J640" s="31">
        <v>0</v>
      </c>
      <c r="K640" s="67">
        <v>0</v>
      </c>
      <c r="L640" s="31">
        <v>0</v>
      </c>
      <c r="M640" s="31">
        <v>621.5</v>
      </c>
      <c r="N640" s="31">
        <v>2792184.81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  <c r="AC640" s="31">
        <v>41882.769999999997</v>
      </c>
      <c r="AD640" s="31">
        <v>99986.69</v>
      </c>
      <c r="AE640" s="31">
        <v>0</v>
      </c>
      <c r="AF640" s="33">
        <v>2021</v>
      </c>
      <c r="AG640" s="33">
        <v>2021</v>
      </c>
      <c r="AH640" s="33">
        <v>2021</v>
      </c>
      <c r="AT640" s="20" t="e">
        <f>VLOOKUP(C640,AW:AX,2,FALSE)</f>
        <v>#N/A</v>
      </c>
      <c r="BZ640" s="64"/>
    </row>
    <row r="641" spans="1:84" ht="61.5" x14ac:dyDescent="0.85">
      <c r="A641" s="20">
        <v>1</v>
      </c>
      <c r="B641" s="60">
        <f>SUBTOTAL(103,$A$558:A641)</f>
        <v>84</v>
      </c>
      <c r="C641" s="24" t="s">
        <v>594</v>
      </c>
      <c r="D641" s="31">
        <f t="shared" si="128"/>
        <v>2671247.02</v>
      </c>
      <c r="E641" s="31">
        <v>0</v>
      </c>
      <c r="F641" s="31">
        <v>0</v>
      </c>
      <c r="G641" s="31">
        <v>0</v>
      </c>
      <c r="H641" s="31">
        <v>0</v>
      </c>
      <c r="I641" s="31">
        <v>0</v>
      </c>
      <c r="J641" s="31">
        <v>0</v>
      </c>
      <c r="K641" s="67">
        <v>0</v>
      </c>
      <c r="L641" s="31">
        <v>0</v>
      </c>
      <c r="M641" s="31">
        <v>562</v>
      </c>
      <c r="N641" s="31">
        <v>2533263.77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37998.959999999999</v>
      </c>
      <c r="AD641" s="31">
        <v>99984.29</v>
      </c>
      <c r="AE641" s="31">
        <v>0</v>
      </c>
      <c r="AF641" s="33">
        <v>2021</v>
      </c>
      <c r="AG641" s="33">
        <v>2021</v>
      </c>
      <c r="AH641" s="33">
        <v>2021</v>
      </c>
      <c r="AT641" s="20" t="e">
        <f>VLOOKUP(C641,AW:AX,2,FALSE)</f>
        <v>#N/A</v>
      </c>
      <c r="BZ641" s="64"/>
    </row>
    <row r="642" spans="1:84" ht="61.5" x14ac:dyDescent="0.85">
      <c r="A642" s="20">
        <v>1</v>
      </c>
      <c r="B642" s="60">
        <f>SUBTOTAL(103,$A$558:A642)</f>
        <v>85</v>
      </c>
      <c r="C642" s="24" t="s">
        <v>603</v>
      </c>
      <c r="D642" s="31">
        <f t="shared" si="128"/>
        <v>3840496.51</v>
      </c>
      <c r="E642" s="31">
        <v>0</v>
      </c>
      <c r="F642" s="31">
        <v>0</v>
      </c>
      <c r="G642" s="31">
        <v>0</v>
      </c>
      <c r="H642" s="31">
        <v>0</v>
      </c>
      <c r="I642" s="31">
        <v>0</v>
      </c>
      <c r="J642" s="31">
        <v>0</v>
      </c>
      <c r="K642" s="67">
        <v>0</v>
      </c>
      <c r="L642" s="31">
        <v>0</v>
      </c>
      <c r="M642" s="31">
        <v>952</v>
      </c>
      <c r="N642" s="31">
        <v>3783740.4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56756.11</v>
      </c>
      <c r="AD642" s="31">
        <v>0</v>
      </c>
      <c r="AE642" s="31">
        <v>0</v>
      </c>
      <c r="AF642" s="33" t="s">
        <v>268</v>
      </c>
      <c r="AG642" s="33">
        <v>2021</v>
      </c>
      <c r="AH642" s="33">
        <v>2021</v>
      </c>
      <c r="AT642" s="20" t="e">
        <f>VLOOKUP(C642,AW:AX,2,FALSE)</f>
        <v>#N/A</v>
      </c>
      <c r="BZ642" s="64"/>
    </row>
    <row r="643" spans="1:84" ht="61.5" x14ac:dyDescent="0.85">
      <c r="A643" s="20">
        <v>1</v>
      </c>
      <c r="B643" s="60">
        <f>SUBTOTAL(103,$A$558:A643)</f>
        <v>86</v>
      </c>
      <c r="C643" s="24" t="s">
        <v>587</v>
      </c>
      <c r="D643" s="31">
        <f t="shared" si="128"/>
        <v>2349559.61</v>
      </c>
      <c r="E643" s="31">
        <v>0</v>
      </c>
      <c r="F643" s="31">
        <v>0</v>
      </c>
      <c r="G643" s="31">
        <v>0</v>
      </c>
      <c r="H643" s="31">
        <v>0</v>
      </c>
      <c r="I643" s="31">
        <v>0</v>
      </c>
      <c r="J643" s="31">
        <v>0</v>
      </c>
      <c r="K643" s="67">
        <v>1</v>
      </c>
      <c r="L643" s="31">
        <v>2249559.61</v>
      </c>
      <c r="M643" s="31">
        <v>0</v>
      </c>
      <c r="N643" s="31">
        <v>0</v>
      </c>
      <c r="O643" s="31">
        <v>0</v>
      </c>
      <c r="P643" s="31">
        <v>0</v>
      </c>
      <c r="Q643" s="31">
        <v>0</v>
      </c>
      <c r="R643" s="31">
        <v>0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100000</v>
      </c>
      <c r="AE643" s="31">
        <v>0</v>
      </c>
      <c r="AF643" s="33">
        <v>2021</v>
      </c>
      <c r="AG643" s="33">
        <v>2021</v>
      </c>
      <c r="AH643" s="33" t="s">
        <v>268</v>
      </c>
      <c r="AT643" s="20" t="e">
        <f>VLOOKUP(C643,AW:AX,2,FALSE)</f>
        <v>#N/A</v>
      </c>
      <c r="BZ643" s="64"/>
    </row>
    <row r="644" spans="1:84" ht="61.5" x14ac:dyDescent="0.85">
      <c r="A644" s="20">
        <v>1</v>
      </c>
      <c r="B644" s="60">
        <f>SUBTOTAL(103,$A$558:A644)</f>
        <v>87</v>
      </c>
      <c r="C644" s="24" t="s">
        <v>1102</v>
      </c>
      <c r="D644" s="31">
        <f t="shared" si="128"/>
        <v>3336923.37</v>
      </c>
      <c r="E644" s="31">
        <v>0</v>
      </c>
      <c r="F644" s="31">
        <v>0</v>
      </c>
      <c r="G644" s="31">
        <v>0</v>
      </c>
      <c r="H644" s="31">
        <v>0</v>
      </c>
      <c r="I644" s="31">
        <v>0</v>
      </c>
      <c r="J644" s="31">
        <v>0</v>
      </c>
      <c r="K644" s="67">
        <v>0</v>
      </c>
      <c r="L644" s="31">
        <v>0</v>
      </c>
      <c r="M644" s="31">
        <v>0</v>
      </c>
      <c r="N644" s="31">
        <v>0</v>
      </c>
      <c r="O644" s="31">
        <v>0</v>
      </c>
      <c r="P644" s="31">
        <v>0</v>
      </c>
      <c r="Q644" s="31">
        <v>1524.32</v>
      </c>
      <c r="R644" s="31">
        <v>3287609.23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49314.14</v>
      </c>
      <c r="AD644" s="31">
        <v>0</v>
      </c>
      <c r="AE644" s="31">
        <v>0</v>
      </c>
      <c r="AF644" s="33" t="s">
        <v>268</v>
      </c>
      <c r="AG644" s="33">
        <v>2021</v>
      </c>
      <c r="AH644" s="33">
        <v>2021</v>
      </c>
      <c r="BZ644" s="64"/>
      <c r="CD644" s="20" t="e">
        <f t="shared" ref="CD644:CD663" si="129">VLOOKUP(C644,CE:CF,2,FALSE)</f>
        <v>#N/A</v>
      </c>
    </row>
    <row r="645" spans="1:84" ht="61.5" x14ac:dyDescent="0.85">
      <c r="A645" s="20">
        <v>1</v>
      </c>
      <c r="B645" s="60">
        <f>SUBTOTAL(103,$A$558:A645)</f>
        <v>88</v>
      </c>
      <c r="C645" s="24" t="s">
        <v>799</v>
      </c>
      <c r="D645" s="31">
        <f t="shared" si="128"/>
        <v>1125497.8499999999</v>
      </c>
      <c r="E645" s="31">
        <v>0</v>
      </c>
      <c r="F645" s="31">
        <v>0</v>
      </c>
      <c r="G645" s="31">
        <v>0</v>
      </c>
      <c r="H645" s="31">
        <v>0</v>
      </c>
      <c r="I645" s="31">
        <v>0</v>
      </c>
      <c r="J645" s="31">
        <v>0</v>
      </c>
      <c r="K645" s="67">
        <v>0</v>
      </c>
      <c r="L645" s="31">
        <v>0</v>
      </c>
      <c r="M645" s="31">
        <v>310.2</v>
      </c>
      <c r="N645" s="38">
        <v>1110177.3999999999</v>
      </c>
      <c r="O645" s="31">
        <v>0</v>
      </c>
      <c r="P645" s="31">
        <v>0</v>
      </c>
      <c r="Q645" s="31">
        <v>0</v>
      </c>
      <c r="R645" s="31">
        <v>0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0</v>
      </c>
      <c r="AA645" s="31">
        <v>0</v>
      </c>
      <c r="AB645" s="31">
        <v>0</v>
      </c>
      <c r="AC645" s="31">
        <v>15320.45</v>
      </c>
      <c r="AD645" s="31">
        <v>0</v>
      </c>
      <c r="AE645" s="31">
        <v>0</v>
      </c>
      <c r="AF645" s="33" t="s">
        <v>268</v>
      </c>
      <c r="AG645" s="33">
        <v>2021</v>
      </c>
      <c r="AH645" s="33">
        <v>2021</v>
      </c>
      <c r="AT645" s="20" t="e">
        <f t="shared" ref="AT645:AT659" si="130">VLOOKUP(C645,AW:AX,2,FALSE)</f>
        <v>#N/A</v>
      </c>
      <c r="BZ645" s="64"/>
      <c r="CD645" s="20" t="e">
        <f t="shared" si="129"/>
        <v>#N/A</v>
      </c>
    </row>
    <row r="646" spans="1:84" ht="61.5" x14ac:dyDescent="0.85">
      <c r="A646" s="20">
        <v>1</v>
      </c>
      <c r="B646" s="60">
        <f>SUBTOTAL(103,$A$558:A646)</f>
        <v>89</v>
      </c>
      <c r="C646" s="24" t="s">
        <v>525</v>
      </c>
      <c r="D646" s="31">
        <f t="shared" si="128"/>
        <v>3949680.45</v>
      </c>
      <c r="E646" s="31">
        <v>0</v>
      </c>
      <c r="F646" s="31">
        <v>0</v>
      </c>
      <c r="G646" s="31">
        <v>0</v>
      </c>
      <c r="H646" s="31">
        <v>0</v>
      </c>
      <c r="I646" s="31">
        <v>0</v>
      </c>
      <c r="J646" s="31">
        <v>0</v>
      </c>
      <c r="K646" s="67">
        <v>0</v>
      </c>
      <c r="L646" s="31">
        <v>0</v>
      </c>
      <c r="M646" s="31">
        <v>904</v>
      </c>
      <c r="N646" s="31">
        <v>3891310.79</v>
      </c>
      <c r="O646" s="31">
        <v>0</v>
      </c>
      <c r="P646" s="31">
        <v>0</v>
      </c>
      <c r="Q646" s="31">
        <v>0</v>
      </c>
      <c r="R646" s="31">
        <v>0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0</v>
      </c>
      <c r="AA646" s="31">
        <v>0</v>
      </c>
      <c r="AB646" s="31">
        <v>0</v>
      </c>
      <c r="AC646" s="31">
        <v>58369.66</v>
      </c>
      <c r="AD646" s="31">
        <v>0</v>
      </c>
      <c r="AE646" s="31">
        <v>0</v>
      </c>
      <c r="AF646" s="33" t="s">
        <v>268</v>
      </c>
      <c r="AG646" s="33">
        <v>2021</v>
      </c>
      <c r="AH646" s="33">
        <v>2021</v>
      </c>
      <c r="AT646" s="20" t="e">
        <f t="shared" si="130"/>
        <v>#N/A</v>
      </c>
      <c r="BZ646" s="64"/>
      <c r="CD646" s="20">
        <f t="shared" si="129"/>
        <v>904</v>
      </c>
      <c r="CE646" s="88" t="s">
        <v>1283</v>
      </c>
      <c r="CF646" s="88">
        <v>1674.7</v>
      </c>
    </row>
    <row r="647" spans="1:84" ht="61.5" x14ac:dyDescent="0.85">
      <c r="B647" s="24" t="s">
        <v>756</v>
      </c>
      <c r="C647" s="198"/>
      <c r="D647" s="199">
        <f t="shared" ref="D647:AE647" si="131">SUM(D648:D678)</f>
        <v>99817914.320000023</v>
      </c>
      <c r="E647" s="31">
        <f t="shared" si="131"/>
        <v>215356.42</v>
      </c>
      <c r="F647" s="31">
        <f t="shared" si="131"/>
        <v>0</v>
      </c>
      <c r="G647" s="31">
        <f t="shared" si="131"/>
        <v>10409909.83</v>
      </c>
      <c r="H647" s="31">
        <f t="shared" si="131"/>
        <v>300000</v>
      </c>
      <c r="I647" s="31">
        <f t="shared" si="131"/>
        <v>2829323.7</v>
      </c>
      <c r="J647" s="31">
        <f t="shared" si="131"/>
        <v>0</v>
      </c>
      <c r="K647" s="67">
        <f t="shared" si="131"/>
        <v>0</v>
      </c>
      <c r="L647" s="31">
        <f t="shared" si="131"/>
        <v>0</v>
      </c>
      <c r="M647" s="31">
        <f t="shared" si="131"/>
        <v>14448.67</v>
      </c>
      <c r="N647" s="31">
        <f t="shared" si="131"/>
        <v>67545060.239999995</v>
      </c>
      <c r="O647" s="31">
        <f t="shared" si="131"/>
        <v>0</v>
      </c>
      <c r="P647" s="31">
        <f t="shared" si="131"/>
        <v>0</v>
      </c>
      <c r="Q647" s="31">
        <f t="shared" si="131"/>
        <v>3932.58</v>
      </c>
      <c r="R647" s="31">
        <f t="shared" si="131"/>
        <v>14643924.140000001</v>
      </c>
      <c r="S647" s="31">
        <f t="shared" si="131"/>
        <v>0</v>
      </c>
      <c r="T647" s="31">
        <f t="shared" si="131"/>
        <v>0</v>
      </c>
      <c r="U647" s="31">
        <f t="shared" si="131"/>
        <v>0</v>
      </c>
      <c r="V647" s="31">
        <f t="shared" si="131"/>
        <v>0</v>
      </c>
      <c r="W647" s="31">
        <f t="shared" si="131"/>
        <v>0</v>
      </c>
      <c r="X647" s="31">
        <f t="shared" si="131"/>
        <v>0</v>
      </c>
      <c r="Y647" s="31">
        <f t="shared" si="131"/>
        <v>0</v>
      </c>
      <c r="Z647" s="31">
        <f t="shared" si="131"/>
        <v>0</v>
      </c>
      <c r="AA647" s="31">
        <f t="shared" si="131"/>
        <v>0</v>
      </c>
      <c r="AB647" s="31">
        <f t="shared" si="131"/>
        <v>0</v>
      </c>
      <c r="AC647" s="31">
        <f t="shared" si="131"/>
        <v>1396407.56</v>
      </c>
      <c r="AD647" s="31">
        <f t="shared" si="131"/>
        <v>2357932.4300000002</v>
      </c>
      <c r="AE647" s="31">
        <f t="shared" si="131"/>
        <v>120000</v>
      </c>
      <c r="AF647" s="65" t="s">
        <v>751</v>
      </c>
      <c r="AG647" s="65" t="s">
        <v>751</v>
      </c>
      <c r="AH647" s="79" t="s">
        <v>751</v>
      </c>
      <c r="AT647" s="20" t="e">
        <f t="shared" si="130"/>
        <v>#N/A</v>
      </c>
      <c r="BZ647" s="64">
        <v>53022412.590000004</v>
      </c>
      <c r="CB647" s="64">
        <f>BZ647-D647</f>
        <v>-46795501.730000019</v>
      </c>
      <c r="CD647" s="20" t="e">
        <f t="shared" si="129"/>
        <v>#N/A</v>
      </c>
    </row>
    <row r="648" spans="1:84" ht="61.5" x14ac:dyDescent="0.85">
      <c r="A648" s="20">
        <v>1</v>
      </c>
      <c r="B648" s="60">
        <f>SUBTOTAL(103,$A$558:A648)</f>
        <v>90</v>
      </c>
      <c r="C648" s="24" t="s">
        <v>455</v>
      </c>
      <c r="D648" s="31">
        <f t="shared" ref="D648:D668" si="132">E648+F648+G648+H648+I648+J648+L648+N648+P648+R648+T648+U648+V648+W648+X648+Y648+Z648+AA648+AB648+AC648+AD648+AE648</f>
        <v>3616357.54</v>
      </c>
      <c r="E648" s="31">
        <v>0</v>
      </c>
      <c r="F648" s="31">
        <v>0</v>
      </c>
      <c r="G648" s="31">
        <v>0</v>
      </c>
      <c r="H648" s="31">
        <v>0</v>
      </c>
      <c r="I648" s="31">
        <v>0</v>
      </c>
      <c r="J648" s="31">
        <v>0</v>
      </c>
      <c r="K648" s="67">
        <v>0</v>
      </c>
      <c r="L648" s="31">
        <v>0</v>
      </c>
      <c r="M648" s="31">
        <v>620.9</v>
      </c>
      <c r="N648" s="31">
        <f>3415130.58+78496.76</f>
        <v>3493627.34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  <c r="AC648" s="31">
        <f>ROUND(N648*1.5%,2)</f>
        <v>52404.41</v>
      </c>
      <c r="AD648" s="31">
        <v>70325.789999999994</v>
      </c>
      <c r="AE648" s="31">
        <v>0</v>
      </c>
      <c r="AF648" s="33">
        <v>2021</v>
      </c>
      <c r="AG648" s="33">
        <v>2021</v>
      </c>
      <c r="AH648" s="34">
        <v>2021</v>
      </c>
      <c r="AT648" s="20" t="e">
        <f t="shared" si="130"/>
        <v>#N/A</v>
      </c>
      <c r="BZ648" s="64"/>
      <c r="CD648" s="20" t="e">
        <f t="shared" si="129"/>
        <v>#N/A</v>
      </c>
    </row>
    <row r="649" spans="1:84" ht="61.5" x14ac:dyDescent="0.85">
      <c r="A649" s="20">
        <v>1</v>
      </c>
      <c r="B649" s="60">
        <f>SUBTOTAL(103,$A$558:A649)</f>
        <v>91</v>
      </c>
      <c r="C649" s="24" t="s">
        <v>456</v>
      </c>
      <c r="D649" s="31">
        <f t="shared" si="132"/>
        <v>1638422.64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67">
        <v>0</v>
      </c>
      <c r="L649" s="31">
        <v>0</v>
      </c>
      <c r="M649" s="31">
        <v>0</v>
      </c>
      <c r="N649" s="31">
        <v>0</v>
      </c>
      <c r="O649" s="31">
        <v>0</v>
      </c>
      <c r="P649" s="31">
        <v>0</v>
      </c>
      <c r="Q649" s="31">
        <v>439.04</v>
      </c>
      <c r="R649" s="31">
        <v>1486130.68</v>
      </c>
      <c r="S649" s="31">
        <v>0</v>
      </c>
      <c r="T649" s="31">
        <v>0</v>
      </c>
      <c r="U649" s="31">
        <v>0</v>
      </c>
      <c r="V649" s="31">
        <v>0</v>
      </c>
      <c r="W649" s="31">
        <v>0</v>
      </c>
      <c r="X649" s="31">
        <v>0</v>
      </c>
      <c r="Y649" s="31">
        <v>0</v>
      </c>
      <c r="Z649" s="31">
        <v>0</v>
      </c>
      <c r="AA649" s="31">
        <v>0</v>
      </c>
      <c r="AB649" s="31">
        <v>0</v>
      </c>
      <c r="AC649" s="31">
        <f>ROUND(R649*1.5%,2)</f>
        <v>22291.96</v>
      </c>
      <c r="AD649" s="31">
        <v>130000</v>
      </c>
      <c r="AE649" s="31">
        <v>0</v>
      </c>
      <c r="AF649" s="33">
        <v>2021</v>
      </c>
      <c r="AG649" s="33">
        <v>2021</v>
      </c>
      <c r="AH649" s="34">
        <v>2021</v>
      </c>
      <c r="AT649" s="20" t="e">
        <f t="shared" si="130"/>
        <v>#N/A</v>
      </c>
      <c r="BZ649" s="64"/>
      <c r="CD649" s="20" t="e">
        <f t="shared" si="129"/>
        <v>#N/A</v>
      </c>
    </row>
    <row r="650" spans="1:84" ht="61.5" x14ac:dyDescent="0.85">
      <c r="A650" s="20">
        <v>1</v>
      </c>
      <c r="B650" s="60">
        <f>SUBTOTAL(103,$A$558:A650)</f>
        <v>92</v>
      </c>
      <c r="C650" s="24" t="s">
        <v>457</v>
      </c>
      <c r="D650" s="31">
        <f t="shared" si="132"/>
        <v>4857937.9999999991</v>
      </c>
      <c r="E650" s="31">
        <v>0</v>
      </c>
      <c r="F650" s="31">
        <v>0</v>
      </c>
      <c r="G650" s="31">
        <v>0</v>
      </c>
      <c r="H650" s="31">
        <v>0</v>
      </c>
      <c r="I650" s="31">
        <v>0</v>
      </c>
      <c r="J650" s="31">
        <v>0</v>
      </c>
      <c r="K650" s="67">
        <v>0</v>
      </c>
      <c r="L650" s="31">
        <v>0</v>
      </c>
      <c r="M650" s="31">
        <v>886</v>
      </c>
      <c r="N650" s="31">
        <f>4638362.56+43531.35</f>
        <v>4681893.9099999992</v>
      </c>
      <c r="O650" s="31">
        <v>0</v>
      </c>
      <c r="P650" s="31">
        <v>0</v>
      </c>
      <c r="Q650" s="31">
        <v>0</v>
      </c>
      <c r="R650" s="31">
        <v>0</v>
      </c>
      <c r="S650" s="31">
        <v>0</v>
      </c>
      <c r="T650" s="31">
        <v>0</v>
      </c>
      <c r="U650" s="31">
        <v>0</v>
      </c>
      <c r="V650" s="31">
        <v>0</v>
      </c>
      <c r="W650" s="31">
        <v>0</v>
      </c>
      <c r="X650" s="31">
        <v>0</v>
      </c>
      <c r="Y650" s="31">
        <v>0</v>
      </c>
      <c r="Z650" s="31">
        <v>0</v>
      </c>
      <c r="AA650" s="31">
        <v>0</v>
      </c>
      <c r="AB650" s="31">
        <v>0</v>
      </c>
      <c r="AC650" s="31">
        <f>ROUND(N650*1.5%,2)</f>
        <v>70228.41</v>
      </c>
      <c r="AD650" s="31">
        <v>105815.67999999999</v>
      </c>
      <c r="AE650" s="31">
        <v>0</v>
      </c>
      <c r="AF650" s="33">
        <v>2021</v>
      </c>
      <c r="AG650" s="33">
        <v>2021</v>
      </c>
      <c r="AH650" s="34">
        <v>2021</v>
      </c>
      <c r="AT650" s="20" t="e">
        <f t="shared" si="130"/>
        <v>#N/A</v>
      </c>
      <c r="BZ650" s="64"/>
      <c r="CD650" s="20" t="e">
        <f t="shared" si="129"/>
        <v>#N/A</v>
      </c>
    </row>
    <row r="651" spans="1:84" ht="61.5" x14ac:dyDescent="0.85">
      <c r="A651" s="20">
        <v>1</v>
      </c>
      <c r="B651" s="60">
        <f>SUBTOTAL(103,$A$558:A651)</f>
        <v>93</v>
      </c>
      <c r="C651" s="24" t="s">
        <v>458</v>
      </c>
      <c r="D651" s="31">
        <f t="shared" si="132"/>
        <v>3345121.12</v>
      </c>
      <c r="E651" s="31">
        <v>0</v>
      </c>
      <c r="F651" s="31">
        <v>0</v>
      </c>
      <c r="G651" s="31">
        <v>0</v>
      </c>
      <c r="H651" s="31">
        <v>0</v>
      </c>
      <c r="I651" s="31">
        <v>0</v>
      </c>
      <c r="J651" s="31">
        <v>0</v>
      </c>
      <c r="K651" s="67">
        <v>0</v>
      </c>
      <c r="L651" s="31">
        <v>0</v>
      </c>
      <c r="M651" s="31">
        <v>604</v>
      </c>
      <c r="N651" s="31">
        <v>3147902.58</v>
      </c>
      <c r="O651" s="31">
        <v>0</v>
      </c>
      <c r="P651" s="31">
        <v>0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0</v>
      </c>
      <c r="AC651" s="31">
        <f>ROUND(N651*1.5%,2)</f>
        <v>47218.54</v>
      </c>
      <c r="AD651" s="31">
        <v>150000</v>
      </c>
      <c r="AE651" s="31">
        <v>0</v>
      </c>
      <c r="AF651" s="33">
        <v>2021</v>
      </c>
      <c r="AG651" s="33">
        <v>2021</v>
      </c>
      <c r="AH651" s="34">
        <v>2021</v>
      </c>
      <c r="AT651" s="20" t="e">
        <f t="shared" si="130"/>
        <v>#N/A</v>
      </c>
      <c r="BZ651" s="64"/>
      <c r="CD651" s="20" t="e">
        <f t="shared" si="129"/>
        <v>#N/A</v>
      </c>
    </row>
    <row r="652" spans="1:84" ht="61.5" x14ac:dyDescent="0.85">
      <c r="A652" s="20">
        <v>1</v>
      </c>
      <c r="B652" s="60">
        <f>SUBTOTAL(103,$A$558:A652)</f>
        <v>94</v>
      </c>
      <c r="C652" s="24" t="s">
        <v>459</v>
      </c>
      <c r="D652" s="31">
        <f t="shared" si="132"/>
        <v>3345121.12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67">
        <v>0</v>
      </c>
      <c r="L652" s="31">
        <v>0</v>
      </c>
      <c r="M652" s="31">
        <v>604</v>
      </c>
      <c r="N652" s="31">
        <v>3147902.58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0</v>
      </c>
      <c r="AC652" s="31">
        <f>ROUND(N652*1.5%,2)</f>
        <v>47218.54</v>
      </c>
      <c r="AD652" s="31">
        <v>150000</v>
      </c>
      <c r="AE652" s="31">
        <v>0</v>
      </c>
      <c r="AF652" s="33">
        <v>2021</v>
      </c>
      <c r="AG652" s="33">
        <v>2021</v>
      </c>
      <c r="AH652" s="34">
        <v>2021</v>
      </c>
      <c r="AT652" s="20" t="e">
        <f t="shared" si="130"/>
        <v>#N/A</v>
      </c>
      <c r="BZ652" s="64"/>
      <c r="CD652" s="20" t="e">
        <f t="shared" si="129"/>
        <v>#N/A</v>
      </c>
    </row>
    <row r="653" spans="1:84" ht="61.5" x14ac:dyDescent="0.85">
      <c r="A653" s="20">
        <v>1</v>
      </c>
      <c r="B653" s="60">
        <f>SUBTOTAL(103,$A$558:A653)</f>
        <v>95</v>
      </c>
      <c r="C653" s="24" t="s">
        <v>460</v>
      </c>
      <c r="D653" s="31">
        <f t="shared" si="132"/>
        <v>3589208.6799999997</v>
      </c>
      <c r="E653" s="31">
        <v>0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67">
        <v>0</v>
      </c>
      <c r="L653" s="31">
        <v>0</v>
      </c>
      <c r="M653" s="31">
        <v>723.24</v>
      </c>
      <c r="N653" s="31">
        <f>3388382.94+73277.04</f>
        <v>3461659.98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0</v>
      </c>
      <c r="AC653" s="31">
        <f>ROUND(N653*1.5%,2)</f>
        <v>51924.9</v>
      </c>
      <c r="AD653" s="31">
        <v>75623.8</v>
      </c>
      <c r="AE653" s="31">
        <v>0</v>
      </c>
      <c r="AF653" s="33">
        <v>2021</v>
      </c>
      <c r="AG653" s="33">
        <v>2021</v>
      </c>
      <c r="AH653" s="34">
        <v>2021</v>
      </c>
      <c r="AT653" s="20" t="e">
        <f t="shared" si="130"/>
        <v>#N/A</v>
      </c>
      <c r="BZ653" s="64"/>
      <c r="CD653" s="20" t="e">
        <f t="shared" si="129"/>
        <v>#N/A</v>
      </c>
    </row>
    <row r="654" spans="1:84" ht="61.5" x14ac:dyDescent="0.85">
      <c r="A654" s="20">
        <v>1</v>
      </c>
      <c r="B654" s="60">
        <f>SUBTOTAL(103,$A$558:A654)</f>
        <v>96</v>
      </c>
      <c r="C654" s="24" t="s">
        <v>461</v>
      </c>
      <c r="D654" s="31">
        <f t="shared" si="132"/>
        <v>998954.77999999991</v>
      </c>
      <c r="E654" s="31">
        <v>0</v>
      </c>
      <c r="F654" s="31">
        <v>0</v>
      </c>
      <c r="G654" s="31">
        <v>0</v>
      </c>
      <c r="H654" s="31">
        <v>0</v>
      </c>
      <c r="I654" s="31">
        <v>0</v>
      </c>
      <c r="J654" s="31">
        <v>0</v>
      </c>
      <c r="K654" s="67">
        <v>0</v>
      </c>
      <c r="L654" s="31">
        <v>0</v>
      </c>
      <c r="M654" s="31">
        <v>0</v>
      </c>
      <c r="N654" s="31">
        <v>0</v>
      </c>
      <c r="O654" s="31">
        <v>0</v>
      </c>
      <c r="P654" s="31">
        <v>0</v>
      </c>
      <c r="Q654" s="31">
        <v>409.5</v>
      </c>
      <c r="R654" s="31">
        <v>856113.08</v>
      </c>
      <c r="S654" s="31">
        <v>0</v>
      </c>
      <c r="T654" s="31">
        <v>0</v>
      </c>
      <c r="U654" s="31">
        <v>0</v>
      </c>
      <c r="V654" s="31">
        <v>0</v>
      </c>
      <c r="W654" s="31">
        <v>0</v>
      </c>
      <c r="X654" s="31">
        <v>0</v>
      </c>
      <c r="Y654" s="31">
        <v>0</v>
      </c>
      <c r="Z654" s="31">
        <v>0</v>
      </c>
      <c r="AA654" s="31">
        <v>0</v>
      </c>
      <c r="AB654" s="31">
        <v>0</v>
      </c>
      <c r="AC654" s="31">
        <f>ROUND(R654*1.5%,2)</f>
        <v>12841.7</v>
      </c>
      <c r="AD654" s="31">
        <v>130000</v>
      </c>
      <c r="AE654" s="31">
        <v>0</v>
      </c>
      <c r="AF654" s="33">
        <v>2021</v>
      </c>
      <c r="AG654" s="33">
        <v>2021</v>
      </c>
      <c r="AH654" s="34">
        <v>2021</v>
      </c>
      <c r="AT654" s="20" t="e">
        <f t="shared" si="130"/>
        <v>#N/A</v>
      </c>
      <c r="BZ654" s="64"/>
      <c r="CD654" s="20" t="e">
        <f t="shared" si="129"/>
        <v>#N/A</v>
      </c>
    </row>
    <row r="655" spans="1:84" ht="61.5" x14ac:dyDescent="0.85">
      <c r="A655" s="20">
        <v>1</v>
      </c>
      <c r="B655" s="60">
        <f>SUBTOTAL(103,$A$558:A655)</f>
        <v>97</v>
      </c>
      <c r="C655" s="24" t="s">
        <v>464</v>
      </c>
      <c r="D655" s="31">
        <f t="shared" si="132"/>
        <v>3809028.03</v>
      </c>
      <c r="E655" s="31">
        <f>177249.6+38106.82</f>
        <v>215356.42</v>
      </c>
      <c r="F655" s="31">
        <v>0</v>
      </c>
      <c r="G655" s="31">
        <v>2456692.4499999997</v>
      </c>
      <c r="H655" s="31">
        <v>300000</v>
      </c>
      <c r="I655" s="31">
        <v>485121.6</v>
      </c>
      <c r="J655" s="31">
        <v>0</v>
      </c>
      <c r="K655" s="67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0</v>
      </c>
      <c r="Q655" s="31">
        <v>0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Z655" s="31">
        <v>0</v>
      </c>
      <c r="AA655" s="31">
        <v>0</v>
      </c>
      <c r="AB655" s="31">
        <v>0</v>
      </c>
      <c r="AC655" s="31">
        <f>ROUND((E655+F655+G655+H655+I655+J655)*1.5%,2)</f>
        <v>51857.56</v>
      </c>
      <c r="AD655" s="31">
        <v>300000</v>
      </c>
      <c r="AE655" s="31">
        <v>0</v>
      </c>
      <c r="AF655" s="33">
        <v>2021</v>
      </c>
      <c r="AG655" s="33">
        <v>2021</v>
      </c>
      <c r="AH655" s="34">
        <v>2021</v>
      </c>
      <c r="AT655" s="20" t="e">
        <f t="shared" si="130"/>
        <v>#N/A</v>
      </c>
      <c r="BZ655" s="64"/>
      <c r="CD655" s="20" t="e">
        <f t="shared" si="129"/>
        <v>#N/A</v>
      </c>
    </row>
    <row r="656" spans="1:84" ht="61.5" x14ac:dyDescent="0.85">
      <c r="A656" s="20">
        <v>1</v>
      </c>
      <c r="B656" s="60">
        <f>SUBTOTAL(103,$A$558:A656)</f>
        <v>98</v>
      </c>
      <c r="C656" s="24" t="s">
        <v>465</v>
      </c>
      <c r="D656" s="31">
        <f t="shared" si="132"/>
        <v>7806669.5299999993</v>
      </c>
      <c r="E656" s="31">
        <v>0</v>
      </c>
      <c r="F656" s="31">
        <v>0</v>
      </c>
      <c r="G656" s="31">
        <v>0</v>
      </c>
      <c r="H656" s="31">
        <v>0</v>
      </c>
      <c r="I656" s="31">
        <v>0</v>
      </c>
      <c r="J656" s="31">
        <v>0</v>
      </c>
      <c r="K656" s="67">
        <v>0</v>
      </c>
      <c r="L656" s="31">
        <v>0</v>
      </c>
      <c r="M656" s="31">
        <v>3073.45</v>
      </c>
      <c r="N656" s="31">
        <f>7513960.13+72869.85</f>
        <v>7586829.9799999995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0</v>
      </c>
      <c r="AB656" s="31">
        <v>0</v>
      </c>
      <c r="AC656" s="31">
        <f t="shared" ref="AC656:AC663" si="133">ROUND(N656*1.5%,2)</f>
        <v>113802.45</v>
      </c>
      <c r="AD656" s="31">
        <v>106037.1</v>
      </c>
      <c r="AE656" s="31">
        <v>0</v>
      </c>
      <c r="AF656" s="33">
        <v>2021</v>
      </c>
      <c r="AG656" s="33">
        <v>2021</v>
      </c>
      <c r="AH656" s="34">
        <v>2021</v>
      </c>
      <c r="AT656" s="20" t="e">
        <f t="shared" si="130"/>
        <v>#N/A</v>
      </c>
      <c r="BZ656" s="64"/>
      <c r="CD656" s="20" t="e">
        <f t="shared" si="129"/>
        <v>#N/A</v>
      </c>
    </row>
    <row r="657" spans="1:84" ht="61.5" x14ac:dyDescent="0.85">
      <c r="A657" s="20">
        <v>1</v>
      </c>
      <c r="B657" s="60">
        <f>SUBTOTAL(103,$A$558:A657)</f>
        <v>99</v>
      </c>
      <c r="C657" s="24" t="s">
        <v>445</v>
      </c>
      <c r="D657" s="31">
        <f t="shared" si="132"/>
        <v>4800723</v>
      </c>
      <c r="E657" s="31">
        <v>0</v>
      </c>
      <c r="F657" s="31">
        <v>0</v>
      </c>
      <c r="G657" s="31">
        <v>0</v>
      </c>
      <c r="H657" s="31">
        <v>0</v>
      </c>
      <c r="I657" s="31">
        <v>0</v>
      </c>
      <c r="J657" s="31">
        <v>0</v>
      </c>
      <c r="K657" s="67">
        <v>0</v>
      </c>
      <c r="L657" s="31">
        <v>0</v>
      </c>
      <c r="M657" s="31">
        <v>850</v>
      </c>
      <c r="N657" s="31">
        <v>4729776.3499999996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  <c r="AC657" s="31">
        <f t="shared" si="133"/>
        <v>70946.649999999994</v>
      </c>
      <c r="AD657" s="31">
        <v>0</v>
      </c>
      <c r="AE657" s="31">
        <v>0</v>
      </c>
      <c r="AF657" s="33" t="s">
        <v>268</v>
      </c>
      <c r="AG657" s="33">
        <v>2021</v>
      </c>
      <c r="AH657" s="34">
        <v>2021</v>
      </c>
      <c r="AT657" s="20" t="e">
        <f t="shared" si="130"/>
        <v>#N/A</v>
      </c>
      <c r="BZ657" s="64"/>
      <c r="CD657" s="20" t="e">
        <f t="shared" si="129"/>
        <v>#N/A</v>
      </c>
    </row>
    <row r="658" spans="1:84" ht="61.5" x14ac:dyDescent="0.85">
      <c r="A658" s="20">
        <v>1</v>
      </c>
      <c r="B658" s="60">
        <f>SUBTOTAL(103,$A$558:A658)</f>
        <v>100</v>
      </c>
      <c r="C658" s="24" t="s">
        <v>1285</v>
      </c>
      <c r="D658" s="31">
        <f t="shared" si="132"/>
        <v>3973949.3400000003</v>
      </c>
      <c r="E658" s="31">
        <v>0</v>
      </c>
      <c r="F658" s="31">
        <v>0</v>
      </c>
      <c r="G658" s="31">
        <v>0</v>
      </c>
      <c r="H658" s="31">
        <v>0</v>
      </c>
      <c r="I658" s="31">
        <v>0</v>
      </c>
      <c r="J658" s="31">
        <v>0</v>
      </c>
      <c r="K658" s="67">
        <v>0</v>
      </c>
      <c r="L658" s="31">
        <v>0</v>
      </c>
      <c r="M658" s="31">
        <v>716.68</v>
      </c>
      <c r="N658" s="31">
        <f>3767437.77+77001.06</f>
        <v>3844438.83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0</v>
      </c>
      <c r="AC658" s="31">
        <f t="shared" si="133"/>
        <v>57666.58</v>
      </c>
      <c r="AD658" s="31">
        <v>71843.929999999993</v>
      </c>
      <c r="AE658" s="31">
        <v>0</v>
      </c>
      <c r="AF658" s="33">
        <v>2021</v>
      </c>
      <c r="AG658" s="33">
        <v>2021</v>
      </c>
      <c r="AH658" s="34">
        <v>2021</v>
      </c>
      <c r="AT658" s="20" t="e">
        <f t="shared" si="130"/>
        <v>#N/A</v>
      </c>
      <c r="BZ658" s="64"/>
      <c r="CD658" s="20" t="e">
        <f t="shared" si="129"/>
        <v>#N/A</v>
      </c>
    </row>
    <row r="659" spans="1:84" ht="61.5" x14ac:dyDescent="0.85">
      <c r="A659" s="20">
        <v>1</v>
      </c>
      <c r="B659" s="60">
        <f>SUBTOTAL(103,$A$558:A659)</f>
        <v>101</v>
      </c>
      <c r="C659" s="24" t="s">
        <v>463</v>
      </c>
      <c r="D659" s="31">
        <f t="shared" si="132"/>
        <v>3793636.92</v>
      </c>
      <c r="E659" s="31">
        <v>0</v>
      </c>
      <c r="F659" s="31">
        <v>0</v>
      </c>
      <c r="G659" s="31">
        <v>0</v>
      </c>
      <c r="H659" s="31">
        <v>0</v>
      </c>
      <c r="I659" s="31">
        <v>0</v>
      </c>
      <c r="J659" s="31">
        <v>0</v>
      </c>
      <c r="K659" s="67">
        <v>0</v>
      </c>
      <c r="L659" s="31">
        <v>0</v>
      </c>
      <c r="M659" s="31">
        <v>724</v>
      </c>
      <c r="N659" s="31">
        <f>3589790.07+76955.1</f>
        <v>3666745.17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0</v>
      </c>
      <c r="AC659" s="31">
        <f t="shared" si="133"/>
        <v>55001.18</v>
      </c>
      <c r="AD659" s="31">
        <v>71890.570000000007</v>
      </c>
      <c r="AE659" s="31">
        <v>0</v>
      </c>
      <c r="AF659" s="33">
        <v>2021</v>
      </c>
      <c r="AG659" s="33">
        <v>2021</v>
      </c>
      <c r="AH659" s="34">
        <v>2021</v>
      </c>
      <c r="AT659" s="20" t="e">
        <f t="shared" si="130"/>
        <v>#N/A</v>
      </c>
      <c r="BZ659" s="64"/>
      <c r="CD659" s="20" t="e">
        <f t="shared" si="129"/>
        <v>#N/A</v>
      </c>
    </row>
    <row r="660" spans="1:84" ht="61.5" x14ac:dyDescent="0.85">
      <c r="A660" s="20">
        <v>1</v>
      </c>
      <c r="B660" s="60">
        <f>SUBTOTAL(103,$A$558:A660)</f>
        <v>102</v>
      </c>
      <c r="C660" s="24" t="s">
        <v>1621</v>
      </c>
      <c r="D660" s="31">
        <f t="shared" si="132"/>
        <v>3607695.84</v>
      </c>
      <c r="E660" s="31">
        <v>0</v>
      </c>
      <c r="F660" s="31">
        <v>0</v>
      </c>
      <c r="G660" s="31">
        <v>0</v>
      </c>
      <c r="H660" s="31">
        <v>0</v>
      </c>
      <c r="I660" s="31">
        <v>0</v>
      </c>
      <c r="J660" s="31">
        <v>0</v>
      </c>
      <c r="K660" s="67">
        <v>0</v>
      </c>
      <c r="L660" s="31">
        <v>0</v>
      </c>
      <c r="M660" s="31">
        <v>627.6</v>
      </c>
      <c r="N660" s="31">
        <v>3436153.54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  <c r="AC660" s="31">
        <f t="shared" si="133"/>
        <v>51542.3</v>
      </c>
      <c r="AD660" s="31">
        <v>120000</v>
      </c>
      <c r="AE660" s="31">
        <v>0</v>
      </c>
      <c r="AF660" s="33">
        <v>2021</v>
      </c>
      <c r="AG660" s="33">
        <v>2021</v>
      </c>
      <c r="AH660" s="34">
        <v>2021</v>
      </c>
      <c r="BZ660" s="64"/>
      <c r="CD660" s="20" t="e">
        <f t="shared" si="129"/>
        <v>#N/A</v>
      </c>
    </row>
    <row r="661" spans="1:84" ht="61.5" x14ac:dyDescent="0.85">
      <c r="A661" s="20">
        <v>1</v>
      </c>
      <c r="B661" s="60">
        <f>SUBTOTAL(103,$A$558:A661)</f>
        <v>103</v>
      </c>
      <c r="C661" s="24" t="s">
        <v>1622</v>
      </c>
      <c r="D661" s="31">
        <f t="shared" si="132"/>
        <v>1597480.36</v>
      </c>
      <c r="E661" s="31">
        <v>0</v>
      </c>
      <c r="F661" s="31">
        <v>0</v>
      </c>
      <c r="G661" s="31">
        <v>0</v>
      </c>
      <c r="H661" s="31">
        <v>0</v>
      </c>
      <c r="I661" s="31">
        <v>0</v>
      </c>
      <c r="J661" s="31">
        <v>0</v>
      </c>
      <c r="K661" s="67">
        <v>0</v>
      </c>
      <c r="L661" s="31">
        <v>0</v>
      </c>
      <c r="M661" s="31">
        <v>277.89999999999998</v>
      </c>
      <c r="N661" s="31">
        <v>1495054.54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  <c r="AA661" s="31">
        <v>0</v>
      </c>
      <c r="AB661" s="31">
        <v>0</v>
      </c>
      <c r="AC661" s="31">
        <f t="shared" si="133"/>
        <v>22425.82</v>
      </c>
      <c r="AD661" s="31">
        <v>80000</v>
      </c>
      <c r="AE661" s="31">
        <v>0</v>
      </c>
      <c r="AF661" s="33">
        <v>2021</v>
      </c>
      <c r="AG661" s="33">
        <v>2021</v>
      </c>
      <c r="AH661" s="34">
        <v>2021</v>
      </c>
      <c r="BZ661" s="64"/>
      <c r="CD661" s="20" t="e">
        <f t="shared" si="129"/>
        <v>#N/A</v>
      </c>
    </row>
    <row r="662" spans="1:84" ht="61.5" x14ac:dyDescent="0.85">
      <c r="A662" s="20">
        <v>1</v>
      </c>
      <c r="B662" s="60">
        <f>SUBTOTAL(103,$A$558:A662)</f>
        <v>104</v>
      </c>
      <c r="C662" s="24" t="s">
        <v>1623</v>
      </c>
      <c r="D662" s="31">
        <f t="shared" si="132"/>
        <v>3132303.1599999997</v>
      </c>
      <c r="E662" s="31">
        <v>0</v>
      </c>
      <c r="F662" s="31">
        <v>0</v>
      </c>
      <c r="G662" s="31">
        <v>0</v>
      </c>
      <c r="H662" s="31">
        <v>0</v>
      </c>
      <c r="I662" s="31">
        <v>0</v>
      </c>
      <c r="J662" s="31">
        <v>0</v>
      </c>
      <c r="K662" s="67">
        <v>0</v>
      </c>
      <c r="L662" s="31">
        <v>0</v>
      </c>
      <c r="M662" s="31">
        <v>544.9</v>
      </c>
      <c r="N662" s="31">
        <v>2987490.8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0</v>
      </c>
      <c r="Z662" s="31">
        <v>0</v>
      </c>
      <c r="AA662" s="31">
        <v>0</v>
      </c>
      <c r="AB662" s="31">
        <v>0</v>
      </c>
      <c r="AC662" s="31">
        <f t="shared" si="133"/>
        <v>44812.36</v>
      </c>
      <c r="AD662" s="31">
        <v>100000</v>
      </c>
      <c r="AE662" s="31">
        <v>0</v>
      </c>
      <c r="AF662" s="33">
        <v>2021</v>
      </c>
      <c r="AG662" s="33">
        <v>2021</v>
      </c>
      <c r="AH662" s="34">
        <v>2021</v>
      </c>
      <c r="BZ662" s="64"/>
      <c r="CD662" s="20" t="e">
        <f t="shared" si="129"/>
        <v>#N/A</v>
      </c>
    </row>
    <row r="663" spans="1:84" ht="61.5" x14ac:dyDescent="0.85">
      <c r="A663" s="20">
        <v>1</v>
      </c>
      <c r="B663" s="60">
        <f>SUBTOTAL(103,$A$558:A663)</f>
        <v>105</v>
      </c>
      <c r="C663" s="24" t="s">
        <v>1624</v>
      </c>
      <c r="D663" s="31">
        <f t="shared" si="132"/>
        <v>1937212.2999999998</v>
      </c>
      <c r="E663" s="31">
        <v>0</v>
      </c>
      <c r="F663" s="31">
        <v>0</v>
      </c>
      <c r="G663" s="31">
        <v>0</v>
      </c>
      <c r="H663" s="31">
        <v>0</v>
      </c>
      <c r="I663" s="31">
        <v>0</v>
      </c>
      <c r="J663" s="31">
        <v>0</v>
      </c>
      <c r="K663" s="67">
        <v>0</v>
      </c>
      <c r="L663" s="31">
        <v>0</v>
      </c>
      <c r="M663" s="31">
        <v>337</v>
      </c>
      <c r="N663" s="31">
        <v>1810059.9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Z663" s="31">
        <v>0</v>
      </c>
      <c r="AA663" s="31">
        <v>0</v>
      </c>
      <c r="AB663" s="31">
        <v>0</v>
      </c>
      <c r="AC663" s="31">
        <f t="shared" si="133"/>
        <v>27150.9</v>
      </c>
      <c r="AD663" s="31">
        <f>100000+1.5</f>
        <v>100001.5</v>
      </c>
      <c r="AE663" s="31">
        <v>0</v>
      </c>
      <c r="AF663" s="33">
        <v>2021</v>
      </c>
      <c r="AG663" s="33">
        <v>2021</v>
      </c>
      <c r="AH663" s="34">
        <v>2021</v>
      </c>
      <c r="BZ663" s="64"/>
      <c r="CD663" s="20" t="e">
        <f t="shared" si="129"/>
        <v>#N/A</v>
      </c>
    </row>
    <row r="664" spans="1:84" ht="61.5" x14ac:dyDescent="0.85">
      <c r="A664" s="20">
        <v>1</v>
      </c>
      <c r="B664" s="60">
        <f>SUBTOTAL(103,$A$558:A664)</f>
        <v>106</v>
      </c>
      <c r="C664" s="24" t="s">
        <v>476</v>
      </c>
      <c r="D664" s="31">
        <f>E664+F664+G664+H664+I664+J664+L664+N664+P664+R664+T664+U664+V664+W664+X664+Y664+Z664+AA664+AB664+AC664+AD664+AE664</f>
        <v>2847699.39</v>
      </c>
      <c r="E664" s="30">
        <v>0</v>
      </c>
      <c r="F664" s="32">
        <v>0</v>
      </c>
      <c r="G664" s="30">
        <v>0</v>
      </c>
      <c r="H664" s="32">
        <v>0</v>
      </c>
      <c r="I664" s="32">
        <v>0</v>
      </c>
      <c r="J664" s="32">
        <v>0</v>
      </c>
      <c r="K664" s="459">
        <v>0</v>
      </c>
      <c r="L664" s="32">
        <v>0</v>
      </c>
      <c r="M664" s="31">
        <v>510</v>
      </c>
      <c r="N664" s="31">
        <f>2425465.71+232366.2</f>
        <v>2657831.91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32">
        <v>0</v>
      </c>
      <c r="W664" s="32">
        <v>0</v>
      </c>
      <c r="X664" s="32">
        <v>0</v>
      </c>
      <c r="Y664" s="32">
        <v>0</v>
      </c>
      <c r="Z664" s="32">
        <v>0</v>
      </c>
      <c r="AA664" s="31">
        <v>0</v>
      </c>
      <c r="AB664" s="31">
        <v>0</v>
      </c>
      <c r="AC664" s="31">
        <f>ROUND(N664*1.5%,2)</f>
        <v>39867.480000000003</v>
      </c>
      <c r="AD664" s="31">
        <v>150000</v>
      </c>
      <c r="AE664" s="31">
        <v>0</v>
      </c>
      <c r="AF664" s="33">
        <v>2021</v>
      </c>
      <c r="AG664" s="33">
        <v>2021</v>
      </c>
      <c r="AH664" s="34">
        <v>2021</v>
      </c>
      <c r="AT664" s="20" t="e">
        <f>VLOOKUP(C664,AW:AX,2,FALSE)</f>
        <v>#N/A</v>
      </c>
      <c r="BZ664" s="64"/>
    </row>
    <row r="665" spans="1:84" ht="61.5" x14ac:dyDescent="0.85">
      <c r="A665" s="20">
        <v>1</v>
      </c>
      <c r="B665" s="60">
        <f>SUBTOTAL(103,$A$558:A665)</f>
        <v>107</v>
      </c>
      <c r="C665" s="24" t="s">
        <v>1134</v>
      </c>
      <c r="D665" s="31">
        <f t="shared" si="132"/>
        <v>2152387.4200000004</v>
      </c>
      <c r="E665" s="31">
        <v>0</v>
      </c>
      <c r="F665" s="31">
        <v>0</v>
      </c>
      <c r="G665" s="103">
        <f>1920578.74+200000</f>
        <v>2120578.7400000002</v>
      </c>
      <c r="H665" s="31">
        <v>0</v>
      </c>
      <c r="I665" s="31">
        <v>0</v>
      </c>
      <c r="J665" s="31">
        <v>0</v>
      </c>
      <c r="K665" s="67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Z665" s="31">
        <v>0</v>
      </c>
      <c r="AA665" s="31">
        <v>0</v>
      </c>
      <c r="AB665" s="31">
        <v>0</v>
      </c>
      <c r="AC665" s="31">
        <f>ROUND((E665+F665+G665+H665+I665+J665)*1.5%,2)</f>
        <v>31808.68</v>
      </c>
      <c r="AD665" s="31">
        <v>0</v>
      </c>
      <c r="AE665" s="31">
        <v>0</v>
      </c>
      <c r="AF665" s="33" t="s">
        <v>268</v>
      </c>
      <c r="AG665" s="33">
        <v>2021</v>
      </c>
      <c r="AH665" s="34">
        <v>2021</v>
      </c>
      <c r="BZ665" s="64"/>
      <c r="CD665" s="20" t="e">
        <f t="shared" ref="CD665:CD702" si="134">VLOOKUP(C665,CE:CF,2,FALSE)</f>
        <v>#N/A</v>
      </c>
      <c r="CE665" s="88" t="s">
        <v>187</v>
      </c>
      <c r="CF665" s="88">
        <v>1028.5999999999999</v>
      </c>
    </row>
    <row r="666" spans="1:84" ht="61.5" x14ac:dyDescent="0.85">
      <c r="A666" s="20">
        <v>1</v>
      </c>
      <c r="B666" s="60">
        <f>SUBTOTAL(103,$A$558:A666)</f>
        <v>108</v>
      </c>
      <c r="C666" s="24" t="s">
        <v>1139</v>
      </c>
      <c r="D666" s="31">
        <f t="shared" si="132"/>
        <v>534516.64</v>
      </c>
      <c r="E666" s="31">
        <v>0</v>
      </c>
      <c r="F666" s="31">
        <v>0</v>
      </c>
      <c r="G666" s="31">
        <f>326617.38+200000</f>
        <v>526617.38</v>
      </c>
      <c r="H666" s="31">
        <v>0</v>
      </c>
      <c r="I666" s="31">
        <v>0</v>
      </c>
      <c r="J666" s="31">
        <v>0</v>
      </c>
      <c r="K666" s="67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0</v>
      </c>
      <c r="Z666" s="31">
        <v>0</v>
      </c>
      <c r="AA666" s="31">
        <v>0</v>
      </c>
      <c r="AB666" s="31">
        <v>0</v>
      </c>
      <c r="AC666" s="31">
        <f>ROUND((E666+F666+G666+H666+I666+J666)*1.5%,2)</f>
        <v>7899.26</v>
      </c>
      <c r="AD666" s="31">
        <v>0</v>
      </c>
      <c r="AE666" s="31">
        <v>0</v>
      </c>
      <c r="AF666" s="33" t="s">
        <v>268</v>
      </c>
      <c r="AG666" s="33">
        <v>2021</v>
      </c>
      <c r="AH666" s="34">
        <v>2021</v>
      </c>
      <c r="BZ666" s="64"/>
      <c r="CD666" s="20" t="e">
        <f t="shared" si="134"/>
        <v>#N/A</v>
      </c>
      <c r="CE666" s="88" t="s">
        <v>222</v>
      </c>
      <c r="CF666" s="88">
        <v>289.86</v>
      </c>
    </row>
    <row r="667" spans="1:84" ht="61.5" x14ac:dyDescent="0.85">
      <c r="A667" s="20">
        <v>1</v>
      </c>
      <c r="B667" s="60">
        <f>SUBTOTAL(103,$A$558:A667)</f>
        <v>109</v>
      </c>
      <c r="C667" s="24" t="s">
        <v>1144</v>
      </c>
      <c r="D667" s="31">
        <f t="shared" si="132"/>
        <v>1370144.55</v>
      </c>
      <c r="E667" s="30">
        <v>0</v>
      </c>
      <c r="F667" s="31">
        <v>0</v>
      </c>
      <c r="G667" s="31">
        <v>1349896.11</v>
      </c>
      <c r="H667" s="30">
        <v>0</v>
      </c>
      <c r="I667" s="31">
        <v>0</v>
      </c>
      <c r="J667" s="31">
        <v>0</v>
      </c>
      <c r="K667" s="67">
        <v>0</v>
      </c>
      <c r="L667" s="31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Z667" s="31">
        <v>0</v>
      </c>
      <c r="AA667" s="31">
        <v>0</v>
      </c>
      <c r="AB667" s="31">
        <v>0</v>
      </c>
      <c r="AC667" s="31">
        <f>ROUND((E667+F667+G667+H667+I667+J667)*1.5%,2)</f>
        <v>20248.439999999999</v>
      </c>
      <c r="AD667" s="31">
        <v>0</v>
      </c>
      <c r="AE667" s="31">
        <v>0</v>
      </c>
      <c r="AF667" s="33" t="s">
        <v>268</v>
      </c>
      <c r="AG667" s="33">
        <v>2021</v>
      </c>
      <c r="AH667" s="34">
        <v>2021</v>
      </c>
      <c r="BZ667" s="64"/>
      <c r="CD667" s="20" t="e">
        <f t="shared" si="134"/>
        <v>#N/A</v>
      </c>
      <c r="CE667" s="88" t="s">
        <v>628</v>
      </c>
      <c r="CF667" s="88">
        <v>384.56</v>
      </c>
    </row>
    <row r="668" spans="1:84" ht="61.5" x14ac:dyDescent="0.85">
      <c r="A668" s="20">
        <v>1</v>
      </c>
      <c r="B668" s="60">
        <f>SUBTOTAL(103,$A$558:A668)</f>
        <v>110</v>
      </c>
      <c r="C668" s="24" t="s">
        <v>1146</v>
      </c>
      <c r="D668" s="31">
        <f t="shared" si="132"/>
        <v>4854047.7300000004</v>
      </c>
      <c r="E668" s="31">
        <v>0</v>
      </c>
      <c r="F668" s="31">
        <v>0</v>
      </c>
      <c r="G668" s="103">
        <f>2238110.93+200000</f>
        <v>2438110.9300000002</v>
      </c>
      <c r="H668" s="30">
        <v>0</v>
      </c>
      <c r="I668" s="31">
        <v>2344202.1</v>
      </c>
      <c r="J668" s="31">
        <v>0</v>
      </c>
      <c r="K668" s="67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0</v>
      </c>
      <c r="X668" s="31">
        <v>0</v>
      </c>
      <c r="Y668" s="31">
        <v>0</v>
      </c>
      <c r="Z668" s="31">
        <v>0</v>
      </c>
      <c r="AA668" s="31">
        <v>0</v>
      </c>
      <c r="AB668" s="31">
        <v>0</v>
      </c>
      <c r="AC668" s="31">
        <f>ROUND((E668+F668+G668+H668+I668+J668)*1.5%,2)</f>
        <v>71734.7</v>
      </c>
      <c r="AD668" s="31">
        <v>0</v>
      </c>
      <c r="AE668" s="31">
        <v>0</v>
      </c>
      <c r="AF668" s="33" t="s">
        <v>268</v>
      </c>
      <c r="AG668" s="33">
        <v>2021</v>
      </c>
      <c r="AH668" s="34">
        <v>2021</v>
      </c>
      <c r="BZ668" s="64"/>
      <c r="CD668" s="20" t="e">
        <f t="shared" si="134"/>
        <v>#N/A</v>
      </c>
      <c r="CE668" s="88" t="s">
        <v>1107</v>
      </c>
      <c r="CF668" s="88">
        <v>946</v>
      </c>
    </row>
    <row r="669" spans="1:84" ht="61.5" x14ac:dyDescent="0.85">
      <c r="A669" s="20">
        <v>1</v>
      </c>
      <c r="B669" s="60">
        <f>SUBTOTAL(103,$A$558:A669)</f>
        <v>111</v>
      </c>
      <c r="C669" s="24" t="s">
        <v>1142</v>
      </c>
      <c r="D669" s="31">
        <f>E669+F669+G669+H669+I669+J669+L669+N669+P669+R669+T669+U669+V669+W669+X669+Y669+Z669+AA669+AB669+AC669+AD669+AE669</f>
        <v>1971369.43</v>
      </c>
      <c r="E669" s="31">
        <v>0</v>
      </c>
      <c r="F669" s="31">
        <v>0</v>
      </c>
      <c r="G669" s="31">
        <v>0</v>
      </c>
      <c r="H669" s="31">
        <v>0</v>
      </c>
      <c r="I669" s="31">
        <v>0</v>
      </c>
      <c r="J669" s="31">
        <v>0</v>
      </c>
      <c r="K669" s="67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450.1</v>
      </c>
      <c r="R669" s="31">
        <v>1824009.29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0</v>
      </c>
      <c r="AC669" s="31">
        <f>ROUND(R669*1.5%,2)</f>
        <v>27360.14</v>
      </c>
      <c r="AD669" s="31">
        <v>0</v>
      </c>
      <c r="AE669" s="31">
        <v>120000</v>
      </c>
      <c r="AF669" s="33" t="s">
        <v>268</v>
      </c>
      <c r="AG669" s="33">
        <v>2021</v>
      </c>
      <c r="AH669" s="34">
        <v>2021</v>
      </c>
      <c r="BZ669" s="64"/>
      <c r="CD669" s="20" t="e">
        <f t="shared" si="134"/>
        <v>#N/A</v>
      </c>
      <c r="CE669" s="88" t="s">
        <v>443</v>
      </c>
      <c r="CF669" s="88">
        <v>592.20000000000005</v>
      </c>
    </row>
    <row r="670" spans="1:84" ht="61.5" x14ac:dyDescent="0.85">
      <c r="A670" s="20">
        <v>1</v>
      </c>
      <c r="B670" s="60">
        <f>SUBTOTAL(103,$A$558:A670)</f>
        <v>112</v>
      </c>
      <c r="C670" s="24" t="s">
        <v>454</v>
      </c>
      <c r="D670" s="31">
        <f>E670+F670+G670+H670+I670+J670+L670+N670+P670+R670+T670+U670+V670+W670+X670+Y670+Z670+AA670+AB670+AC670+AD670+AE670</f>
        <v>2358287.8899999997</v>
      </c>
      <c r="E670" s="31">
        <v>0</v>
      </c>
      <c r="F670" s="31">
        <v>0</v>
      </c>
      <c r="G670" s="31">
        <v>0</v>
      </c>
      <c r="H670" s="31">
        <v>0</v>
      </c>
      <c r="I670" s="31">
        <v>0</v>
      </c>
      <c r="J670" s="31">
        <v>0</v>
      </c>
      <c r="K670" s="67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538.6</v>
      </c>
      <c r="R670" s="31">
        <v>2323436.34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  <c r="AC670" s="31">
        <f>ROUND(R670*1.5%,2)</f>
        <v>34851.550000000003</v>
      </c>
      <c r="AD670" s="31">
        <v>0</v>
      </c>
      <c r="AE670" s="31">
        <v>0</v>
      </c>
      <c r="AF670" s="33" t="s">
        <v>268</v>
      </c>
      <c r="AG670" s="33">
        <v>2021</v>
      </c>
      <c r="AH670" s="34">
        <v>2021</v>
      </c>
      <c r="AT670" s="20" t="e">
        <f>VLOOKUP(C670,AW:AX,2,FALSE)</f>
        <v>#N/A</v>
      </c>
      <c r="BZ670" s="64"/>
      <c r="CD670" s="20" t="e">
        <f t="shared" si="134"/>
        <v>#N/A</v>
      </c>
      <c r="CE670" s="88" t="s">
        <v>1266</v>
      </c>
      <c r="CF670" s="88">
        <v>437.4</v>
      </c>
    </row>
    <row r="671" spans="1:84" ht="61.5" x14ac:dyDescent="0.85">
      <c r="A671" s="20">
        <v>1</v>
      </c>
      <c r="B671" s="60">
        <f>SUBTOTAL(103,$A$558:A671)</f>
        <v>113</v>
      </c>
      <c r="C671" s="24" t="s">
        <v>1135</v>
      </c>
      <c r="D671" s="31">
        <f t="shared" ref="D671:D674" si="135">E671+F671+G671+H671+I671+J671+L671+N671+P671+R671+T671+U671+V671+W671+X671+Y671+Z671+AA671+AB671+AC671+AD671+AE671</f>
        <v>2333192.16</v>
      </c>
      <c r="E671" s="31">
        <v>0</v>
      </c>
      <c r="F671" s="31">
        <v>0</v>
      </c>
      <c r="G671" s="31">
        <v>0</v>
      </c>
      <c r="H671" s="31">
        <v>0</v>
      </c>
      <c r="I671" s="31">
        <v>0</v>
      </c>
      <c r="J671" s="31">
        <v>0</v>
      </c>
      <c r="K671" s="67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741.84</v>
      </c>
      <c r="R671" s="31">
        <f>1798711.49+500000</f>
        <v>2298711.4900000002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  <c r="AC671" s="31">
        <f>ROUND(R671*1.5%,2)</f>
        <v>34480.67</v>
      </c>
      <c r="AD671" s="31">
        <v>0</v>
      </c>
      <c r="AE671" s="31">
        <v>0</v>
      </c>
      <c r="AF671" s="33" t="s">
        <v>268</v>
      </c>
      <c r="AG671" s="33">
        <v>2021</v>
      </c>
      <c r="AH671" s="34">
        <v>2021</v>
      </c>
      <c r="BZ671" s="64"/>
      <c r="CD671" s="20" t="e">
        <f t="shared" si="134"/>
        <v>#N/A</v>
      </c>
      <c r="CE671" s="88" t="s">
        <v>186</v>
      </c>
      <c r="CF671" s="88">
        <v>578.4</v>
      </c>
    </row>
    <row r="672" spans="1:84" ht="61.5" x14ac:dyDescent="0.85">
      <c r="A672" s="20">
        <v>1</v>
      </c>
      <c r="B672" s="60">
        <f>SUBTOTAL(103,$A$558:A672)</f>
        <v>114</v>
      </c>
      <c r="C672" s="24" t="s">
        <v>1145</v>
      </c>
      <c r="D672" s="31">
        <f t="shared" si="135"/>
        <v>1540784.43</v>
      </c>
      <c r="E672" s="31">
        <v>0</v>
      </c>
      <c r="F672" s="31">
        <v>0</v>
      </c>
      <c r="G672" s="31">
        <f>1318014.22+200000</f>
        <v>1518014.22</v>
      </c>
      <c r="H672" s="31">
        <v>0</v>
      </c>
      <c r="I672" s="31">
        <v>0</v>
      </c>
      <c r="J672" s="31">
        <v>0</v>
      </c>
      <c r="K672" s="67">
        <v>0</v>
      </c>
      <c r="L672" s="31">
        <v>0</v>
      </c>
      <c r="M672" s="31">
        <v>0</v>
      </c>
      <c r="N672" s="31">
        <v>0</v>
      </c>
      <c r="O672" s="31">
        <v>0</v>
      </c>
      <c r="P672" s="31">
        <v>0</v>
      </c>
      <c r="Q672" s="31">
        <v>0</v>
      </c>
      <c r="R672" s="31">
        <v>0</v>
      </c>
      <c r="S672" s="31">
        <v>0</v>
      </c>
      <c r="T672" s="31">
        <v>0</v>
      </c>
      <c r="U672" s="31">
        <v>0</v>
      </c>
      <c r="V672" s="31">
        <v>0</v>
      </c>
      <c r="W672" s="31">
        <v>0</v>
      </c>
      <c r="X672" s="31">
        <v>0</v>
      </c>
      <c r="Y672" s="31">
        <v>0</v>
      </c>
      <c r="Z672" s="31">
        <v>0</v>
      </c>
      <c r="AA672" s="31">
        <v>0</v>
      </c>
      <c r="AB672" s="31">
        <v>0</v>
      </c>
      <c r="AC672" s="31">
        <f>ROUND((E672+F672+G672+H672+I672+J672)*1.5%,2)</f>
        <v>22770.21</v>
      </c>
      <c r="AD672" s="31">
        <v>0</v>
      </c>
      <c r="AE672" s="31">
        <v>0</v>
      </c>
      <c r="AF672" s="33" t="s">
        <v>268</v>
      </c>
      <c r="AG672" s="33">
        <v>2021</v>
      </c>
      <c r="AH672" s="34">
        <v>2021</v>
      </c>
      <c r="BZ672" s="64"/>
      <c r="CD672" s="20" t="e">
        <f t="shared" si="134"/>
        <v>#N/A</v>
      </c>
      <c r="CE672" s="88" t="s">
        <v>1281</v>
      </c>
      <c r="CF672" s="88">
        <v>500</v>
      </c>
    </row>
    <row r="673" spans="1:84" ht="61.5" x14ac:dyDescent="0.85">
      <c r="A673" s="20">
        <v>1</v>
      </c>
      <c r="B673" s="60">
        <f>SUBTOTAL(103,$A$558:A673)</f>
        <v>115</v>
      </c>
      <c r="C673" s="24" t="s">
        <v>462</v>
      </c>
      <c r="D673" s="31">
        <f t="shared" si="135"/>
        <v>2256753.77</v>
      </c>
      <c r="E673" s="31">
        <v>0</v>
      </c>
      <c r="F673" s="31">
        <v>0</v>
      </c>
      <c r="G673" s="31">
        <v>0</v>
      </c>
      <c r="H673" s="31">
        <v>0</v>
      </c>
      <c r="I673" s="31">
        <v>0</v>
      </c>
      <c r="J673" s="31">
        <v>0</v>
      </c>
      <c r="K673" s="67">
        <v>0</v>
      </c>
      <c r="L673" s="31">
        <v>0</v>
      </c>
      <c r="M673" s="38">
        <v>625.1</v>
      </c>
      <c r="N673" s="38">
        <v>2242290.9900000002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  <c r="AC673" s="38">
        <v>14462.78</v>
      </c>
      <c r="AD673" s="31">
        <v>0</v>
      </c>
      <c r="AE673" s="31">
        <v>0</v>
      </c>
      <c r="AF673" s="33" t="s">
        <v>268</v>
      </c>
      <c r="AG673" s="33">
        <v>2021</v>
      </c>
      <c r="AH673" s="34">
        <v>2021</v>
      </c>
      <c r="BZ673" s="64"/>
      <c r="CD673" s="20" t="e">
        <f t="shared" si="134"/>
        <v>#N/A</v>
      </c>
      <c r="CE673" s="88" t="s">
        <v>442</v>
      </c>
      <c r="CF673" s="88">
        <v>598</v>
      </c>
    </row>
    <row r="674" spans="1:84" ht="61.5" x14ac:dyDescent="0.85">
      <c r="A674" s="20">
        <v>1</v>
      </c>
      <c r="B674" s="60">
        <f>SUBTOTAL(103,$A$558:A674)</f>
        <v>116</v>
      </c>
      <c r="C674" s="24" t="s">
        <v>1284</v>
      </c>
      <c r="D674" s="31">
        <f t="shared" si="135"/>
        <v>2922293.2399999998</v>
      </c>
      <c r="E674" s="31">
        <v>0</v>
      </c>
      <c r="F674" s="31">
        <v>0</v>
      </c>
      <c r="G674" s="31">
        <v>0</v>
      </c>
      <c r="H674" s="31">
        <v>0</v>
      </c>
      <c r="I674" s="31">
        <v>0</v>
      </c>
      <c r="J674" s="31">
        <v>0</v>
      </c>
      <c r="K674" s="67">
        <v>0</v>
      </c>
      <c r="L674" s="31">
        <v>0</v>
      </c>
      <c r="M674" s="31">
        <v>0</v>
      </c>
      <c r="N674" s="31">
        <v>0</v>
      </c>
      <c r="O674" s="31">
        <v>0</v>
      </c>
      <c r="P674" s="31">
        <v>0</v>
      </c>
      <c r="Q674" s="31">
        <v>718.9</v>
      </c>
      <c r="R674" s="31">
        <v>2879106.6399999997</v>
      </c>
      <c r="S674" s="31">
        <v>0</v>
      </c>
      <c r="T674" s="31">
        <v>0</v>
      </c>
      <c r="U674" s="31">
        <v>0</v>
      </c>
      <c r="V674" s="31">
        <v>0</v>
      </c>
      <c r="W674" s="31">
        <v>0</v>
      </c>
      <c r="X674" s="31">
        <v>0</v>
      </c>
      <c r="Y674" s="31">
        <v>0</v>
      </c>
      <c r="Z674" s="31">
        <v>0</v>
      </c>
      <c r="AA674" s="31">
        <v>0</v>
      </c>
      <c r="AB674" s="31">
        <v>0</v>
      </c>
      <c r="AC674" s="31">
        <f>ROUND(R674*1.5%,2)</f>
        <v>43186.6</v>
      </c>
      <c r="AD674" s="31">
        <v>0</v>
      </c>
      <c r="AE674" s="31">
        <v>0</v>
      </c>
      <c r="AF674" s="33" t="s">
        <v>268</v>
      </c>
      <c r="AG674" s="33">
        <v>2021</v>
      </c>
      <c r="AH674" s="34">
        <v>2021</v>
      </c>
      <c r="BZ674" s="64"/>
      <c r="CD674" s="20" t="e">
        <f t="shared" si="134"/>
        <v>#N/A</v>
      </c>
      <c r="CE674" s="88" t="s">
        <v>624</v>
      </c>
      <c r="CF674" s="88">
        <v>486.27</v>
      </c>
    </row>
    <row r="675" spans="1:84" ht="61.5" x14ac:dyDescent="0.85">
      <c r="A675" s="20">
        <v>1</v>
      </c>
      <c r="B675" s="60">
        <f>SUBTOTAL(103,$A$558:A675)</f>
        <v>117</v>
      </c>
      <c r="C675" s="24" t="s">
        <v>1553</v>
      </c>
      <c r="D675" s="31">
        <f>E675+F675+G675+H675+I675+J675+L675+N675+P675+R675+T675+U675+V675+W675+X675+Y675+Z675+AA675+AB675+AC675+AD675+AE675</f>
        <v>3147456.93</v>
      </c>
      <c r="E675" s="31">
        <v>0</v>
      </c>
      <c r="F675" s="31">
        <v>0</v>
      </c>
      <c r="G675" s="31">
        <v>0</v>
      </c>
      <c r="H675" s="31">
        <v>0</v>
      </c>
      <c r="I675" s="31">
        <v>0</v>
      </c>
      <c r="J675" s="31">
        <v>0</v>
      </c>
      <c r="K675" s="67">
        <v>0</v>
      </c>
      <c r="L675" s="31">
        <v>0</v>
      </c>
      <c r="M675" s="31">
        <v>0</v>
      </c>
      <c r="N675" s="31">
        <v>0</v>
      </c>
      <c r="O675" s="31">
        <v>0</v>
      </c>
      <c r="P675" s="31">
        <v>0</v>
      </c>
      <c r="Q675" s="31">
        <v>634.6</v>
      </c>
      <c r="R675" s="31">
        <f>2776416.62+200000</f>
        <v>2976416.62</v>
      </c>
      <c r="S675" s="31">
        <v>0</v>
      </c>
      <c r="T675" s="31">
        <v>0</v>
      </c>
      <c r="U675" s="31">
        <v>0</v>
      </c>
      <c r="V675" s="31">
        <v>0</v>
      </c>
      <c r="W675" s="31">
        <v>0</v>
      </c>
      <c r="X675" s="31">
        <v>0</v>
      </c>
      <c r="Y675" s="31">
        <v>0</v>
      </c>
      <c r="Z675" s="31">
        <v>0</v>
      </c>
      <c r="AA675" s="31">
        <v>0</v>
      </c>
      <c r="AB675" s="31">
        <v>0</v>
      </c>
      <c r="AC675" s="31">
        <f>ROUND(R675*1.5%,2)</f>
        <v>44646.25</v>
      </c>
      <c r="AD675" s="31">
        <f>120000+6394.06</f>
        <v>126394.06</v>
      </c>
      <c r="AE675" s="31">
        <v>0</v>
      </c>
      <c r="AF675" s="33">
        <v>2021</v>
      </c>
      <c r="AG675" s="33">
        <v>2021</v>
      </c>
      <c r="AH675" s="34">
        <v>2021</v>
      </c>
      <c r="BZ675" s="64"/>
      <c r="CD675" s="20" t="e">
        <f t="shared" si="134"/>
        <v>#N/A</v>
      </c>
      <c r="CE675" s="88" t="s">
        <v>116</v>
      </c>
      <c r="CF675" s="88">
        <v>1151</v>
      </c>
    </row>
    <row r="676" spans="1:84" ht="61.5" x14ac:dyDescent="0.85">
      <c r="A676" s="20">
        <v>1</v>
      </c>
      <c r="B676" s="60">
        <f>SUBTOTAL(103,$A$558:A676)</f>
        <v>118</v>
      </c>
      <c r="C676" s="24" t="s">
        <v>453</v>
      </c>
      <c r="D676" s="31">
        <f>E676+F676+G676+H676+I676+J676+L676+N676+P676+R676+T676+U676+V676+W676+X676+Y676+Z676+AA676+AB676+AC676+AD676+AE676</f>
        <v>2775034.26</v>
      </c>
      <c r="E676" s="31">
        <v>0</v>
      </c>
      <c r="F676" s="31">
        <v>0</v>
      </c>
      <c r="G676" s="31">
        <v>0</v>
      </c>
      <c r="H676" s="31">
        <v>0</v>
      </c>
      <c r="I676" s="31">
        <v>0</v>
      </c>
      <c r="J676" s="31">
        <v>0</v>
      </c>
      <c r="K676" s="67">
        <v>0</v>
      </c>
      <c r="L676" s="31">
        <v>0</v>
      </c>
      <c r="M676" s="38">
        <v>841</v>
      </c>
      <c r="N676" s="38">
        <v>2757250</v>
      </c>
      <c r="O676" s="31">
        <v>0</v>
      </c>
      <c r="P676" s="31">
        <v>0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Z676" s="31">
        <v>0</v>
      </c>
      <c r="AA676" s="31">
        <v>0</v>
      </c>
      <c r="AB676" s="31">
        <v>0</v>
      </c>
      <c r="AC676" s="38">
        <v>17784.259999999998</v>
      </c>
      <c r="AD676" s="31">
        <v>0</v>
      </c>
      <c r="AE676" s="31">
        <v>0</v>
      </c>
      <c r="AF676" s="33" t="s">
        <v>268</v>
      </c>
      <c r="AG676" s="33">
        <v>2021</v>
      </c>
      <c r="AH676" s="34">
        <v>2021</v>
      </c>
      <c r="AT676" s="20" t="e">
        <f>VLOOKUP(C676,AW:AX,2,FALSE)</f>
        <v>#N/A</v>
      </c>
      <c r="BZ676" s="64"/>
      <c r="CD676" s="20">
        <f t="shared" si="134"/>
        <v>860.91</v>
      </c>
      <c r="CE676" s="88" t="s">
        <v>1263</v>
      </c>
      <c r="CF676" s="88">
        <v>949</v>
      </c>
    </row>
    <row r="677" spans="1:84" ht="61.5" x14ac:dyDescent="0.85">
      <c r="A677" s="20">
        <v>1</v>
      </c>
      <c r="B677" s="60">
        <f>SUBTOTAL(103,$A$558:A677)</f>
        <v>119</v>
      </c>
      <c r="C677" s="24" t="s">
        <v>1932</v>
      </c>
      <c r="D677" s="31">
        <f t="shared" ref="D677:D678" si="136">E677+F677+G677+H677+I677+J677+L677+N677+P677+R677+T677+U677+V677+W677+X677+Y677+Z677+AA677+AB677+AC677+AD677+AE677</f>
        <v>9113040.370000001</v>
      </c>
      <c r="E677" s="31">
        <v>0</v>
      </c>
      <c r="F677" s="31">
        <v>0</v>
      </c>
      <c r="G677" s="31">
        <v>0</v>
      </c>
      <c r="H677" s="31">
        <v>0</v>
      </c>
      <c r="I677" s="31">
        <v>0</v>
      </c>
      <c r="J677" s="31">
        <v>0</v>
      </c>
      <c r="K677" s="67">
        <v>0</v>
      </c>
      <c r="L677" s="31">
        <v>0</v>
      </c>
      <c r="M677" s="31">
        <v>1261</v>
      </c>
      <c r="N677" s="31">
        <f>7706785.59+1074534.97</f>
        <v>8781320.5600000005</v>
      </c>
      <c r="O677" s="31">
        <v>0</v>
      </c>
      <c r="P677" s="31">
        <v>0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0</v>
      </c>
      <c r="Z677" s="31">
        <v>0</v>
      </c>
      <c r="AA677" s="31">
        <v>0</v>
      </c>
      <c r="AB677" s="31">
        <v>0</v>
      </c>
      <c r="AC677" s="31">
        <f>ROUND(N677*1.5%,2)</f>
        <v>131719.81</v>
      </c>
      <c r="AD677" s="31">
        <v>200000</v>
      </c>
      <c r="AE677" s="31">
        <v>0</v>
      </c>
      <c r="AF677" s="33">
        <v>2021</v>
      </c>
      <c r="AG677" s="33">
        <v>2021</v>
      </c>
      <c r="AH677" s="34">
        <v>2021</v>
      </c>
      <c r="BZ677" s="64"/>
      <c r="CD677" s="20" t="e">
        <f t="shared" si="134"/>
        <v>#N/A</v>
      </c>
      <c r="CE677" s="88" t="s">
        <v>116</v>
      </c>
      <c r="CF677" s="88">
        <v>1151</v>
      </c>
    </row>
    <row r="678" spans="1:84" ht="61.5" x14ac:dyDescent="0.85">
      <c r="A678" s="20">
        <v>1</v>
      </c>
      <c r="B678" s="60">
        <f>SUBTOTAL(103,$A$558:A678)</f>
        <v>120</v>
      </c>
      <c r="C678" s="24" t="s">
        <v>2307</v>
      </c>
      <c r="D678" s="31">
        <f t="shared" si="136"/>
        <v>3791083.75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67">
        <v>0</v>
      </c>
      <c r="L678" s="31">
        <v>0</v>
      </c>
      <c r="M678" s="31">
        <v>621.9</v>
      </c>
      <c r="N678" s="31">
        <v>3616831.28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0</v>
      </c>
      <c r="U678" s="31">
        <v>0</v>
      </c>
      <c r="V678" s="31">
        <v>0</v>
      </c>
      <c r="W678" s="31">
        <v>0</v>
      </c>
      <c r="X678" s="31">
        <v>0</v>
      </c>
      <c r="Y678" s="31">
        <v>0</v>
      </c>
      <c r="Z678" s="31">
        <v>0</v>
      </c>
      <c r="AA678" s="31">
        <v>0</v>
      </c>
      <c r="AB678" s="31">
        <v>0</v>
      </c>
      <c r="AC678" s="31">
        <f>ROUND(N678*1.5%,2)</f>
        <v>54252.47</v>
      </c>
      <c r="AD678" s="31">
        <v>120000</v>
      </c>
      <c r="AE678" s="31">
        <v>0</v>
      </c>
      <c r="AF678" s="33">
        <v>2021</v>
      </c>
      <c r="AG678" s="33">
        <v>2021</v>
      </c>
      <c r="AH678" s="34">
        <v>2021</v>
      </c>
      <c r="AT678" s="20" t="e">
        <f t="shared" ref="AT678:AT706" si="137">VLOOKUP(C678,AW:AX,2,FALSE)</f>
        <v>#N/A</v>
      </c>
      <c r="BZ678" s="64"/>
      <c r="CD678" s="20" t="e">
        <f t="shared" si="134"/>
        <v>#N/A</v>
      </c>
    </row>
    <row r="679" spans="1:84" ht="61.5" x14ac:dyDescent="0.85">
      <c r="B679" s="24" t="s">
        <v>757</v>
      </c>
      <c r="C679" s="198"/>
      <c r="D679" s="199">
        <f t="shared" ref="D679:AE679" si="138">SUM(D680:D722)</f>
        <v>160867854.94000003</v>
      </c>
      <c r="E679" s="31">
        <f t="shared" si="138"/>
        <v>0</v>
      </c>
      <c r="F679" s="31">
        <f t="shared" si="138"/>
        <v>0</v>
      </c>
      <c r="G679" s="31">
        <f t="shared" si="138"/>
        <v>958416.65</v>
      </c>
      <c r="H679" s="31">
        <f t="shared" si="138"/>
        <v>150356.32999999999</v>
      </c>
      <c r="I679" s="31">
        <f t="shared" si="138"/>
        <v>5166211.0299999993</v>
      </c>
      <c r="J679" s="31">
        <f t="shared" si="138"/>
        <v>0</v>
      </c>
      <c r="K679" s="67">
        <f t="shared" si="138"/>
        <v>9</v>
      </c>
      <c r="L679" s="31">
        <f t="shared" si="138"/>
        <v>21236231.530000001</v>
      </c>
      <c r="M679" s="31">
        <f t="shared" si="138"/>
        <v>19212</v>
      </c>
      <c r="N679" s="31">
        <f t="shared" si="138"/>
        <v>98701677.560000002</v>
      </c>
      <c r="O679" s="31">
        <f t="shared" si="138"/>
        <v>0</v>
      </c>
      <c r="P679" s="31">
        <f t="shared" si="138"/>
        <v>0</v>
      </c>
      <c r="Q679" s="31">
        <f t="shared" si="138"/>
        <v>4169.95</v>
      </c>
      <c r="R679" s="31">
        <f t="shared" si="138"/>
        <v>15104092.92</v>
      </c>
      <c r="S679" s="31">
        <f t="shared" si="138"/>
        <v>121.1</v>
      </c>
      <c r="T679" s="31">
        <f t="shared" si="138"/>
        <v>3011824.03</v>
      </c>
      <c r="U679" s="31">
        <f t="shared" si="138"/>
        <v>10293307.390000001</v>
      </c>
      <c r="V679" s="31">
        <f t="shared" si="138"/>
        <v>0</v>
      </c>
      <c r="W679" s="31">
        <f t="shared" si="138"/>
        <v>0</v>
      </c>
      <c r="X679" s="31">
        <f t="shared" si="138"/>
        <v>0</v>
      </c>
      <c r="Y679" s="31">
        <f t="shared" si="138"/>
        <v>0</v>
      </c>
      <c r="Z679" s="31">
        <f t="shared" si="138"/>
        <v>0</v>
      </c>
      <c r="AA679" s="31">
        <f t="shared" si="138"/>
        <v>0</v>
      </c>
      <c r="AB679" s="31">
        <f t="shared" si="138"/>
        <v>0</v>
      </c>
      <c r="AC679" s="31">
        <f t="shared" si="138"/>
        <v>1992758.3499999999</v>
      </c>
      <c r="AD679" s="31">
        <f t="shared" si="138"/>
        <v>4132979.15</v>
      </c>
      <c r="AE679" s="31">
        <f t="shared" si="138"/>
        <v>120000</v>
      </c>
      <c r="AF679" s="65" t="s">
        <v>751</v>
      </c>
      <c r="AG679" s="65" t="s">
        <v>751</v>
      </c>
      <c r="AH679" s="79" t="s">
        <v>751</v>
      </c>
      <c r="AT679" s="20" t="e">
        <f t="shared" si="137"/>
        <v>#N/A</v>
      </c>
      <c r="BZ679" s="64">
        <v>95396897.950000003</v>
      </c>
      <c r="CB679" s="64">
        <f>BZ679-D679</f>
        <v>-65470956.990000024</v>
      </c>
      <c r="CD679" s="20" t="e">
        <f t="shared" si="134"/>
        <v>#N/A</v>
      </c>
    </row>
    <row r="680" spans="1:84" ht="61.5" x14ac:dyDescent="0.85">
      <c r="A680" s="20">
        <v>1</v>
      </c>
      <c r="B680" s="60">
        <f>SUBTOTAL(103,$A$558:A680)</f>
        <v>121</v>
      </c>
      <c r="C680" s="24" t="s">
        <v>401</v>
      </c>
      <c r="D680" s="31">
        <f t="shared" ref="D680:D722" si="139">E680+F680+G680+H680+I680+J680+L680+N680+P680+R680+T680+U680+V680+W680+X680+Y680+Z680+AA680+AB680+AC680+AD680+AE680</f>
        <v>8209197.7199999997</v>
      </c>
      <c r="E680" s="31">
        <v>0</v>
      </c>
      <c r="F680" s="31">
        <v>0</v>
      </c>
      <c r="G680" s="31">
        <v>0</v>
      </c>
      <c r="H680" s="31">
        <v>0</v>
      </c>
      <c r="I680" s="31">
        <v>0</v>
      </c>
      <c r="J680" s="31">
        <v>0</v>
      </c>
      <c r="K680" s="67">
        <v>0</v>
      </c>
      <c r="L680" s="31">
        <v>0</v>
      </c>
      <c r="M680" s="31">
        <v>1170</v>
      </c>
      <c r="N680" s="31">
        <f>5962368.83+1948170.8</f>
        <v>7910539.6299999999</v>
      </c>
      <c r="O680" s="31">
        <v>0</v>
      </c>
      <c r="P680" s="31">
        <v>0</v>
      </c>
      <c r="Q680" s="31">
        <v>0</v>
      </c>
      <c r="R680" s="31">
        <v>0</v>
      </c>
      <c r="S680" s="31">
        <v>0</v>
      </c>
      <c r="T680" s="31">
        <v>0</v>
      </c>
      <c r="U680" s="31">
        <v>0</v>
      </c>
      <c r="V680" s="31">
        <v>0</v>
      </c>
      <c r="W680" s="31">
        <v>0</v>
      </c>
      <c r="X680" s="31">
        <v>0</v>
      </c>
      <c r="Y680" s="31">
        <v>0</v>
      </c>
      <c r="Z680" s="31">
        <v>0</v>
      </c>
      <c r="AA680" s="31">
        <v>0</v>
      </c>
      <c r="AB680" s="31">
        <v>0</v>
      </c>
      <c r="AC680" s="31">
        <f>ROUND(N680*1.5%,2)</f>
        <v>118658.09</v>
      </c>
      <c r="AD680" s="31">
        <v>180000</v>
      </c>
      <c r="AE680" s="31">
        <v>0</v>
      </c>
      <c r="AF680" s="33">
        <v>2021</v>
      </c>
      <c r="AG680" s="33">
        <v>2021</v>
      </c>
      <c r="AH680" s="34">
        <v>2021</v>
      </c>
      <c r="AT680" s="20" t="e">
        <f t="shared" si="137"/>
        <v>#N/A</v>
      </c>
      <c r="BZ680" s="64"/>
      <c r="CD680" s="20" t="e">
        <f t="shared" si="134"/>
        <v>#N/A</v>
      </c>
    </row>
    <row r="681" spans="1:84" ht="61.5" x14ac:dyDescent="0.85">
      <c r="A681" s="20">
        <v>1</v>
      </c>
      <c r="B681" s="60">
        <f>SUBTOTAL(103,$A$558:A681)</f>
        <v>122</v>
      </c>
      <c r="C681" s="24" t="s">
        <v>403</v>
      </c>
      <c r="D681" s="31">
        <f t="shared" si="139"/>
        <v>4914920.1100000003</v>
      </c>
      <c r="E681" s="31">
        <v>0</v>
      </c>
      <c r="F681" s="31">
        <v>0</v>
      </c>
      <c r="G681" s="31">
        <v>0</v>
      </c>
      <c r="H681" s="31">
        <v>0</v>
      </c>
      <c r="I681" s="31">
        <v>0</v>
      </c>
      <c r="J681" s="31">
        <v>0</v>
      </c>
      <c r="K681" s="67">
        <v>0</v>
      </c>
      <c r="L681" s="31">
        <v>0</v>
      </c>
      <c r="M681" s="31">
        <v>880</v>
      </c>
      <c r="N681" s="31">
        <v>4694502.57</v>
      </c>
      <c r="O681" s="31">
        <v>0</v>
      </c>
      <c r="P681" s="31">
        <v>0</v>
      </c>
      <c r="Q681" s="31">
        <v>0</v>
      </c>
      <c r="R681" s="31">
        <v>0</v>
      </c>
      <c r="S681" s="31">
        <v>0</v>
      </c>
      <c r="T681" s="31">
        <v>0</v>
      </c>
      <c r="U681" s="31">
        <v>0</v>
      </c>
      <c r="V681" s="31">
        <v>0</v>
      </c>
      <c r="W681" s="31">
        <v>0</v>
      </c>
      <c r="X681" s="31">
        <v>0</v>
      </c>
      <c r="Y681" s="31">
        <v>0</v>
      </c>
      <c r="Z681" s="31">
        <v>0</v>
      </c>
      <c r="AA681" s="31">
        <v>0</v>
      </c>
      <c r="AB681" s="31">
        <v>0</v>
      </c>
      <c r="AC681" s="31">
        <f>ROUND(N681*1.5%,2)</f>
        <v>70417.539999999994</v>
      </c>
      <c r="AD681" s="31">
        <v>150000</v>
      </c>
      <c r="AE681" s="31">
        <v>0</v>
      </c>
      <c r="AF681" s="33">
        <v>2021</v>
      </c>
      <c r="AG681" s="33">
        <v>2021</v>
      </c>
      <c r="AH681" s="34">
        <v>2021</v>
      </c>
      <c r="AT681" s="20" t="e">
        <f t="shared" si="137"/>
        <v>#N/A</v>
      </c>
      <c r="BZ681" s="64"/>
      <c r="CD681" s="20" t="e">
        <f t="shared" si="134"/>
        <v>#N/A</v>
      </c>
    </row>
    <row r="682" spans="1:84" ht="61.5" x14ac:dyDescent="0.85">
      <c r="A682" s="20">
        <v>1</v>
      </c>
      <c r="B682" s="60">
        <f>SUBTOTAL(103,$A$558:A682)</f>
        <v>123</v>
      </c>
      <c r="C682" s="24" t="s">
        <v>404</v>
      </c>
      <c r="D682" s="31">
        <f t="shared" si="139"/>
        <v>3567125.84</v>
      </c>
      <c r="E682" s="31">
        <v>0</v>
      </c>
      <c r="F682" s="31">
        <v>0</v>
      </c>
      <c r="G682" s="31">
        <v>0</v>
      </c>
      <c r="H682" s="31">
        <v>0</v>
      </c>
      <c r="I682" s="31">
        <v>0</v>
      </c>
      <c r="J682" s="31">
        <v>0</v>
      </c>
      <c r="K682" s="67">
        <v>0</v>
      </c>
      <c r="L682" s="31">
        <v>0</v>
      </c>
      <c r="M682" s="31">
        <v>650</v>
      </c>
      <c r="N682" s="31">
        <v>3366626.44</v>
      </c>
      <c r="O682" s="31">
        <v>0</v>
      </c>
      <c r="P682" s="31">
        <v>0</v>
      </c>
      <c r="Q682" s="31">
        <v>0</v>
      </c>
      <c r="R682" s="31">
        <v>0</v>
      </c>
      <c r="S682" s="31">
        <v>0</v>
      </c>
      <c r="T682" s="31">
        <v>0</v>
      </c>
      <c r="U682" s="31">
        <v>0</v>
      </c>
      <c r="V682" s="31">
        <v>0</v>
      </c>
      <c r="W682" s="31">
        <v>0</v>
      </c>
      <c r="X682" s="31">
        <v>0</v>
      </c>
      <c r="Y682" s="31">
        <v>0</v>
      </c>
      <c r="Z682" s="31">
        <v>0</v>
      </c>
      <c r="AA682" s="31">
        <v>0</v>
      </c>
      <c r="AB682" s="31">
        <v>0</v>
      </c>
      <c r="AC682" s="31">
        <f>ROUND(N682*1.5%,2)</f>
        <v>50499.4</v>
      </c>
      <c r="AD682" s="31">
        <v>150000</v>
      </c>
      <c r="AE682" s="31">
        <v>0</v>
      </c>
      <c r="AF682" s="33">
        <v>2021</v>
      </c>
      <c r="AG682" s="33">
        <v>2021</v>
      </c>
      <c r="AH682" s="34">
        <v>2021</v>
      </c>
      <c r="AT682" s="20" t="e">
        <f t="shared" si="137"/>
        <v>#N/A</v>
      </c>
      <c r="BZ682" s="64"/>
      <c r="CD682" s="20" t="e">
        <f t="shared" si="134"/>
        <v>#N/A</v>
      </c>
    </row>
    <row r="683" spans="1:84" ht="61.5" x14ac:dyDescent="0.85">
      <c r="A683" s="20">
        <v>1</v>
      </c>
      <c r="B683" s="60">
        <f>SUBTOTAL(103,$A$558:A683)</f>
        <v>124</v>
      </c>
      <c r="C683" s="24" t="s">
        <v>405</v>
      </c>
      <c r="D683" s="31">
        <f t="shared" si="139"/>
        <v>3399322.55</v>
      </c>
      <c r="E683" s="31">
        <v>0</v>
      </c>
      <c r="F683" s="31">
        <v>0</v>
      </c>
      <c r="G683" s="31">
        <v>0</v>
      </c>
      <c r="H683" s="31">
        <v>0</v>
      </c>
      <c r="I683" s="31">
        <v>0</v>
      </c>
      <c r="J683" s="31">
        <v>0</v>
      </c>
      <c r="K683" s="67">
        <v>0</v>
      </c>
      <c r="L683" s="31">
        <v>0</v>
      </c>
      <c r="M683" s="31">
        <v>620</v>
      </c>
      <c r="N683" s="31">
        <v>3201303</v>
      </c>
      <c r="O683" s="31">
        <v>0</v>
      </c>
      <c r="P683" s="31">
        <v>0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0</v>
      </c>
      <c r="W683" s="31">
        <v>0</v>
      </c>
      <c r="X683" s="31">
        <v>0</v>
      </c>
      <c r="Y683" s="31">
        <v>0</v>
      </c>
      <c r="Z683" s="31">
        <v>0</v>
      </c>
      <c r="AA683" s="31">
        <v>0</v>
      </c>
      <c r="AB683" s="31">
        <v>0</v>
      </c>
      <c r="AC683" s="31">
        <f>ROUND(N683*1.5%,2)</f>
        <v>48019.55</v>
      </c>
      <c r="AD683" s="31">
        <v>150000</v>
      </c>
      <c r="AE683" s="31">
        <v>0</v>
      </c>
      <c r="AF683" s="33">
        <v>2021</v>
      </c>
      <c r="AG683" s="33">
        <v>2021</v>
      </c>
      <c r="AH683" s="34">
        <v>2021</v>
      </c>
      <c r="AT683" s="20" t="e">
        <f t="shared" si="137"/>
        <v>#N/A</v>
      </c>
      <c r="BZ683" s="64"/>
      <c r="CD683" s="20" t="e">
        <f t="shared" si="134"/>
        <v>#N/A</v>
      </c>
    </row>
    <row r="684" spans="1:84" ht="61.5" x14ac:dyDescent="0.85">
      <c r="A684" s="20">
        <v>1</v>
      </c>
      <c r="B684" s="60">
        <f>SUBTOTAL(103,$A$558:A684)</f>
        <v>125</v>
      </c>
      <c r="C684" s="24" t="s">
        <v>406</v>
      </c>
      <c r="D684" s="31">
        <f t="shared" si="139"/>
        <v>2802640.78</v>
      </c>
      <c r="E684" s="31">
        <v>0</v>
      </c>
      <c r="F684" s="31">
        <v>0</v>
      </c>
      <c r="G684" s="31">
        <v>0</v>
      </c>
      <c r="H684" s="31">
        <v>0</v>
      </c>
      <c r="I684" s="31">
        <v>0</v>
      </c>
      <c r="J684" s="31">
        <v>0</v>
      </c>
      <c r="K684" s="67">
        <v>0</v>
      </c>
      <c r="L684" s="31">
        <v>0</v>
      </c>
      <c r="M684" s="31">
        <v>640</v>
      </c>
      <c r="N684" s="31">
        <v>2761222.44</v>
      </c>
      <c r="O684" s="31">
        <v>0</v>
      </c>
      <c r="P684" s="31">
        <v>0</v>
      </c>
      <c r="Q684" s="31">
        <v>0</v>
      </c>
      <c r="R684" s="31">
        <v>0</v>
      </c>
      <c r="S684" s="31">
        <v>0</v>
      </c>
      <c r="T684" s="31">
        <v>0</v>
      </c>
      <c r="U684" s="31">
        <v>0</v>
      </c>
      <c r="V684" s="31">
        <v>0</v>
      </c>
      <c r="W684" s="31">
        <v>0</v>
      </c>
      <c r="X684" s="31">
        <v>0</v>
      </c>
      <c r="Y684" s="31">
        <v>0</v>
      </c>
      <c r="Z684" s="31">
        <v>0</v>
      </c>
      <c r="AA684" s="31">
        <v>0</v>
      </c>
      <c r="AB684" s="31">
        <v>0</v>
      </c>
      <c r="AC684" s="31">
        <f>ROUND(N684*1.5%,2)</f>
        <v>41418.339999999997</v>
      </c>
      <c r="AD684" s="31">
        <v>0</v>
      </c>
      <c r="AE684" s="31">
        <v>0</v>
      </c>
      <c r="AF684" s="33" t="s">
        <v>268</v>
      </c>
      <c r="AG684" s="33">
        <v>2021</v>
      </c>
      <c r="AH684" s="34">
        <v>2021</v>
      </c>
      <c r="AT684" s="20" t="e">
        <f t="shared" si="137"/>
        <v>#N/A</v>
      </c>
      <c r="BZ684" s="64"/>
      <c r="CD684" s="20" t="e">
        <f t="shared" si="134"/>
        <v>#N/A</v>
      </c>
    </row>
    <row r="685" spans="1:84" ht="61.5" x14ac:dyDescent="0.85">
      <c r="A685" s="20">
        <v>1</v>
      </c>
      <c r="B685" s="60">
        <f>SUBTOTAL(103,$A$558:A685)</f>
        <v>126</v>
      </c>
      <c r="C685" s="24" t="s">
        <v>198</v>
      </c>
      <c r="D685" s="31">
        <f t="shared" si="139"/>
        <v>1195404.57</v>
      </c>
      <c r="E685" s="31">
        <v>0</v>
      </c>
      <c r="F685" s="31">
        <v>0</v>
      </c>
      <c r="G685" s="31">
        <v>958416.65</v>
      </c>
      <c r="H685" s="31">
        <v>150356.32999999999</v>
      </c>
      <c r="I685" s="31">
        <v>0</v>
      </c>
      <c r="J685" s="31">
        <v>0</v>
      </c>
      <c r="K685" s="67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0</v>
      </c>
      <c r="AC685" s="31">
        <f>ROUND((E685+F685+G685+H685+I685+J685)*1.5%,2)</f>
        <v>16631.59</v>
      </c>
      <c r="AD685" s="31">
        <v>70000</v>
      </c>
      <c r="AE685" s="31">
        <v>0</v>
      </c>
      <c r="AF685" s="33">
        <v>2021</v>
      </c>
      <c r="AG685" s="33">
        <v>2021</v>
      </c>
      <c r="AH685" s="34">
        <v>2021</v>
      </c>
      <c r="AT685" s="20" t="e">
        <f t="shared" si="137"/>
        <v>#N/A</v>
      </c>
      <c r="BZ685" s="64"/>
      <c r="CD685" s="20" t="e">
        <f t="shared" si="134"/>
        <v>#N/A</v>
      </c>
    </row>
    <row r="686" spans="1:84" ht="61.5" x14ac:dyDescent="0.85">
      <c r="A686" s="20">
        <v>1</v>
      </c>
      <c r="B686" s="60">
        <f>SUBTOTAL(103,$A$558:A686)</f>
        <v>127</v>
      </c>
      <c r="C686" s="24" t="s">
        <v>199</v>
      </c>
      <c r="D686" s="31">
        <f t="shared" si="139"/>
        <v>783943</v>
      </c>
      <c r="E686" s="31">
        <v>0</v>
      </c>
      <c r="F686" s="31">
        <v>0</v>
      </c>
      <c r="G686" s="31">
        <v>0</v>
      </c>
      <c r="H686" s="31">
        <v>0</v>
      </c>
      <c r="I686" s="31">
        <v>703392.12</v>
      </c>
      <c r="J686" s="31">
        <v>0</v>
      </c>
      <c r="K686" s="67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0</v>
      </c>
      <c r="AA686" s="31">
        <v>0</v>
      </c>
      <c r="AB686" s="31">
        <v>0</v>
      </c>
      <c r="AC686" s="31">
        <f>ROUND((E686+F686+G686+H686+I686+J686)*1.5%,2)</f>
        <v>10550.88</v>
      </c>
      <c r="AD686" s="31">
        <v>70000</v>
      </c>
      <c r="AE686" s="31">
        <v>0</v>
      </c>
      <c r="AF686" s="33">
        <v>2021</v>
      </c>
      <c r="AG686" s="33">
        <v>2021</v>
      </c>
      <c r="AH686" s="34">
        <v>2021</v>
      </c>
      <c r="AT686" s="20" t="e">
        <f t="shared" si="137"/>
        <v>#N/A</v>
      </c>
      <c r="BZ686" s="64"/>
      <c r="CD686" s="20" t="e">
        <f t="shared" si="134"/>
        <v>#N/A</v>
      </c>
    </row>
    <row r="687" spans="1:84" ht="61.5" x14ac:dyDescent="0.85">
      <c r="A687" s="20">
        <v>1</v>
      </c>
      <c r="B687" s="60">
        <f>SUBTOTAL(103,$A$558:A687)</f>
        <v>128</v>
      </c>
      <c r="C687" s="24" t="s">
        <v>200</v>
      </c>
      <c r="D687" s="31">
        <f t="shared" si="139"/>
        <v>776127.96</v>
      </c>
      <c r="E687" s="31">
        <v>0</v>
      </c>
      <c r="F687" s="31">
        <v>0</v>
      </c>
      <c r="G687" s="31">
        <v>0</v>
      </c>
      <c r="H687" s="31">
        <v>0</v>
      </c>
      <c r="I687" s="31">
        <v>695692.57</v>
      </c>
      <c r="J687" s="31">
        <v>0</v>
      </c>
      <c r="K687" s="67">
        <v>0</v>
      </c>
      <c r="L687" s="31">
        <v>0</v>
      </c>
      <c r="M687" s="31">
        <v>0</v>
      </c>
      <c r="N687" s="31">
        <v>0</v>
      </c>
      <c r="O687" s="31">
        <v>0</v>
      </c>
      <c r="P687" s="31">
        <v>0</v>
      </c>
      <c r="Q687" s="31">
        <v>0</v>
      </c>
      <c r="R687" s="31">
        <v>0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0</v>
      </c>
      <c r="AC687" s="31">
        <f>ROUND((E687+F687+G687+H687+I687+J687)*1.5%,2)</f>
        <v>10435.39</v>
      </c>
      <c r="AD687" s="31">
        <v>70000</v>
      </c>
      <c r="AE687" s="31">
        <v>0</v>
      </c>
      <c r="AF687" s="33">
        <v>2021</v>
      </c>
      <c r="AG687" s="33">
        <v>2021</v>
      </c>
      <c r="AH687" s="34">
        <v>2021</v>
      </c>
      <c r="AT687" s="20" t="e">
        <f t="shared" si="137"/>
        <v>#N/A</v>
      </c>
      <c r="BZ687" s="64"/>
      <c r="CD687" s="20" t="e">
        <f t="shared" si="134"/>
        <v>#N/A</v>
      </c>
    </row>
    <row r="688" spans="1:84" ht="61.5" x14ac:dyDescent="0.85">
      <c r="A688" s="20">
        <v>1</v>
      </c>
      <c r="B688" s="60">
        <f>SUBTOTAL(103,$A$558:A688)</f>
        <v>129</v>
      </c>
      <c r="C688" s="24" t="s">
        <v>407</v>
      </c>
      <c r="D688" s="31">
        <f t="shared" si="139"/>
        <v>2691579.34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31">
        <v>0</v>
      </c>
      <c r="K688" s="67">
        <v>0</v>
      </c>
      <c r="L688" s="31">
        <v>0</v>
      </c>
      <c r="M688" s="31">
        <v>477</v>
      </c>
      <c r="N688" s="31">
        <v>2651802.31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0</v>
      </c>
      <c r="AA688" s="31">
        <v>0</v>
      </c>
      <c r="AB688" s="31">
        <v>0</v>
      </c>
      <c r="AC688" s="31">
        <f t="shared" ref="AC688:AC702" si="140">ROUND(N688*1.5%,2)</f>
        <v>39777.03</v>
      </c>
      <c r="AD688" s="31">
        <v>0</v>
      </c>
      <c r="AE688" s="31">
        <v>0</v>
      </c>
      <c r="AF688" s="33" t="s">
        <v>268</v>
      </c>
      <c r="AG688" s="33">
        <v>2021</v>
      </c>
      <c r="AH688" s="34">
        <v>2021</v>
      </c>
      <c r="AT688" s="20" t="e">
        <f t="shared" si="137"/>
        <v>#N/A</v>
      </c>
      <c r="BZ688" s="64"/>
      <c r="CD688" s="20" t="e">
        <f t="shared" si="134"/>
        <v>#N/A</v>
      </c>
    </row>
    <row r="689" spans="1:82" ht="61.5" x14ac:dyDescent="0.85">
      <c r="A689" s="20">
        <v>1</v>
      </c>
      <c r="B689" s="60">
        <f>SUBTOTAL(103,$A$558:A689)</f>
        <v>130</v>
      </c>
      <c r="C689" s="24" t="s">
        <v>408</v>
      </c>
      <c r="D689" s="31">
        <f t="shared" si="139"/>
        <v>2644287.84</v>
      </c>
      <c r="E689" s="31">
        <v>0</v>
      </c>
      <c r="F689" s="31">
        <v>0</v>
      </c>
      <c r="G689" s="31">
        <v>0</v>
      </c>
      <c r="H689" s="31">
        <v>0</v>
      </c>
      <c r="I689" s="31">
        <v>0</v>
      </c>
      <c r="J689" s="31">
        <v>0</v>
      </c>
      <c r="K689" s="67">
        <v>0</v>
      </c>
      <c r="L689" s="31">
        <v>0</v>
      </c>
      <c r="M689" s="31">
        <v>472</v>
      </c>
      <c r="N689" s="31">
        <v>2605209.69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  <c r="AC689" s="31">
        <f t="shared" si="140"/>
        <v>39078.15</v>
      </c>
      <c r="AD689" s="31">
        <v>0</v>
      </c>
      <c r="AE689" s="31">
        <v>0</v>
      </c>
      <c r="AF689" s="33" t="s">
        <v>268</v>
      </c>
      <c r="AG689" s="33">
        <v>2021</v>
      </c>
      <c r="AH689" s="34">
        <v>2021</v>
      </c>
      <c r="AT689" s="20" t="e">
        <f t="shared" si="137"/>
        <v>#N/A</v>
      </c>
      <c r="BZ689" s="64"/>
      <c r="CD689" s="20" t="e">
        <f t="shared" si="134"/>
        <v>#N/A</v>
      </c>
    </row>
    <row r="690" spans="1:82" ht="61.5" x14ac:dyDescent="0.85">
      <c r="A690" s="20">
        <v>1</v>
      </c>
      <c r="B690" s="60">
        <f>SUBTOTAL(103,$A$558:A690)</f>
        <v>131</v>
      </c>
      <c r="C690" s="24" t="s">
        <v>409</v>
      </c>
      <c r="D690" s="31">
        <f t="shared" si="139"/>
        <v>2456912.8200000003</v>
      </c>
      <c r="E690" s="31">
        <v>0</v>
      </c>
      <c r="F690" s="31">
        <v>0</v>
      </c>
      <c r="G690" s="31">
        <v>0</v>
      </c>
      <c r="H690" s="31">
        <v>0</v>
      </c>
      <c r="I690" s="31">
        <v>0</v>
      </c>
      <c r="J690" s="31">
        <v>0</v>
      </c>
      <c r="K690" s="67">
        <v>0</v>
      </c>
      <c r="L690" s="31">
        <v>0</v>
      </c>
      <c r="M690" s="31">
        <v>440</v>
      </c>
      <c r="N690" s="31">
        <v>2302377.16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0</v>
      </c>
      <c r="AC690" s="31">
        <f t="shared" si="140"/>
        <v>34535.660000000003</v>
      </c>
      <c r="AD690" s="31">
        <v>120000</v>
      </c>
      <c r="AE690" s="31">
        <v>0</v>
      </c>
      <c r="AF690" s="33">
        <v>2021</v>
      </c>
      <c r="AG690" s="33">
        <v>2021</v>
      </c>
      <c r="AH690" s="34">
        <v>2021</v>
      </c>
      <c r="AT690" s="20" t="e">
        <f t="shared" si="137"/>
        <v>#N/A</v>
      </c>
      <c r="BZ690" s="64"/>
      <c r="CD690" s="20" t="e">
        <f t="shared" si="134"/>
        <v>#N/A</v>
      </c>
    </row>
    <row r="691" spans="1:82" ht="61.5" x14ac:dyDescent="0.85">
      <c r="A691" s="20">
        <v>1</v>
      </c>
      <c r="B691" s="60">
        <f>SUBTOTAL(103,$A$558:A691)</f>
        <v>132</v>
      </c>
      <c r="C691" s="24" t="s">
        <v>410</v>
      </c>
      <c r="D691" s="31">
        <f t="shared" si="139"/>
        <v>3762569.57</v>
      </c>
      <c r="E691" s="31">
        <v>0</v>
      </c>
      <c r="F691" s="31">
        <v>0</v>
      </c>
      <c r="G691" s="31">
        <v>0</v>
      </c>
      <c r="H691" s="31">
        <v>0</v>
      </c>
      <c r="I691" s="31">
        <v>0</v>
      </c>
      <c r="J691" s="31">
        <v>0</v>
      </c>
      <c r="K691" s="67">
        <v>0</v>
      </c>
      <c r="L691" s="31">
        <v>0</v>
      </c>
      <c r="M691" s="31">
        <v>658</v>
      </c>
      <c r="N691" s="31">
        <v>3529625.19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0</v>
      </c>
      <c r="AC691" s="31">
        <f t="shared" si="140"/>
        <v>52944.38</v>
      </c>
      <c r="AD691" s="31">
        <v>180000</v>
      </c>
      <c r="AE691" s="31">
        <v>0</v>
      </c>
      <c r="AF691" s="33">
        <v>2021</v>
      </c>
      <c r="AG691" s="33">
        <v>2021</v>
      </c>
      <c r="AH691" s="34">
        <v>2021</v>
      </c>
      <c r="AT691" s="20" t="e">
        <f t="shared" si="137"/>
        <v>#N/A</v>
      </c>
      <c r="BZ691" s="64"/>
      <c r="CD691" s="20" t="e">
        <f t="shared" si="134"/>
        <v>#N/A</v>
      </c>
    </row>
    <row r="692" spans="1:82" ht="61.5" x14ac:dyDescent="0.85">
      <c r="A692" s="20">
        <v>1</v>
      </c>
      <c r="B692" s="60">
        <f>SUBTOTAL(103,$A$558:A692)</f>
        <v>133</v>
      </c>
      <c r="C692" s="24" t="s">
        <v>411</v>
      </c>
      <c r="D692" s="31">
        <f t="shared" si="139"/>
        <v>5669999.9900000002</v>
      </c>
      <c r="E692" s="31">
        <v>0</v>
      </c>
      <c r="F692" s="31">
        <v>0</v>
      </c>
      <c r="G692" s="31">
        <v>0</v>
      </c>
      <c r="H692" s="31">
        <v>0</v>
      </c>
      <c r="I692" s="31">
        <v>0</v>
      </c>
      <c r="J692" s="31">
        <v>0</v>
      </c>
      <c r="K692" s="67">
        <v>0</v>
      </c>
      <c r="L692" s="31">
        <v>0</v>
      </c>
      <c r="M692" s="31">
        <v>1134</v>
      </c>
      <c r="N692" s="31">
        <v>5408866.9900000002</v>
      </c>
      <c r="O692" s="31">
        <v>0</v>
      </c>
      <c r="P692" s="31">
        <v>0</v>
      </c>
      <c r="Q692" s="31">
        <v>0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0</v>
      </c>
      <c r="AA692" s="31">
        <v>0</v>
      </c>
      <c r="AB692" s="31">
        <v>0</v>
      </c>
      <c r="AC692" s="31">
        <f t="shared" si="140"/>
        <v>81133</v>
      </c>
      <c r="AD692" s="31">
        <v>180000</v>
      </c>
      <c r="AE692" s="31">
        <v>0</v>
      </c>
      <c r="AF692" s="33">
        <v>2021</v>
      </c>
      <c r="AG692" s="33">
        <v>2021</v>
      </c>
      <c r="AH692" s="34">
        <v>2021</v>
      </c>
      <c r="AT692" s="20" t="e">
        <f t="shared" si="137"/>
        <v>#N/A</v>
      </c>
      <c r="BZ692" s="64"/>
      <c r="CD692" s="20" t="e">
        <f t="shared" si="134"/>
        <v>#N/A</v>
      </c>
    </row>
    <row r="693" spans="1:82" ht="61.5" x14ac:dyDescent="0.85">
      <c r="A693" s="20">
        <v>1</v>
      </c>
      <c r="B693" s="60">
        <f>SUBTOTAL(103,$A$558:A693)</f>
        <v>134</v>
      </c>
      <c r="C693" s="24" t="s">
        <v>412</v>
      </c>
      <c r="D693" s="31">
        <f t="shared" si="139"/>
        <v>2895000</v>
      </c>
      <c r="E693" s="31">
        <v>0</v>
      </c>
      <c r="F693" s="31">
        <v>0</v>
      </c>
      <c r="G693" s="31">
        <v>0</v>
      </c>
      <c r="H693" s="31">
        <v>0</v>
      </c>
      <c r="I693" s="31">
        <v>0</v>
      </c>
      <c r="J693" s="31">
        <v>0</v>
      </c>
      <c r="K693" s="67">
        <v>0</v>
      </c>
      <c r="L693" s="31">
        <v>0</v>
      </c>
      <c r="M693" s="31">
        <v>579</v>
      </c>
      <c r="N693" s="31">
        <v>2704433.5</v>
      </c>
      <c r="O693" s="31">
        <v>0</v>
      </c>
      <c r="P693" s="31">
        <v>0</v>
      </c>
      <c r="Q693" s="31">
        <v>0</v>
      </c>
      <c r="R693" s="31">
        <v>0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0</v>
      </c>
      <c r="AA693" s="31">
        <v>0</v>
      </c>
      <c r="AB693" s="31">
        <v>0</v>
      </c>
      <c r="AC693" s="31">
        <f t="shared" si="140"/>
        <v>40566.5</v>
      </c>
      <c r="AD693" s="31">
        <v>150000</v>
      </c>
      <c r="AE693" s="31">
        <v>0</v>
      </c>
      <c r="AF693" s="33">
        <v>2021</v>
      </c>
      <c r="AG693" s="33">
        <v>2021</v>
      </c>
      <c r="AH693" s="34">
        <v>2021</v>
      </c>
      <c r="AT693" s="20" t="e">
        <f t="shared" si="137"/>
        <v>#N/A</v>
      </c>
      <c r="BZ693" s="64"/>
      <c r="CD693" s="20" t="e">
        <f t="shared" si="134"/>
        <v>#N/A</v>
      </c>
    </row>
    <row r="694" spans="1:82" ht="61.5" x14ac:dyDescent="0.85">
      <c r="A694" s="20">
        <v>1</v>
      </c>
      <c r="B694" s="60">
        <f>SUBTOTAL(103,$A$558:A694)</f>
        <v>135</v>
      </c>
      <c r="C694" s="24" t="s">
        <v>413</v>
      </c>
      <c r="D694" s="31">
        <f t="shared" si="139"/>
        <v>3045189.75</v>
      </c>
      <c r="E694" s="31">
        <v>0</v>
      </c>
      <c r="F694" s="31">
        <v>0</v>
      </c>
      <c r="G694" s="31">
        <v>0</v>
      </c>
      <c r="H694" s="31">
        <v>0</v>
      </c>
      <c r="I694" s="31">
        <v>0</v>
      </c>
      <c r="J694" s="31">
        <v>0</v>
      </c>
      <c r="K694" s="67">
        <v>0</v>
      </c>
      <c r="L694" s="31">
        <v>0</v>
      </c>
      <c r="M694" s="31">
        <v>570</v>
      </c>
      <c r="N694" s="31">
        <v>3000186.95</v>
      </c>
      <c r="O694" s="31">
        <v>0</v>
      </c>
      <c r="P694" s="31">
        <v>0</v>
      </c>
      <c r="Q694" s="31">
        <v>0</v>
      </c>
      <c r="R694" s="31">
        <v>0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  <c r="AC694" s="31">
        <f t="shared" si="140"/>
        <v>45002.8</v>
      </c>
      <c r="AD694" s="31">
        <v>0</v>
      </c>
      <c r="AE694" s="31">
        <v>0</v>
      </c>
      <c r="AF694" s="33" t="s">
        <v>268</v>
      </c>
      <c r="AG694" s="33">
        <v>2021</v>
      </c>
      <c r="AH694" s="34">
        <v>2021</v>
      </c>
      <c r="AT694" s="20" t="e">
        <f t="shared" si="137"/>
        <v>#N/A</v>
      </c>
      <c r="BZ694" s="64"/>
      <c r="CD694" s="20" t="e">
        <f t="shared" si="134"/>
        <v>#N/A</v>
      </c>
    </row>
    <row r="695" spans="1:82" ht="61.5" x14ac:dyDescent="0.85">
      <c r="A695" s="20">
        <v>1</v>
      </c>
      <c r="B695" s="60">
        <f>SUBTOTAL(103,$A$558:A695)</f>
        <v>136</v>
      </c>
      <c r="C695" s="24" t="s">
        <v>414</v>
      </c>
      <c r="D695" s="31">
        <f t="shared" si="139"/>
        <v>1529337.52</v>
      </c>
      <c r="E695" s="31">
        <v>0</v>
      </c>
      <c r="F695" s="31">
        <v>0</v>
      </c>
      <c r="G695" s="31">
        <v>0</v>
      </c>
      <c r="H695" s="31">
        <v>0</v>
      </c>
      <c r="I695" s="31">
        <v>0</v>
      </c>
      <c r="J695" s="31">
        <v>0</v>
      </c>
      <c r="K695" s="67">
        <v>0</v>
      </c>
      <c r="L695" s="31">
        <v>0</v>
      </c>
      <c r="M695" s="31">
        <v>266</v>
      </c>
      <c r="N695" s="31">
        <v>1506736.47</v>
      </c>
      <c r="O695" s="31">
        <v>0</v>
      </c>
      <c r="P695" s="31">
        <v>0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0</v>
      </c>
      <c r="AA695" s="31">
        <v>0</v>
      </c>
      <c r="AB695" s="31">
        <v>0</v>
      </c>
      <c r="AC695" s="31">
        <f t="shared" si="140"/>
        <v>22601.05</v>
      </c>
      <c r="AD695" s="31">
        <v>0</v>
      </c>
      <c r="AE695" s="31">
        <v>0</v>
      </c>
      <c r="AF695" s="33" t="s">
        <v>268</v>
      </c>
      <c r="AG695" s="33">
        <v>2021</v>
      </c>
      <c r="AH695" s="34">
        <v>2021</v>
      </c>
      <c r="AT695" s="20" t="e">
        <f t="shared" si="137"/>
        <v>#N/A</v>
      </c>
      <c r="BZ695" s="64"/>
      <c r="CD695" s="20" t="e">
        <f t="shared" si="134"/>
        <v>#N/A</v>
      </c>
    </row>
    <row r="696" spans="1:82" ht="61.5" x14ac:dyDescent="0.85">
      <c r="A696" s="20">
        <v>1</v>
      </c>
      <c r="B696" s="60">
        <f>SUBTOTAL(103,$A$558:A696)</f>
        <v>137</v>
      </c>
      <c r="C696" s="24" t="s">
        <v>415</v>
      </c>
      <c r="D696" s="31">
        <f t="shared" si="139"/>
        <v>8150000</v>
      </c>
      <c r="E696" s="31">
        <v>0</v>
      </c>
      <c r="F696" s="31">
        <v>0</v>
      </c>
      <c r="G696" s="31">
        <v>0</v>
      </c>
      <c r="H696" s="31">
        <v>0</v>
      </c>
      <c r="I696" s="31">
        <v>0</v>
      </c>
      <c r="J696" s="31">
        <v>0</v>
      </c>
      <c r="K696" s="67">
        <v>0</v>
      </c>
      <c r="L696" s="31">
        <v>0</v>
      </c>
      <c r="M696" s="31">
        <v>1630</v>
      </c>
      <c r="N696" s="31">
        <v>7852216.75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  <c r="AC696" s="31">
        <f t="shared" si="140"/>
        <v>117783.25</v>
      </c>
      <c r="AD696" s="31">
        <v>180000</v>
      </c>
      <c r="AE696" s="31">
        <v>0</v>
      </c>
      <c r="AF696" s="33">
        <v>2021</v>
      </c>
      <c r="AG696" s="33">
        <v>2021</v>
      </c>
      <c r="AH696" s="34">
        <v>2021</v>
      </c>
      <c r="AT696" s="20" t="e">
        <f t="shared" si="137"/>
        <v>#N/A</v>
      </c>
      <c r="BZ696" s="64"/>
      <c r="CD696" s="20" t="e">
        <f t="shared" si="134"/>
        <v>#N/A</v>
      </c>
    </row>
    <row r="697" spans="1:82" ht="61.5" x14ac:dyDescent="0.85">
      <c r="A697" s="20">
        <v>1</v>
      </c>
      <c r="B697" s="60">
        <f>SUBTOTAL(103,$A$558:A697)</f>
        <v>138</v>
      </c>
      <c r="C697" s="24" t="s">
        <v>416</v>
      </c>
      <c r="D697" s="31">
        <f t="shared" si="139"/>
        <v>2837751.8</v>
      </c>
      <c r="E697" s="31">
        <v>0</v>
      </c>
      <c r="F697" s="31">
        <v>0</v>
      </c>
      <c r="G697" s="31">
        <v>0</v>
      </c>
      <c r="H697" s="31">
        <v>0</v>
      </c>
      <c r="I697" s="31">
        <v>0</v>
      </c>
      <c r="J697" s="31">
        <v>0</v>
      </c>
      <c r="K697" s="67">
        <v>0</v>
      </c>
      <c r="L697" s="31">
        <v>0</v>
      </c>
      <c r="M697" s="31">
        <v>500</v>
      </c>
      <c r="N697" s="31">
        <v>2677587.98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  <c r="AC697" s="31">
        <f t="shared" si="140"/>
        <v>40163.82</v>
      </c>
      <c r="AD697" s="31">
        <v>120000</v>
      </c>
      <c r="AE697" s="31">
        <v>0</v>
      </c>
      <c r="AF697" s="33">
        <v>2021</v>
      </c>
      <c r="AG697" s="33">
        <v>2021</v>
      </c>
      <c r="AH697" s="34">
        <v>2021</v>
      </c>
      <c r="AT697" s="20" t="e">
        <f t="shared" si="137"/>
        <v>#N/A</v>
      </c>
      <c r="BZ697" s="64"/>
      <c r="CD697" s="20" t="e">
        <f t="shared" si="134"/>
        <v>#N/A</v>
      </c>
    </row>
    <row r="698" spans="1:82" ht="61.5" x14ac:dyDescent="0.85">
      <c r="A698" s="20">
        <v>1</v>
      </c>
      <c r="B698" s="60">
        <f>SUBTOTAL(103,$A$558:A698)</f>
        <v>139</v>
      </c>
      <c r="C698" s="24" t="s">
        <v>417</v>
      </c>
      <c r="D698" s="31">
        <f t="shared" si="139"/>
        <v>2479122.38</v>
      </c>
      <c r="E698" s="31">
        <v>0</v>
      </c>
      <c r="F698" s="31">
        <v>0</v>
      </c>
      <c r="G698" s="31">
        <v>0</v>
      </c>
      <c r="H698" s="31">
        <v>0</v>
      </c>
      <c r="I698" s="31">
        <v>0</v>
      </c>
      <c r="J698" s="31">
        <v>0</v>
      </c>
      <c r="K698" s="67">
        <v>0</v>
      </c>
      <c r="L698" s="31">
        <v>0</v>
      </c>
      <c r="M698" s="31">
        <v>420</v>
      </c>
      <c r="N698" s="31">
        <v>2324258.5</v>
      </c>
      <c r="O698" s="31">
        <v>0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0</v>
      </c>
      <c r="AB698" s="31">
        <v>0</v>
      </c>
      <c r="AC698" s="31">
        <f t="shared" si="140"/>
        <v>34863.879999999997</v>
      </c>
      <c r="AD698" s="31">
        <v>120000</v>
      </c>
      <c r="AE698" s="31">
        <v>0</v>
      </c>
      <c r="AF698" s="33">
        <v>2021</v>
      </c>
      <c r="AG698" s="33">
        <v>2021</v>
      </c>
      <c r="AH698" s="34">
        <v>2021</v>
      </c>
      <c r="AT698" s="20" t="e">
        <f t="shared" si="137"/>
        <v>#N/A</v>
      </c>
      <c r="BZ698" s="64"/>
      <c r="CD698" s="20" t="e">
        <f t="shared" si="134"/>
        <v>#N/A</v>
      </c>
    </row>
    <row r="699" spans="1:82" ht="61.5" x14ac:dyDescent="0.85">
      <c r="A699" s="20">
        <v>1</v>
      </c>
      <c r="B699" s="60">
        <f>SUBTOTAL(103,$A$558:A699)</f>
        <v>140</v>
      </c>
      <c r="C699" s="24" t="s">
        <v>201</v>
      </c>
      <c r="D699" s="31">
        <f t="shared" si="139"/>
        <v>3697950</v>
      </c>
      <c r="E699" s="31">
        <v>0</v>
      </c>
      <c r="F699" s="31">
        <v>0</v>
      </c>
      <c r="G699" s="31">
        <v>0</v>
      </c>
      <c r="H699" s="31">
        <v>0</v>
      </c>
      <c r="I699" s="31">
        <v>0</v>
      </c>
      <c r="J699" s="31">
        <v>0</v>
      </c>
      <c r="K699" s="67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3495517.24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  <c r="AC699" s="31">
        <f>ROUND(U699*1.5%,2)</f>
        <v>52432.76</v>
      </c>
      <c r="AD699" s="31">
        <v>150000</v>
      </c>
      <c r="AE699" s="31">
        <v>0</v>
      </c>
      <c r="AF699" s="33">
        <v>2021</v>
      </c>
      <c r="AG699" s="33">
        <v>2021</v>
      </c>
      <c r="AH699" s="34">
        <v>2021</v>
      </c>
      <c r="AT699" s="20" t="e">
        <f t="shared" si="137"/>
        <v>#N/A</v>
      </c>
      <c r="BZ699" s="64"/>
      <c r="CD699" s="20" t="e">
        <f t="shared" si="134"/>
        <v>#N/A</v>
      </c>
    </row>
    <row r="700" spans="1:82" ht="61.5" x14ac:dyDescent="0.85">
      <c r="A700" s="20">
        <v>1</v>
      </c>
      <c r="B700" s="60">
        <f>SUBTOTAL(103,$A$558:A700)</f>
        <v>141</v>
      </c>
      <c r="C700" s="24" t="s">
        <v>203</v>
      </c>
      <c r="D700" s="31">
        <f t="shared" si="139"/>
        <v>3680000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67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3477832.51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f>ROUND(U700*1.5%,2)</f>
        <v>52167.49</v>
      </c>
      <c r="AD700" s="31">
        <v>150000</v>
      </c>
      <c r="AE700" s="31">
        <v>0</v>
      </c>
      <c r="AF700" s="33">
        <v>2021</v>
      </c>
      <c r="AG700" s="33">
        <v>2021</v>
      </c>
      <c r="AH700" s="34">
        <v>2021</v>
      </c>
      <c r="AT700" s="20" t="e">
        <f t="shared" si="137"/>
        <v>#N/A</v>
      </c>
      <c r="BZ700" s="64"/>
      <c r="CD700" s="20" t="e">
        <f t="shared" si="134"/>
        <v>#N/A</v>
      </c>
    </row>
    <row r="701" spans="1:82" ht="61.5" x14ac:dyDescent="0.85">
      <c r="A701" s="20">
        <v>1</v>
      </c>
      <c r="B701" s="60">
        <f>SUBTOTAL(103,$A$558:A701)</f>
        <v>142</v>
      </c>
      <c r="C701" s="24" t="s">
        <v>202</v>
      </c>
      <c r="D701" s="31">
        <f t="shared" si="139"/>
        <v>3519757</v>
      </c>
      <c r="E701" s="31">
        <v>0</v>
      </c>
      <c r="F701" s="31">
        <v>0</v>
      </c>
      <c r="G701" s="31">
        <v>0</v>
      </c>
      <c r="H701" s="31">
        <v>0</v>
      </c>
      <c r="I701" s="31">
        <v>0</v>
      </c>
      <c r="J701" s="31">
        <v>0</v>
      </c>
      <c r="K701" s="67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3319957.64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f>ROUND(U701*1.5%,2)</f>
        <v>49799.360000000001</v>
      </c>
      <c r="AD701" s="31">
        <v>150000</v>
      </c>
      <c r="AE701" s="31">
        <v>0</v>
      </c>
      <c r="AF701" s="33">
        <v>2021</v>
      </c>
      <c r="AG701" s="33">
        <v>2021</v>
      </c>
      <c r="AH701" s="34">
        <v>2021</v>
      </c>
      <c r="AT701" s="20" t="e">
        <f t="shared" si="137"/>
        <v>#N/A</v>
      </c>
      <c r="BZ701" s="64"/>
      <c r="CD701" s="20" t="e">
        <f t="shared" si="134"/>
        <v>#N/A</v>
      </c>
    </row>
    <row r="702" spans="1:82" ht="61.5" x14ac:dyDescent="0.85">
      <c r="A702" s="20">
        <v>1</v>
      </c>
      <c r="B702" s="60">
        <f>SUBTOTAL(103,$A$558:A702)</f>
        <v>143</v>
      </c>
      <c r="C702" s="24" t="s">
        <v>418</v>
      </c>
      <c r="D702" s="31">
        <f t="shared" si="139"/>
        <v>4335791.2699999996</v>
      </c>
      <c r="E702" s="31">
        <v>0</v>
      </c>
      <c r="F702" s="31">
        <v>0</v>
      </c>
      <c r="G702" s="31">
        <v>0</v>
      </c>
      <c r="H702" s="31">
        <v>0</v>
      </c>
      <c r="I702" s="31">
        <v>0</v>
      </c>
      <c r="J702" s="31">
        <v>0</v>
      </c>
      <c r="K702" s="67">
        <v>0</v>
      </c>
      <c r="L702" s="31">
        <v>0</v>
      </c>
      <c r="M702" s="31">
        <v>776</v>
      </c>
      <c r="N702" s="31">
        <v>4123932.29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  <c r="AC702" s="31">
        <f t="shared" si="140"/>
        <v>61858.98</v>
      </c>
      <c r="AD702" s="31">
        <v>150000</v>
      </c>
      <c r="AE702" s="31">
        <v>0</v>
      </c>
      <c r="AF702" s="33">
        <v>2021</v>
      </c>
      <c r="AG702" s="33">
        <v>2021</v>
      </c>
      <c r="AH702" s="34">
        <v>2021</v>
      </c>
      <c r="AT702" s="20" t="e">
        <f t="shared" si="137"/>
        <v>#N/A</v>
      </c>
      <c r="BZ702" s="64"/>
      <c r="CD702" s="20" t="e">
        <f t="shared" si="134"/>
        <v>#N/A</v>
      </c>
    </row>
    <row r="703" spans="1:82" ht="61.5" x14ac:dyDescent="0.85">
      <c r="A703" s="20">
        <v>1</v>
      </c>
      <c r="B703" s="60">
        <f>SUBTOTAL(103,$A$558:A703)</f>
        <v>144</v>
      </c>
      <c r="C703" s="24" t="s">
        <v>427</v>
      </c>
      <c r="D703" s="31">
        <f t="shared" si="139"/>
        <v>3541530.1000000006</v>
      </c>
      <c r="E703" s="31">
        <v>0</v>
      </c>
      <c r="F703" s="31">
        <v>0</v>
      </c>
      <c r="G703" s="31">
        <v>0</v>
      </c>
      <c r="H703" s="31">
        <v>0</v>
      </c>
      <c r="I703" s="31">
        <v>0</v>
      </c>
      <c r="J703" s="31">
        <v>0</v>
      </c>
      <c r="K703" s="67">
        <v>0</v>
      </c>
      <c r="L703" s="31">
        <v>0</v>
      </c>
      <c r="M703" s="31">
        <v>734</v>
      </c>
      <c r="N703" s="31">
        <f>3341408.97-118226.61</f>
        <v>3223182.3600000003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  <c r="AC703" s="31">
        <f>ROUND(N703*1.5%,2)</f>
        <v>48347.74</v>
      </c>
      <c r="AD703" s="31">
        <v>150000</v>
      </c>
      <c r="AE703" s="31">
        <v>120000</v>
      </c>
      <c r="AF703" s="33">
        <v>2021</v>
      </c>
      <c r="AG703" s="33">
        <v>2021</v>
      </c>
      <c r="AH703" s="34">
        <v>2021</v>
      </c>
      <c r="AT703" s="20" t="e">
        <f t="shared" si="137"/>
        <v>#N/A</v>
      </c>
      <c r="BZ703" s="64"/>
    </row>
    <row r="704" spans="1:82" ht="61.5" x14ac:dyDescent="0.85">
      <c r="A704" s="20">
        <v>1</v>
      </c>
      <c r="B704" s="60">
        <f>SUBTOTAL(103,$A$558:A704)</f>
        <v>145</v>
      </c>
      <c r="C704" s="24" t="s">
        <v>420</v>
      </c>
      <c r="D704" s="31">
        <f t="shared" si="139"/>
        <v>4390734.43</v>
      </c>
      <c r="E704" s="31">
        <v>0</v>
      </c>
      <c r="F704" s="31">
        <v>0</v>
      </c>
      <c r="G704" s="31">
        <v>0</v>
      </c>
      <c r="H704" s="31">
        <v>0</v>
      </c>
      <c r="I704" s="31">
        <v>0</v>
      </c>
      <c r="J704" s="31">
        <v>0</v>
      </c>
      <c r="K704" s="67">
        <v>0</v>
      </c>
      <c r="L704" s="31">
        <v>0</v>
      </c>
      <c r="M704" s="31">
        <v>923</v>
      </c>
      <c r="N704" s="31">
        <f>4699507.39-501739.48</f>
        <v>4197767.91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  <c r="AC704" s="31">
        <f>ROUND(N704*1.5%,2)</f>
        <v>62966.52</v>
      </c>
      <c r="AD704" s="31">
        <v>130000</v>
      </c>
      <c r="AE704" s="31">
        <v>0</v>
      </c>
      <c r="AF704" s="33">
        <v>2021</v>
      </c>
      <c r="AG704" s="33">
        <v>2021</v>
      </c>
      <c r="AH704" s="34">
        <v>2021</v>
      </c>
      <c r="AT704" s="20" t="e">
        <f t="shared" si="137"/>
        <v>#N/A</v>
      </c>
      <c r="BZ704" s="64"/>
      <c r="CD704" s="20" t="e">
        <f t="shared" ref="CD704:CD725" si="141">VLOOKUP(C704,CE:CF,2,FALSE)</f>
        <v>#N/A</v>
      </c>
    </row>
    <row r="705" spans="1:84" ht="61.5" x14ac:dyDescent="0.85">
      <c r="A705" s="20">
        <v>1</v>
      </c>
      <c r="B705" s="60">
        <f>SUBTOTAL(103,$A$558:A705)</f>
        <v>146</v>
      </c>
      <c r="C705" s="24" t="s">
        <v>421</v>
      </c>
      <c r="D705" s="31">
        <f t="shared" si="139"/>
        <v>3393815.22</v>
      </c>
      <c r="E705" s="31">
        <v>0</v>
      </c>
      <c r="F705" s="31">
        <v>0</v>
      </c>
      <c r="G705" s="31">
        <v>0</v>
      </c>
      <c r="H705" s="31">
        <v>0</v>
      </c>
      <c r="I705" s="31">
        <v>0</v>
      </c>
      <c r="J705" s="31">
        <v>0</v>
      </c>
      <c r="K705" s="67">
        <v>0</v>
      </c>
      <c r="L705" s="31">
        <v>0</v>
      </c>
      <c r="M705" s="31">
        <v>600</v>
      </c>
      <c r="N705" s="31">
        <v>3195877.06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  <c r="AC705" s="31">
        <f t="shared" ref="AC705:AC712" si="142">ROUND(N705*1.5%,2)</f>
        <v>47938.16</v>
      </c>
      <c r="AD705" s="31">
        <v>150000</v>
      </c>
      <c r="AE705" s="31">
        <v>0</v>
      </c>
      <c r="AF705" s="33">
        <v>2021</v>
      </c>
      <c r="AG705" s="33">
        <v>2021</v>
      </c>
      <c r="AH705" s="34">
        <v>2021</v>
      </c>
      <c r="AT705" s="20" t="e">
        <f t="shared" si="137"/>
        <v>#N/A</v>
      </c>
      <c r="BZ705" s="64"/>
      <c r="CD705" s="20" t="e">
        <f t="shared" si="141"/>
        <v>#N/A</v>
      </c>
    </row>
    <row r="706" spans="1:84" ht="61.5" x14ac:dyDescent="0.85">
      <c r="A706" s="20">
        <v>1</v>
      </c>
      <c r="B706" s="60">
        <f>SUBTOTAL(103,$A$558:A706)</f>
        <v>147</v>
      </c>
      <c r="C706" s="24" t="s">
        <v>422</v>
      </c>
      <c r="D706" s="31">
        <f t="shared" si="139"/>
        <v>2545004.79</v>
      </c>
      <c r="E706" s="31">
        <v>0</v>
      </c>
      <c r="F706" s="31">
        <v>0</v>
      </c>
      <c r="G706" s="31">
        <v>0</v>
      </c>
      <c r="H706" s="31">
        <v>0</v>
      </c>
      <c r="I706" s="31">
        <v>0</v>
      </c>
      <c r="J706" s="31">
        <v>0</v>
      </c>
      <c r="K706" s="67">
        <v>0</v>
      </c>
      <c r="L706" s="31">
        <v>0</v>
      </c>
      <c r="M706" s="31">
        <v>486</v>
      </c>
      <c r="N706" s="31">
        <v>2507393.88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  <c r="AC706" s="31">
        <f t="shared" si="142"/>
        <v>37610.910000000003</v>
      </c>
      <c r="AD706" s="31">
        <v>0</v>
      </c>
      <c r="AE706" s="31">
        <v>0</v>
      </c>
      <c r="AF706" s="33" t="s">
        <v>268</v>
      </c>
      <c r="AG706" s="33">
        <v>2021</v>
      </c>
      <c r="AH706" s="34">
        <v>2021</v>
      </c>
      <c r="AT706" s="20" t="e">
        <f t="shared" si="137"/>
        <v>#N/A</v>
      </c>
      <c r="BZ706" s="64"/>
      <c r="CD706" s="20" t="e">
        <f t="shared" si="141"/>
        <v>#N/A</v>
      </c>
    </row>
    <row r="707" spans="1:84" ht="61.5" x14ac:dyDescent="0.85">
      <c r="A707" s="20">
        <v>1</v>
      </c>
      <c r="B707" s="60">
        <f>SUBTOTAL(103,$A$558:A707)</f>
        <v>148</v>
      </c>
      <c r="C707" s="24" t="s">
        <v>1620</v>
      </c>
      <c r="D707" s="31">
        <f t="shared" si="139"/>
        <v>5101600</v>
      </c>
      <c r="E707" s="31">
        <v>0</v>
      </c>
      <c r="F707" s="31">
        <v>0</v>
      </c>
      <c r="G707" s="31">
        <v>0</v>
      </c>
      <c r="H707" s="31">
        <v>0</v>
      </c>
      <c r="I707" s="31">
        <v>0</v>
      </c>
      <c r="J707" s="31">
        <v>0</v>
      </c>
      <c r="K707" s="67">
        <v>0</v>
      </c>
      <c r="L707" s="31">
        <v>0</v>
      </c>
      <c r="M707" s="31">
        <v>911</v>
      </c>
      <c r="N707" s="31">
        <v>4878423.6500000004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  <c r="AC707" s="31">
        <f t="shared" si="142"/>
        <v>73176.350000000006</v>
      </c>
      <c r="AD707" s="31">
        <v>150000</v>
      </c>
      <c r="AE707" s="31">
        <v>0</v>
      </c>
      <c r="AF707" s="33">
        <v>2021</v>
      </c>
      <c r="AG707" s="33">
        <v>2021</v>
      </c>
      <c r="AH707" s="34">
        <v>2021</v>
      </c>
      <c r="BZ707" s="64"/>
      <c r="CD707" s="20" t="e">
        <f t="shared" si="141"/>
        <v>#N/A</v>
      </c>
    </row>
    <row r="708" spans="1:84" ht="61.5" x14ac:dyDescent="0.85">
      <c r="A708" s="20">
        <v>1</v>
      </c>
      <c r="B708" s="60">
        <f>SUBTOTAL(103,$A$558:A708)</f>
        <v>149</v>
      </c>
      <c r="C708" s="24" t="s">
        <v>1650</v>
      </c>
      <c r="D708" s="31">
        <f t="shared" si="139"/>
        <v>2638742.77</v>
      </c>
      <c r="E708" s="31">
        <v>0</v>
      </c>
      <c r="F708" s="31">
        <v>0</v>
      </c>
      <c r="G708" s="31">
        <v>0</v>
      </c>
      <c r="H708" s="31">
        <v>0</v>
      </c>
      <c r="I708" s="31">
        <v>0</v>
      </c>
      <c r="J708" s="31">
        <v>0</v>
      </c>
      <c r="K708" s="67">
        <v>0</v>
      </c>
      <c r="L708" s="31">
        <v>0</v>
      </c>
      <c r="M708" s="31">
        <v>480</v>
      </c>
      <c r="N708" s="31">
        <v>2451963.3199999998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  <c r="AC708" s="31">
        <f t="shared" si="142"/>
        <v>36779.449999999997</v>
      </c>
      <c r="AD708" s="31">
        <v>150000</v>
      </c>
      <c r="AE708" s="31">
        <v>0</v>
      </c>
      <c r="AF708" s="33">
        <v>2021</v>
      </c>
      <c r="AG708" s="33">
        <v>2021</v>
      </c>
      <c r="AH708" s="34">
        <v>2021</v>
      </c>
      <c r="BZ708" s="64"/>
      <c r="CD708" s="20" t="e">
        <f t="shared" si="141"/>
        <v>#N/A</v>
      </c>
    </row>
    <row r="709" spans="1:84" ht="61.5" x14ac:dyDescent="0.85">
      <c r="A709" s="20">
        <v>1</v>
      </c>
      <c r="B709" s="60">
        <f>SUBTOTAL(103,$A$558:A709)</f>
        <v>150</v>
      </c>
      <c r="C709" s="24" t="s">
        <v>1651</v>
      </c>
      <c r="D709" s="31">
        <f t="shared" si="139"/>
        <v>3267279.28</v>
      </c>
      <c r="E709" s="31">
        <v>0</v>
      </c>
      <c r="F709" s="31">
        <v>0</v>
      </c>
      <c r="G709" s="31">
        <v>0</v>
      </c>
      <c r="H709" s="31">
        <v>0</v>
      </c>
      <c r="I709" s="31">
        <v>0</v>
      </c>
      <c r="J709" s="31">
        <v>0</v>
      </c>
      <c r="K709" s="67">
        <v>0</v>
      </c>
      <c r="L709" s="31">
        <v>0</v>
      </c>
      <c r="M709" s="31">
        <v>600</v>
      </c>
      <c r="N709" s="31">
        <v>3100767.76</v>
      </c>
      <c r="O709" s="31">
        <v>0</v>
      </c>
      <c r="P709" s="31">
        <v>0</v>
      </c>
      <c r="Q709" s="31">
        <v>0</v>
      </c>
      <c r="R709" s="31">
        <v>0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0</v>
      </c>
      <c r="AA709" s="31">
        <v>0</v>
      </c>
      <c r="AB709" s="31">
        <v>0</v>
      </c>
      <c r="AC709" s="31">
        <f t="shared" si="142"/>
        <v>46511.519999999997</v>
      </c>
      <c r="AD709" s="31">
        <v>120000</v>
      </c>
      <c r="AE709" s="31">
        <v>0</v>
      </c>
      <c r="AF709" s="33">
        <v>2021</v>
      </c>
      <c r="AG709" s="33">
        <v>2021</v>
      </c>
      <c r="AH709" s="34">
        <v>2021</v>
      </c>
      <c r="BZ709" s="64"/>
      <c r="CD709" s="20" t="e">
        <f t="shared" si="141"/>
        <v>#N/A</v>
      </c>
    </row>
    <row r="710" spans="1:84" ht="61.5" x14ac:dyDescent="0.85">
      <c r="A710" s="20">
        <v>1</v>
      </c>
      <c r="B710" s="60">
        <f>SUBTOTAL(103,$A$558:A710)</f>
        <v>151</v>
      </c>
      <c r="C710" s="24" t="s">
        <v>438</v>
      </c>
      <c r="D710" s="31">
        <f t="shared" si="139"/>
        <v>4331631.53</v>
      </c>
      <c r="E710" s="31">
        <v>0</v>
      </c>
      <c r="F710" s="31">
        <v>0</v>
      </c>
      <c r="G710" s="31">
        <v>0</v>
      </c>
      <c r="H710" s="31">
        <v>0</v>
      </c>
      <c r="I710" s="31">
        <v>0</v>
      </c>
      <c r="J710" s="31">
        <v>0</v>
      </c>
      <c r="K710" s="67">
        <v>2</v>
      </c>
      <c r="L710" s="31">
        <v>4331631.53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  <c r="AC710" s="31">
        <f t="shared" si="142"/>
        <v>0</v>
      </c>
      <c r="AD710" s="31">
        <v>0</v>
      </c>
      <c r="AE710" s="31">
        <v>0</v>
      </c>
      <c r="AF710" s="34" t="s">
        <v>268</v>
      </c>
      <c r="AG710" s="33">
        <v>2021</v>
      </c>
      <c r="AH710" s="34" t="s">
        <v>268</v>
      </c>
      <c r="BZ710" s="64"/>
      <c r="CD710" s="20" t="e">
        <f t="shared" si="141"/>
        <v>#N/A</v>
      </c>
    </row>
    <row r="711" spans="1:84" ht="61.5" x14ac:dyDescent="0.85">
      <c r="A711" s="20">
        <v>1</v>
      </c>
      <c r="B711" s="60">
        <f>SUBTOTAL(103,$A$558:A711)</f>
        <v>152</v>
      </c>
      <c r="C711" s="24" t="s">
        <v>1671</v>
      </c>
      <c r="D711" s="31">
        <f t="shared" si="139"/>
        <v>3267843.12</v>
      </c>
      <c r="E711" s="31">
        <v>0</v>
      </c>
      <c r="F711" s="31">
        <v>0</v>
      </c>
      <c r="G711" s="31">
        <v>0</v>
      </c>
      <c r="H711" s="31">
        <v>0</v>
      </c>
      <c r="I711" s="31">
        <v>0</v>
      </c>
      <c r="J711" s="31">
        <v>0</v>
      </c>
      <c r="K711" s="67">
        <v>0</v>
      </c>
      <c r="L711" s="31">
        <v>0</v>
      </c>
      <c r="M711" s="31">
        <v>600</v>
      </c>
      <c r="N711" s="31">
        <f>3120000+2620.93-1593.23</f>
        <v>3121027.7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0</v>
      </c>
      <c r="AC711" s="31">
        <f t="shared" si="142"/>
        <v>46815.42</v>
      </c>
      <c r="AD711" s="31">
        <v>100000</v>
      </c>
      <c r="AE711" s="31">
        <v>0</v>
      </c>
      <c r="AF711" s="33">
        <v>2021</v>
      </c>
      <c r="AG711" s="33">
        <v>2021</v>
      </c>
      <c r="AH711" s="34">
        <v>2021</v>
      </c>
      <c r="BZ711" s="64"/>
      <c r="CD711" s="20" t="e">
        <f t="shared" si="141"/>
        <v>#N/A</v>
      </c>
    </row>
    <row r="712" spans="1:84" ht="61.5" x14ac:dyDescent="0.85">
      <c r="A712" s="20">
        <v>1</v>
      </c>
      <c r="B712" s="60">
        <f>SUBTOTAL(103,$A$558:A712)</f>
        <v>153</v>
      </c>
      <c r="C712" s="24" t="s">
        <v>1672</v>
      </c>
      <c r="D712" s="31">
        <f t="shared" si="139"/>
        <v>2312994.5099999998</v>
      </c>
      <c r="E712" s="31">
        <v>0</v>
      </c>
      <c r="F712" s="31">
        <v>0</v>
      </c>
      <c r="G712" s="31">
        <v>0</v>
      </c>
      <c r="H712" s="31">
        <v>0</v>
      </c>
      <c r="I712" s="31">
        <v>0</v>
      </c>
      <c r="J712" s="31">
        <v>0</v>
      </c>
      <c r="K712" s="67">
        <v>0</v>
      </c>
      <c r="L712" s="31">
        <v>0</v>
      </c>
      <c r="M712" s="31">
        <v>440</v>
      </c>
      <c r="N712" s="31">
        <v>2214934.73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  <c r="AC712" s="31">
        <f t="shared" si="142"/>
        <v>33224.019999999997</v>
      </c>
      <c r="AD712" s="31">
        <v>64835.76</v>
      </c>
      <c r="AE712" s="31">
        <v>0</v>
      </c>
      <c r="AF712" s="33">
        <v>2021</v>
      </c>
      <c r="AG712" s="33">
        <v>2021</v>
      </c>
      <c r="AH712" s="34">
        <v>2021</v>
      </c>
      <c r="BZ712" s="64"/>
      <c r="CD712" s="20" t="e">
        <f t="shared" si="141"/>
        <v>#N/A</v>
      </c>
    </row>
    <row r="713" spans="1:84" ht="61.5" x14ac:dyDescent="0.85">
      <c r="A713" s="20">
        <v>1</v>
      </c>
      <c r="B713" s="60">
        <f>SUBTOTAL(103,$A$558:A713)</f>
        <v>154</v>
      </c>
      <c r="C713" s="24" t="s">
        <v>1150</v>
      </c>
      <c r="D713" s="31">
        <f t="shared" si="139"/>
        <v>2050106.0299999998</v>
      </c>
      <c r="E713" s="31">
        <v>0</v>
      </c>
      <c r="F713" s="31">
        <v>0</v>
      </c>
      <c r="G713" s="31">
        <v>0</v>
      </c>
      <c r="H713" s="31">
        <v>0</v>
      </c>
      <c r="I713" s="31">
        <v>0</v>
      </c>
      <c r="J713" s="31">
        <v>0</v>
      </c>
      <c r="K713" s="67">
        <v>0</v>
      </c>
      <c r="L713" s="31">
        <v>0</v>
      </c>
      <c r="M713" s="31">
        <v>0</v>
      </c>
      <c r="N713" s="31">
        <v>0</v>
      </c>
      <c r="O713" s="31">
        <v>0</v>
      </c>
      <c r="P713" s="31">
        <v>0</v>
      </c>
      <c r="Q713" s="31">
        <v>1645.95</v>
      </c>
      <c r="R713" s="31">
        <v>2019808.9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0</v>
      </c>
      <c r="AA713" s="31">
        <v>0</v>
      </c>
      <c r="AB713" s="31">
        <v>0</v>
      </c>
      <c r="AC713" s="31">
        <f>ROUND(R713*1.5%,2)</f>
        <v>30297.13</v>
      </c>
      <c r="AD713" s="31">
        <v>0</v>
      </c>
      <c r="AE713" s="31">
        <v>0</v>
      </c>
      <c r="AF713" s="33" t="s">
        <v>268</v>
      </c>
      <c r="AG713" s="33">
        <v>2021</v>
      </c>
      <c r="AH713" s="34">
        <v>2021</v>
      </c>
      <c r="BZ713" s="64"/>
      <c r="CD713" s="20" t="e">
        <f t="shared" si="141"/>
        <v>#N/A</v>
      </c>
      <c r="CE713" s="88" t="s">
        <v>1228</v>
      </c>
      <c r="CF713" s="88">
        <v>542.66</v>
      </c>
    </row>
    <row r="714" spans="1:84" ht="61.5" x14ac:dyDescent="0.85">
      <c r="A714" s="20">
        <v>1</v>
      </c>
      <c r="B714" s="60">
        <f>SUBTOTAL(103,$A$558:A714)</f>
        <v>155</v>
      </c>
      <c r="C714" s="24" t="s">
        <v>1290</v>
      </c>
      <c r="D714" s="31">
        <f t="shared" si="139"/>
        <v>13280548.279999999</v>
      </c>
      <c r="E714" s="31">
        <v>0</v>
      </c>
      <c r="F714" s="31">
        <v>0</v>
      </c>
      <c r="G714" s="31">
        <v>0</v>
      </c>
      <c r="H714" s="31">
        <v>0</v>
      </c>
      <c r="I714" s="31">
        <v>0</v>
      </c>
      <c r="J714" s="31">
        <v>0</v>
      </c>
      <c r="K714" s="67">
        <v>0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2524</v>
      </c>
      <c r="R714" s="31">
        <v>13084284.02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  <c r="AA714" s="31">
        <v>0</v>
      </c>
      <c r="AB714" s="31">
        <v>0</v>
      </c>
      <c r="AC714" s="31">
        <f>ROUND(R714*1.5%,2)</f>
        <v>196264.26</v>
      </c>
      <c r="AD714" s="38">
        <v>0</v>
      </c>
      <c r="AE714" s="31">
        <v>0</v>
      </c>
      <c r="AF714" s="33" t="s">
        <v>268</v>
      </c>
      <c r="AG714" s="33">
        <v>2021</v>
      </c>
      <c r="AH714" s="34">
        <v>2021</v>
      </c>
      <c r="AI714" s="33">
        <v>2020</v>
      </c>
      <c r="AJ714" s="33">
        <v>2020</v>
      </c>
      <c r="AK714" s="33">
        <v>2020</v>
      </c>
      <c r="AL714" s="33">
        <v>2020</v>
      </c>
      <c r="AM714" s="33">
        <v>2020</v>
      </c>
      <c r="AN714" s="33">
        <v>2020</v>
      </c>
      <c r="AO714" s="33">
        <v>2020</v>
      </c>
      <c r="AP714" s="33">
        <v>2020</v>
      </c>
      <c r="AQ714" s="33">
        <v>2020</v>
      </c>
      <c r="AR714" s="33">
        <v>2020</v>
      </c>
      <c r="AS714" s="33">
        <v>2020</v>
      </c>
      <c r="AT714" s="33">
        <v>2020</v>
      </c>
      <c r="AU714" s="33">
        <v>2020</v>
      </c>
      <c r="AV714" s="33">
        <v>2020</v>
      </c>
      <c r="AW714" s="33">
        <v>2020</v>
      </c>
      <c r="AX714" s="33">
        <v>2020</v>
      </c>
      <c r="AY714" s="33">
        <v>2020</v>
      </c>
      <c r="AZ714" s="33">
        <v>2020</v>
      </c>
      <c r="BA714" s="33">
        <v>2020</v>
      </c>
      <c r="BB714" s="33">
        <v>2020</v>
      </c>
      <c r="BC714" s="33">
        <v>2020</v>
      </c>
      <c r="BD714" s="33">
        <v>2020</v>
      </c>
      <c r="BE714" s="33">
        <v>2020</v>
      </c>
      <c r="BF714" s="33">
        <v>2020</v>
      </c>
      <c r="BG714" s="33">
        <v>2020</v>
      </c>
      <c r="BH714" s="33">
        <v>2020</v>
      </c>
      <c r="BI714" s="33">
        <v>2020</v>
      </c>
      <c r="BJ714" s="33">
        <v>2020</v>
      </c>
      <c r="BK714" s="33">
        <v>2020</v>
      </c>
      <c r="BL714" s="33">
        <v>2020</v>
      </c>
      <c r="BM714" s="33">
        <v>2020</v>
      </c>
      <c r="BN714" s="33">
        <v>2020</v>
      </c>
      <c r="BO714" s="33">
        <v>2020</v>
      </c>
      <c r="BP714" s="33">
        <v>2020</v>
      </c>
      <c r="BQ714" s="33">
        <v>2020</v>
      </c>
      <c r="BR714" s="33">
        <v>2020</v>
      </c>
      <c r="BS714" s="33">
        <v>2020</v>
      </c>
      <c r="BT714" s="33">
        <v>2020</v>
      </c>
      <c r="BU714" s="33">
        <v>2020</v>
      </c>
      <c r="BV714" s="33">
        <v>2020</v>
      </c>
      <c r="BW714" s="33">
        <v>2020</v>
      </c>
      <c r="BZ714" s="64"/>
      <c r="CD714" s="20" t="e">
        <f t="shared" si="141"/>
        <v>#N/A</v>
      </c>
    </row>
    <row r="715" spans="1:84" ht="61.5" x14ac:dyDescent="0.85">
      <c r="A715" s="20">
        <v>1</v>
      </c>
      <c r="B715" s="60">
        <f>SUBTOTAL(103,$A$558:A715)</f>
        <v>156</v>
      </c>
      <c r="C715" s="24" t="s">
        <v>1589</v>
      </c>
      <c r="D715" s="31">
        <f t="shared" si="139"/>
        <v>3057001.3899999997</v>
      </c>
      <c r="E715" s="31">
        <v>0</v>
      </c>
      <c r="F715" s="31">
        <v>0</v>
      </c>
      <c r="G715" s="31">
        <v>0</v>
      </c>
      <c r="H715" s="31">
        <v>0</v>
      </c>
      <c r="I715" s="31">
        <v>0</v>
      </c>
      <c r="J715" s="31">
        <v>0</v>
      </c>
      <c r="K715" s="67">
        <v>0</v>
      </c>
      <c r="L715" s="31">
        <v>0</v>
      </c>
      <c r="M715" s="31">
        <v>0</v>
      </c>
      <c r="N715" s="31">
        <v>0</v>
      </c>
      <c r="O715" s="31">
        <v>0</v>
      </c>
      <c r="P715" s="31">
        <v>0</v>
      </c>
      <c r="Q715" s="31">
        <v>0</v>
      </c>
      <c r="R715" s="31">
        <v>0</v>
      </c>
      <c r="S715" s="38">
        <v>121.1</v>
      </c>
      <c r="T715" s="38">
        <v>3011824.03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0</v>
      </c>
      <c r="AA715" s="31">
        <v>0</v>
      </c>
      <c r="AB715" s="31">
        <v>0</v>
      </c>
      <c r="AC715" s="31">
        <f>ROUND((N715+T715)*1.5%,2)</f>
        <v>45177.36</v>
      </c>
      <c r="AD715" s="38">
        <v>0</v>
      </c>
      <c r="AE715" s="31">
        <v>0</v>
      </c>
      <c r="AF715" s="33" t="s">
        <v>268</v>
      </c>
      <c r="AG715" s="33">
        <v>2021</v>
      </c>
      <c r="AH715" s="34">
        <v>2021</v>
      </c>
      <c r="BZ715" s="64"/>
      <c r="CD715" s="20" t="e">
        <f t="shared" si="141"/>
        <v>#N/A</v>
      </c>
    </row>
    <row r="716" spans="1:84" ht="61.5" x14ac:dyDescent="0.85">
      <c r="A716" s="20">
        <v>1</v>
      </c>
      <c r="B716" s="60">
        <f>SUBTOTAL(103,$A$558:A716)</f>
        <v>157</v>
      </c>
      <c r="C716" s="24" t="s">
        <v>1871</v>
      </c>
      <c r="D716" s="31">
        <f t="shared" si="139"/>
        <v>3368416.68</v>
      </c>
      <c r="E716" s="31">
        <v>0</v>
      </c>
      <c r="F716" s="31">
        <v>0</v>
      </c>
      <c r="G716" s="31">
        <v>0</v>
      </c>
      <c r="H716" s="31">
        <v>0</v>
      </c>
      <c r="I716" s="31">
        <v>3231796.34</v>
      </c>
      <c r="J716" s="31">
        <v>0</v>
      </c>
      <c r="K716" s="67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  <c r="AC716" s="31">
        <f>ROUND((E716+F716+G716+H716+I716+J716)*1.5%,2)</f>
        <v>48476.95</v>
      </c>
      <c r="AD716" s="86">
        <v>88143.39</v>
      </c>
      <c r="AE716" s="31">
        <v>0</v>
      </c>
      <c r="AF716" s="33">
        <v>2021</v>
      </c>
      <c r="AG716" s="33">
        <v>2021</v>
      </c>
      <c r="AH716" s="34">
        <v>2021</v>
      </c>
      <c r="BZ716" s="64"/>
      <c r="CD716" s="20" t="e">
        <f t="shared" si="141"/>
        <v>#N/A</v>
      </c>
    </row>
    <row r="717" spans="1:84" ht="61.5" x14ac:dyDescent="0.85">
      <c r="A717" s="20">
        <v>1</v>
      </c>
      <c r="B717" s="60">
        <f>SUBTOTAL(103,$A$558:A717)</f>
        <v>158</v>
      </c>
      <c r="C717" s="24" t="s">
        <v>1157</v>
      </c>
      <c r="D717" s="31">
        <f t="shared" si="139"/>
        <v>375226.5</v>
      </c>
      <c r="E717" s="31">
        <v>0</v>
      </c>
      <c r="F717" s="31">
        <v>0</v>
      </c>
      <c r="G717" s="31">
        <v>0</v>
      </c>
      <c r="H717" s="31">
        <v>0</v>
      </c>
      <c r="I717" s="195">
        <v>375226.5</v>
      </c>
      <c r="J717" s="31">
        <v>0</v>
      </c>
      <c r="K717" s="67">
        <v>0</v>
      </c>
      <c r="L717" s="31">
        <v>0</v>
      </c>
      <c r="M717" s="31">
        <v>0</v>
      </c>
      <c r="N717" s="31">
        <v>0</v>
      </c>
      <c r="O717" s="31">
        <v>0</v>
      </c>
      <c r="P717" s="31">
        <v>0</v>
      </c>
      <c r="Q717" s="31">
        <v>0</v>
      </c>
      <c r="R717" s="31">
        <v>0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3" t="s">
        <v>268</v>
      </c>
      <c r="AG717" s="33">
        <v>2018</v>
      </c>
      <c r="AH717" s="33" t="s">
        <v>268</v>
      </c>
      <c r="BZ717" s="64"/>
      <c r="CD717" s="20" t="e">
        <f t="shared" si="141"/>
        <v>#N/A</v>
      </c>
      <c r="CE717" s="88" t="s">
        <v>452</v>
      </c>
      <c r="CF717" s="88">
        <v>556.79999999999995</v>
      </c>
    </row>
    <row r="718" spans="1:84" ht="61.5" x14ac:dyDescent="0.85">
      <c r="A718" s="20">
        <v>1</v>
      </c>
      <c r="B718" s="60">
        <f>SUBTOTAL(103,$A$558:A718)</f>
        <v>159</v>
      </c>
      <c r="C718" s="24" t="s">
        <v>1158</v>
      </c>
      <c r="D718" s="31">
        <f t="shared" si="139"/>
        <v>160103.5</v>
      </c>
      <c r="E718" s="31">
        <v>0</v>
      </c>
      <c r="F718" s="31">
        <v>0</v>
      </c>
      <c r="G718" s="31">
        <v>0</v>
      </c>
      <c r="H718" s="31">
        <v>0</v>
      </c>
      <c r="I718" s="195">
        <v>160103.5</v>
      </c>
      <c r="J718" s="31">
        <v>0</v>
      </c>
      <c r="K718" s="67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3" t="s">
        <v>268</v>
      </c>
      <c r="AG718" s="33">
        <v>2018</v>
      </c>
      <c r="AH718" s="33" t="s">
        <v>268</v>
      </c>
      <c r="BZ718" s="64"/>
      <c r="CD718" s="20" t="e">
        <f t="shared" si="141"/>
        <v>#N/A</v>
      </c>
      <c r="CE718" s="88" t="s">
        <v>675</v>
      </c>
      <c r="CF718" s="88">
        <v>243.96</v>
      </c>
    </row>
    <row r="719" spans="1:84" ht="61.5" x14ac:dyDescent="0.85">
      <c r="A719" s="20">
        <v>1</v>
      </c>
      <c r="B719" s="60">
        <f>SUBTOTAL(103,$A$558:A719)</f>
        <v>160</v>
      </c>
      <c r="C719" s="24" t="s">
        <v>2306</v>
      </c>
      <c r="D719" s="31">
        <f t="shared" si="139"/>
        <v>3910820.76</v>
      </c>
      <c r="E719" s="31">
        <v>0</v>
      </c>
      <c r="F719" s="31">
        <v>0</v>
      </c>
      <c r="G719" s="31">
        <v>0</v>
      </c>
      <c r="H719" s="31">
        <v>0</v>
      </c>
      <c r="I719" s="31">
        <v>0</v>
      </c>
      <c r="J719" s="31">
        <v>0</v>
      </c>
      <c r="K719" s="67">
        <v>0</v>
      </c>
      <c r="L719" s="31">
        <v>0</v>
      </c>
      <c r="M719" s="31">
        <v>840</v>
      </c>
      <c r="N719" s="31">
        <v>3734798.78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  <c r="AC719" s="31">
        <f t="shared" ref="AC719:AC720" si="143">ROUND(N719*1.5%,2)</f>
        <v>56021.98</v>
      </c>
      <c r="AD719" s="31">
        <v>120000</v>
      </c>
      <c r="AE719" s="31">
        <v>0</v>
      </c>
      <c r="AF719" s="33">
        <v>2021</v>
      </c>
      <c r="AG719" s="33">
        <v>2021</v>
      </c>
      <c r="AH719" s="34">
        <v>2021</v>
      </c>
      <c r="BZ719" s="64"/>
      <c r="CD719" s="20" t="e">
        <f t="shared" si="141"/>
        <v>#N/A</v>
      </c>
    </row>
    <row r="720" spans="1:84" ht="61.5" x14ac:dyDescent="0.85">
      <c r="A720" s="20">
        <v>1</v>
      </c>
      <c r="B720" s="60">
        <f>SUBTOTAL(103,$A$558:A720)</f>
        <v>161</v>
      </c>
      <c r="C720" s="24" t="s">
        <v>2305</v>
      </c>
      <c r="D720" s="31">
        <f t="shared" si="139"/>
        <v>3625924.2399999998</v>
      </c>
      <c r="E720" s="31">
        <v>0</v>
      </c>
      <c r="F720" s="31">
        <v>0</v>
      </c>
      <c r="G720" s="31">
        <v>0</v>
      </c>
      <c r="H720" s="31">
        <v>0</v>
      </c>
      <c r="I720" s="31">
        <v>0</v>
      </c>
      <c r="J720" s="31">
        <v>0</v>
      </c>
      <c r="K720" s="67">
        <v>0</v>
      </c>
      <c r="L720" s="31">
        <v>0</v>
      </c>
      <c r="M720" s="31">
        <v>716</v>
      </c>
      <c r="N720" s="31">
        <v>3454112.55</v>
      </c>
      <c r="O720" s="31">
        <v>0</v>
      </c>
      <c r="P720" s="31">
        <v>0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  <c r="AC720" s="31">
        <f t="shared" si="143"/>
        <v>51811.69</v>
      </c>
      <c r="AD720" s="31">
        <v>120000</v>
      </c>
      <c r="AE720" s="31">
        <v>0</v>
      </c>
      <c r="AF720" s="33">
        <v>2021</v>
      </c>
      <c r="AG720" s="33">
        <v>2021</v>
      </c>
      <c r="AH720" s="34">
        <v>2021</v>
      </c>
      <c r="BZ720" s="64"/>
      <c r="CD720" s="20" t="e">
        <f t="shared" si="141"/>
        <v>#N/A</v>
      </c>
    </row>
    <row r="721" spans="1:82" ht="61.5" x14ac:dyDescent="0.85">
      <c r="A721" s="20">
        <v>1</v>
      </c>
      <c r="B721" s="60">
        <f>SUBTOTAL(103,$A$558:A721)</f>
        <v>162</v>
      </c>
      <c r="C721" s="24" t="s">
        <v>2326</v>
      </c>
      <c r="D721" s="31">
        <f t="shared" si="139"/>
        <v>2457800</v>
      </c>
      <c r="E721" s="31">
        <v>0</v>
      </c>
      <c r="F721" s="31">
        <v>0</v>
      </c>
      <c r="G721" s="31">
        <v>0</v>
      </c>
      <c r="H721" s="31">
        <v>0</v>
      </c>
      <c r="I721" s="31">
        <v>0</v>
      </c>
      <c r="J721" s="31">
        <v>0</v>
      </c>
      <c r="K721" s="67">
        <v>1</v>
      </c>
      <c r="L721" s="31">
        <v>2307800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  <c r="AC721" s="31">
        <f>ROUND(N721*1.5%,2)</f>
        <v>0</v>
      </c>
      <c r="AD721" s="31">
        <v>150000</v>
      </c>
      <c r="AE721" s="31">
        <v>0</v>
      </c>
      <c r="AF721" s="33">
        <v>2021</v>
      </c>
      <c r="AG721" s="33">
        <v>2021</v>
      </c>
      <c r="AH721" s="34" t="s">
        <v>268</v>
      </c>
      <c r="BZ721" s="64"/>
      <c r="CD721" s="20" t="e">
        <f t="shared" si="141"/>
        <v>#N/A</v>
      </c>
    </row>
    <row r="722" spans="1:82" ht="61.5" x14ac:dyDescent="0.85">
      <c r="A722" s="20">
        <v>1</v>
      </c>
      <c r="B722" s="60">
        <f>SUBTOTAL(103,$A$558:A722)</f>
        <v>163</v>
      </c>
      <c r="C722" s="24" t="s">
        <v>2327</v>
      </c>
      <c r="D722" s="31">
        <f t="shared" si="139"/>
        <v>14746800</v>
      </c>
      <c r="E722" s="31">
        <v>0</v>
      </c>
      <c r="F722" s="31">
        <v>0</v>
      </c>
      <c r="G722" s="31">
        <v>0</v>
      </c>
      <c r="H722" s="31">
        <v>0</v>
      </c>
      <c r="I722" s="31">
        <v>0</v>
      </c>
      <c r="J722" s="31">
        <v>0</v>
      </c>
      <c r="K722" s="67">
        <v>6</v>
      </c>
      <c r="L722" s="31">
        <v>14596800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0</v>
      </c>
      <c r="AA722" s="31">
        <v>0</v>
      </c>
      <c r="AB722" s="31">
        <v>0</v>
      </c>
      <c r="AC722" s="31">
        <f>ROUND(N722*1.5%,2)</f>
        <v>0</v>
      </c>
      <c r="AD722" s="31">
        <v>150000</v>
      </c>
      <c r="AE722" s="31">
        <v>0</v>
      </c>
      <c r="AF722" s="33">
        <v>2021</v>
      </c>
      <c r="AG722" s="33">
        <v>2021</v>
      </c>
      <c r="AH722" s="34" t="s">
        <v>268</v>
      </c>
      <c r="BZ722" s="64"/>
      <c r="CD722" s="20" t="e">
        <f t="shared" si="141"/>
        <v>#N/A</v>
      </c>
    </row>
    <row r="723" spans="1:82" ht="61.5" x14ac:dyDescent="0.85">
      <c r="B723" s="24" t="s">
        <v>760</v>
      </c>
      <c r="C723" s="24"/>
      <c r="D723" s="199">
        <f t="shared" ref="D723:AE723" si="144">SUM(D724:D751)</f>
        <v>160973596.03999999</v>
      </c>
      <c r="E723" s="31">
        <f t="shared" si="144"/>
        <v>845974.22</v>
      </c>
      <c r="F723" s="31">
        <f t="shared" si="144"/>
        <v>0</v>
      </c>
      <c r="G723" s="31">
        <f t="shared" si="144"/>
        <v>7605779.9500000011</v>
      </c>
      <c r="H723" s="31">
        <f t="shared" si="144"/>
        <v>1079182.1499999999</v>
      </c>
      <c r="I723" s="31">
        <f t="shared" si="144"/>
        <v>3646652.83</v>
      </c>
      <c r="J723" s="31">
        <f t="shared" si="144"/>
        <v>0</v>
      </c>
      <c r="K723" s="67">
        <f t="shared" si="144"/>
        <v>39</v>
      </c>
      <c r="L723" s="31">
        <f t="shared" si="144"/>
        <v>86478588.340000004</v>
      </c>
      <c r="M723" s="31">
        <f t="shared" si="144"/>
        <v>9807.9600000000009</v>
      </c>
      <c r="N723" s="31">
        <f t="shared" si="144"/>
        <v>45546921.740000002</v>
      </c>
      <c r="O723" s="31">
        <f t="shared" si="144"/>
        <v>0</v>
      </c>
      <c r="P723" s="31">
        <f t="shared" si="144"/>
        <v>0</v>
      </c>
      <c r="Q723" s="31">
        <f t="shared" si="144"/>
        <v>3460.1</v>
      </c>
      <c r="R723" s="31">
        <f t="shared" si="144"/>
        <v>11567065.35</v>
      </c>
      <c r="S723" s="31">
        <f t="shared" si="144"/>
        <v>0</v>
      </c>
      <c r="T723" s="31">
        <f t="shared" si="144"/>
        <v>0</v>
      </c>
      <c r="U723" s="31">
        <f t="shared" si="144"/>
        <v>0</v>
      </c>
      <c r="V723" s="31">
        <f t="shared" si="144"/>
        <v>210000</v>
      </c>
      <c r="W723" s="31">
        <f t="shared" si="144"/>
        <v>0</v>
      </c>
      <c r="X723" s="31">
        <f t="shared" si="144"/>
        <v>0</v>
      </c>
      <c r="Y723" s="31">
        <f t="shared" si="144"/>
        <v>0</v>
      </c>
      <c r="Z723" s="31">
        <f t="shared" si="144"/>
        <v>0</v>
      </c>
      <c r="AA723" s="31">
        <f t="shared" si="144"/>
        <v>0</v>
      </c>
      <c r="AB723" s="31">
        <f t="shared" si="144"/>
        <v>0</v>
      </c>
      <c r="AC723" s="31">
        <f t="shared" si="144"/>
        <v>1000884.7699999999</v>
      </c>
      <c r="AD723" s="31">
        <f t="shared" si="144"/>
        <v>2512546.69</v>
      </c>
      <c r="AE723" s="31">
        <f t="shared" si="144"/>
        <v>480000</v>
      </c>
      <c r="AF723" s="65" t="s">
        <v>751</v>
      </c>
      <c r="AG723" s="65" t="s">
        <v>751</v>
      </c>
      <c r="AH723" s="79" t="s">
        <v>751</v>
      </c>
      <c r="AT723" s="20" t="e">
        <f t="shared" ref="AT723:AT728" si="145">VLOOKUP(C723,AW:AX,2,FALSE)</f>
        <v>#N/A</v>
      </c>
      <c r="BZ723" s="64">
        <v>43029746.93</v>
      </c>
      <c r="CD723" s="20" t="e">
        <f t="shared" si="141"/>
        <v>#N/A</v>
      </c>
    </row>
    <row r="724" spans="1:82" ht="61.5" x14ac:dyDescent="0.85">
      <c r="A724" s="20">
        <v>1</v>
      </c>
      <c r="B724" s="60">
        <f>SUBTOTAL(103,$A$558:A724)</f>
        <v>164</v>
      </c>
      <c r="C724" s="24" t="s">
        <v>773</v>
      </c>
      <c r="D724" s="31">
        <f t="shared" ref="D724:D751" si="146">E724+F724+G724+H724+I724+J724+L724+N724+P724+R724+T724+U724+V724+W724+X724+Y724+Z724+AA724+AB724+AC724+AD724+AE724</f>
        <v>3593042</v>
      </c>
      <c r="E724" s="31">
        <v>0</v>
      </c>
      <c r="F724" s="31">
        <v>0</v>
      </c>
      <c r="G724" s="31">
        <v>0</v>
      </c>
      <c r="H724" s="31">
        <v>0</v>
      </c>
      <c r="I724" s="31">
        <v>0</v>
      </c>
      <c r="J724" s="31">
        <v>0</v>
      </c>
      <c r="K724" s="67">
        <v>0</v>
      </c>
      <c r="L724" s="31">
        <v>0</v>
      </c>
      <c r="M724" s="31">
        <v>690</v>
      </c>
      <c r="N724" s="31">
        <v>3431568.47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0</v>
      </c>
      <c r="AC724" s="31">
        <f>ROUND(N724*1.5%,2)</f>
        <v>51473.53</v>
      </c>
      <c r="AD724" s="31">
        <v>110000</v>
      </c>
      <c r="AE724" s="31">
        <v>0</v>
      </c>
      <c r="AF724" s="33">
        <v>2021</v>
      </c>
      <c r="AG724" s="33">
        <v>2021</v>
      </c>
      <c r="AH724" s="34">
        <v>2021</v>
      </c>
      <c r="AT724" s="20" t="e">
        <f t="shared" si="145"/>
        <v>#N/A</v>
      </c>
      <c r="BZ724" s="64"/>
      <c r="CD724" s="20" t="e">
        <f t="shared" si="141"/>
        <v>#N/A</v>
      </c>
    </row>
    <row r="725" spans="1:82" ht="61.5" x14ac:dyDescent="0.85">
      <c r="A725" s="20">
        <v>1</v>
      </c>
      <c r="B725" s="60">
        <f>SUBTOTAL(103,$A$558:A725)</f>
        <v>165</v>
      </c>
      <c r="C725" s="24" t="s">
        <v>775</v>
      </c>
      <c r="D725" s="31">
        <f t="shared" si="146"/>
        <v>7044713.5700000003</v>
      </c>
      <c r="E725" s="31">
        <v>0</v>
      </c>
      <c r="F725" s="31">
        <v>0</v>
      </c>
      <c r="G725" s="31">
        <v>0</v>
      </c>
      <c r="H725" s="31">
        <v>0</v>
      </c>
      <c r="I725" s="31">
        <v>0</v>
      </c>
      <c r="J725" s="31">
        <v>0</v>
      </c>
      <c r="K725" s="67">
        <v>4</v>
      </c>
      <c r="L725" s="31">
        <f>8442796.06+6649.67-1404732.16</f>
        <v>7044713.5700000003</v>
      </c>
      <c r="M725" s="31">
        <v>0</v>
      </c>
      <c r="N725" s="31">
        <v>0</v>
      </c>
      <c r="O725" s="31">
        <v>0</v>
      </c>
      <c r="P725" s="31">
        <v>0</v>
      </c>
      <c r="Q725" s="31">
        <v>0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0</v>
      </c>
      <c r="AA725" s="31">
        <v>0</v>
      </c>
      <c r="AB725" s="31">
        <v>0</v>
      </c>
      <c r="AC725" s="31">
        <v>0</v>
      </c>
      <c r="AD725" s="102">
        <v>0</v>
      </c>
      <c r="AE725" s="31">
        <v>0</v>
      </c>
      <c r="AF725" s="34" t="s">
        <v>268</v>
      </c>
      <c r="AG725" s="33">
        <v>2021</v>
      </c>
      <c r="AH725" s="34" t="s">
        <v>268</v>
      </c>
      <c r="AT725" s="20" t="e">
        <f t="shared" si="145"/>
        <v>#N/A</v>
      </c>
      <c r="BZ725" s="64"/>
      <c r="CD725" s="20" t="e">
        <f t="shared" si="141"/>
        <v>#N/A</v>
      </c>
    </row>
    <row r="726" spans="1:82" ht="61.5" x14ac:dyDescent="0.85">
      <c r="A726" s="20">
        <v>1</v>
      </c>
      <c r="B726" s="60">
        <f>SUBTOTAL(103,$A$558:A726)</f>
        <v>166</v>
      </c>
      <c r="C726" s="24" t="s">
        <v>785</v>
      </c>
      <c r="D726" s="31">
        <f t="shared" si="146"/>
        <v>8572796.0600000005</v>
      </c>
      <c r="E726" s="31">
        <v>0</v>
      </c>
      <c r="F726" s="31">
        <v>0</v>
      </c>
      <c r="G726" s="31">
        <v>0</v>
      </c>
      <c r="H726" s="31">
        <v>0</v>
      </c>
      <c r="I726" s="31">
        <v>0</v>
      </c>
      <c r="J726" s="31">
        <v>0</v>
      </c>
      <c r="K726" s="67">
        <v>4</v>
      </c>
      <c r="L726" s="31">
        <f>8442796.06+6649.67</f>
        <v>8449445.7300000004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  <c r="AC726" s="31">
        <v>0</v>
      </c>
      <c r="AD726" s="31">
        <f>120000+3350.33</f>
        <v>123350.33</v>
      </c>
      <c r="AE726" s="31">
        <v>0</v>
      </c>
      <c r="AF726" s="33">
        <v>2021</v>
      </c>
      <c r="AG726" s="33">
        <v>2021</v>
      </c>
      <c r="AH726" s="34" t="s">
        <v>268</v>
      </c>
      <c r="AT726" s="20" t="e">
        <f t="shared" si="145"/>
        <v>#N/A</v>
      </c>
      <c r="BZ726" s="64"/>
    </row>
    <row r="727" spans="1:82" ht="61.5" x14ac:dyDescent="0.85">
      <c r="A727" s="20">
        <v>1</v>
      </c>
      <c r="B727" s="60">
        <f>SUBTOTAL(103,$A$558:A727)</f>
        <v>167</v>
      </c>
      <c r="C727" s="24" t="s">
        <v>1074</v>
      </c>
      <c r="D727" s="31">
        <f t="shared" si="146"/>
        <v>2932000</v>
      </c>
      <c r="E727" s="31">
        <v>0</v>
      </c>
      <c r="F727" s="31">
        <v>0</v>
      </c>
      <c r="G727" s="31">
        <v>0</v>
      </c>
      <c r="H727" s="31">
        <v>0</v>
      </c>
      <c r="I727" s="31">
        <v>0</v>
      </c>
      <c r="J727" s="31">
        <v>0</v>
      </c>
      <c r="K727" s="67">
        <v>0</v>
      </c>
      <c r="L727" s="31">
        <v>0</v>
      </c>
      <c r="M727" s="31">
        <v>590</v>
      </c>
      <c r="N727" s="31">
        <v>2790147.78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  <c r="AC727" s="31">
        <f>ROUND(N727*1.5%,2)</f>
        <v>41852.22</v>
      </c>
      <c r="AD727" s="31">
        <v>100000</v>
      </c>
      <c r="AE727" s="31">
        <v>0</v>
      </c>
      <c r="AF727" s="33">
        <v>2021</v>
      </c>
      <c r="AG727" s="33">
        <v>2021</v>
      </c>
      <c r="AH727" s="34">
        <v>2021</v>
      </c>
      <c r="AT727" s="20" t="e">
        <f t="shared" si="145"/>
        <v>#N/A</v>
      </c>
      <c r="BZ727" s="64"/>
      <c r="CD727" s="20" t="e">
        <f t="shared" ref="CD727:CD758" si="147">VLOOKUP(C727,CE:CF,2,FALSE)</f>
        <v>#N/A</v>
      </c>
    </row>
    <row r="728" spans="1:82" ht="61.5" x14ac:dyDescent="0.85">
      <c r="A728" s="20">
        <v>1</v>
      </c>
      <c r="B728" s="60">
        <f>SUBTOTAL(103,$A$558:A728)</f>
        <v>168</v>
      </c>
      <c r="C728" s="24" t="s">
        <v>778</v>
      </c>
      <c r="D728" s="31">
        <f t="shared" si="146"/>
        <v>5743912.0200000005</v>
      </c>
      <c r="E728" s="31">
        <v>0</v>
      </c>
      <c r="F728" s="31">
        <v>0</v>
      </c>
      <c r="G728" s="31">
        <v>0</v>
      </c>
      <c r="H728" s="31">
        <v>0</v>
      </c>
      <c r="I728" s="31">
        <v>0</v>
      </c>
      <c r="J728" s="31">
        <v>0</v>
      </c>
      <c r="K728" s="67">
        <v>0</v>
      </c>
      <c r="L728" s="31">
        <v>0</v>
      </c>
      <c r="M728" s="31">
        <v>1154</v>
      </c>
      <c r="N728" s="31">
        <f>5798972.61-516577.5+238700.48</f>
        <v>5521095.5900000008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  <c r="AC728" s="31">
        <f>ROUND(N728*1.5%,2)</f>
        <v>82816.429999999993</v>
      </c>
      <c r="AD728" s="31">
        <v>140000</v>
      </c>
      <c r="AE728" s="31">
        <v>0</v>
      </c>
      <c r="AF728" s="33">
        <v>2021</v>
      </c>
      <c r="AG728" s="33">
        <v>2021</v>
      </c>
      <c r="AH728" s="34">
        <v>2021</v>
      </c>
      <c r="AT728" s="20" t="e">
        <f t="shared" si="145"/>
        <v>#N/A</v>
      </c>
      <c r="BZ728" s="64"/>
      <c r="CD728" s="20" t="e">
        <f t="shared" si="147"/>
        <v>#N/A</v>
      </c>
    </row>
    <row r="729" spans="1:82" ht="61.5" x14ac:dyDescent="0.85">
      <c r="A729" s="20">
        <v>1</v>
      </c>
      <c r="B729" s="60">
        <f>SUBTOTAL(103,$A$558:A729)</f>
        <v>169</v>
      </c>
      <c r="C729" s="24" t="s">
        <v>1599</v>
      </c>
      <c r="D729" s="31">
        <f t="shared" si="146"/>
        <v>3890000</v>
      </c>
      <c r="E729" s="31">
        <v>0</v>
      </c>
      <c r="F729" s="31">
        <v>0</v>
      </c>
      <c r="G729" s="31">
        <v>0</v>
      </c>
      <c r="H729" s="31">
        <v>0</v>
      </c>
      <c r="I729" s="31">
        <v>0</v>
      </c>
      <c r="J729" s="31">
        <v>0</v>
      </c>
      <c r="K729" s="67">
        <v>0</v>
      </c>
      <c r="L729" s="31">
        <v>0</v>
      </c>
      <c r="M729" s="31">
        <v>778</v>
      </c>
      <c r="N729" s="31">
        <v>3714285.71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  <c r="AC729" s="31">
        <f>ROUND(N729*1.5%,2)</f>
        <v>55714.29</v>
      </c>
      <c r="AD729" s="31">
        <v>120000</v>
      </c>
      <c r="AE729" s="31">
        <v>0</v>
      </c>
      <c r="AF729" s="33">
        <v>2021</v>
      </c>
      <c r="AG729" s="33">
        <v>2021</v>
      </c>
      <c r="AH729" s="34">
        <v>2021</v>
      </c>
      <c r="BZ729" s="64"/>
      <c r="CD729" s="20" t="e">
        <f t="shared" si="147"/>
        <v>#N/A</v>
      </c>
    </row>
    <row r="730" spans="1:82" ht="61.5" x14ac:dyDescent="0.85">
      <c r="A730" s="20">
        <v>1</v>
      </c>
      <c r="B730" s="60">
        <f>SUBTOTAL(103,$A$558:A730)</f>
        <v>170</v>
      </c>
      <c r="C730" s="24" t="s">
        <v>1166</v>
      </c>
      <c r="D730" s="31">
        <f t="shared" si="146"/>
        <v>7809146.6200000001</v>
      </c>
      <c r="E730" s="31">
        <v>0</v>
      </c>
      <c r="F730" s="31">
        <v>0</v>
      </c>
      <c r="G730" s="31">
        <v>0</v>
      </c>
      <c r="H730" s="31">
        <v>0</v>
      </c>
      <c r="I730" s="31">
        <v>0</v>
      </c>
      <c r="J730" s="31">
        <v>0</v>
      </c>
      <c r="K730" s="67">
        <v>0</v>
      </c>
      <c r="L730" s="31">
        <v>0</v>
      </c>
      <c r="M730" s="31">
        <v>627</v>
      </c>
      <c r="N730" s="31">
        <v>3775925.61</v>
      </c>
      <c r="O730" s="31">
        <v>0</v>
      </c>
      <c r="P730" s="31">
        <v>0</v>
      </c>
      <c r="Q730" s="31">
        <v>2058.1</v>
      </c>
      <c r="R730" s="31">
        <v>3737163.56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0</v>
      </c>
      <c r="AA730" s="31">
        <v>0</v>
      </c>
      <c r="AB730" s="31">
        <v>0</v>
      </c>
      <c r="AC730" s="31">
        <f>ROUND(R730*1.5%,2)</f>
        <v>56057.45</v>
      </c>
      <c r="AD730" s="31">
        <v>0</v>
      </c>
      <c r="AE730" s="31">
        <v>240000</v>
      </c>
      <c r="AF730" s="33" t="s">
        <v>268</v>
      </c>
      <c r="AG730" s="33">
        <v>2021</v>
      </c>
      <c r="AH730" s="34">
        <v>2021</v>
      </c>
      <c r="BZ730" s="64"/>
      <c r="CD730" s="20" t="e">
        <f t="shared" si="147"/>
        <v>#N/A</v>
      </c>
    </row>
    <row r="731" spans="1:82" ht="61.5" x14ac:dyDescent="0.85">
      <c r="A731" s="20">
        <v>1</v>
      </c>
      <c r="B731" s="60">
        <f>SUBTOTAL(103,$A$558:A731)</f>
        <v>171</v>
      </c>
      <c r="C731" s="24" t="s">
        <v>770</v>
      </c>
      <c r="D731" s="31">
        <f t="shared" si="146"/>
        <v>6242250</v>
      </c>
      <c r="E731" s="31">
        <v>0</v>
      </c>
      <c r="F731" s="31">
        <v>0</v>
      </c>
      <c r="G731" s="31">
        <v>0</v>
      </c>
      <c r="H731" s="31">
        <v>0</v>
      </c>
      <c r="I731" s="31">
        <v>0</v>
      </c>
      <c r="J731" s="31">
        <v>0</v>
      </c>
      <c r="K731" s="67">
        <v>0</v>
      </c>
      <c r="L731" s="31">
        <v>0</v>
      </c>
      <c r="M731" s="31">
        <v>1319.27</v>
      </c>
      <c r="N731" s="31">
        <v>6150000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0</v>
      </c>
      <c r="Z731" s="31">
        <v>0</v>
      </c>
      <c r="AA731" s="31">
        <v>0</v>
      </c>
      <c r="AB731" s="31">
        <v>0</v>
      </c>
      <c r="AC731" s="31">
        <f>ROUND(N731*1.5%,2)</f>
        <v>92250</v>
      </c>
      <c r="AD731" s="31">
        <v>0</v>
      </c>
      <c r="AE731" s="31">
        <v>0</v>
      </c>
      <c r="AF731" s="33" t="s">
        <v>268</v>
      </c>
      <c r="AG731" s="33">
        <v>2021</v>
      </c>
      <c r="AH731" s="34">
        <v>2021</v>
      </c>
      <c r="AT731" s="20" t="e">
        <f>VLOOKUP(C731,AW:AX,2,FALSE)</f>
        <v>#N/A</v>
      </c>
      <c r="BZ731" s="64"/>
      <c r="CD731" s="20">
        <f t="shared" si="147"/>
        <v>1319.27</v>
      </c>
    </row>
    <row r="732" spans="1:82" ht="61.5" x14ac:dyDescent="0.85">
      <c r="A732" s="20">
        <v>1</v>
      </c>
      <c r="B732" s="60">
        <f>SUBTOTAL(103,$A$558:A732)</f>
        <v>172</v>
      </c>
      <c r="C732" s="24" t="s">
        <v>1163</v>
      </c>
      <c r="D732" s="31">
        <f t="shared" si="146"/>
        <v>2332950.83</v>
      </c>
      <c r="E732" s="31">
        <v>96377</v>
      </c>
      <c r="F732" s="31">
        <v>0</v>
      </c>
      <c r="G732" s="31">
        <v>2023822.85</v>
      </c>
      <c r="H732" s="31">
        <v>178273.87</v>
      </c>
      <c r="I732" s="144">
        <v>0</v>
      </c>
      <c r="J732" s="31">
        <v>0</v>
      </c>
      <c r="K732" s="67">
        <v>0</v>
      </c>
      <c r="L732" s="31">
        <v>0</v>
      </c>
      <c r="M732" s="31">
        <v>0</v>
      </c>
      <c r="N732" s="31">
        <v>0</v>
      </c>
      <c r="O732" s="31">
        <v>0</v>
      </c>
      <c r="P732" s="31">
        <v>0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0</v>
      </c>
      <c r="Z732" s="31">
        <v>0</v>
      </c>
      <c r="AA732" s="31">
        <v>0</v>
      </c>
      <c r="AB732" s="31">
        <v>0</v>
      </c>
      <c r="AC732" s="31">
        <f>ROUND((E732+F732+G732+H732+I732+J732)*1.5%,2)</f>
        <v>34477.11</v>
      </c>
      <c r="AD732" s="31">
        <v>0</v>
      </c>
      <c r="AE732" s="31">
        <v>0</v>
      </c>
      <c r="AF732" s="33" t="s">
        <v>268</v>
      </c>
      <c r="AG732" s="33">
        <v>2021</v>
      </c>
      <c r="AH732" s="34">
        <v>2021</v>
      </c>
      <c r="BZ732" s="64"/>
      <c r="CD732" s="20" t="e">
        <f t="shared" si="147"/>
        <v>#N/A</v>
      </c>
    </row>
    <row r="733" spans="1:82" ht="61.5" x14ac:dyDescent="0.85">
      <c r="A733" s="20">
        <v>1</v>
      </c>
      <c r="B733" s="60">
        <f>SUBTOTAL(103,$A$558:A733)</f>
        <v>173</v>
      </c>
      <c r="C733" s="24" t="s">
        <v>761</v>
      </c>
      <c r="D733" s="31">
        <f t="shared" si="146"/>
        <v>7947350.3199999994</v>
      </c>
      <c r="E733" s="31">
        <v>0</v>
      </c>
      <c r="F733" s="31">
        <v>0</v>
      </c>
      <c r="G733" s="31">
        <v>0</v>
      </c>
      <c r="H733" s="31">
        <v>0</v>
      </c>
      <c r="I733" s="31">
        <v>0</v>
      </c>
      <c r="J733" s="31">
        <v>0</v>
      </c>
      <c r="K733" s="67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1402</v>
      </c>
      <c r="R733" s="31">
        <v>7829901.7899999991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  <c r="AC733" s="31">
        <f>ROUND(R733*1.5%,2)</f>
        <v>117448.53</v>
      </c>
      <c r="AD733" s="31">
        <v>0</v>
      </c>
      <c r="AE733" s="31">
        <v>0</v>
      </c>
      <c r="AF733" s="33" t="s">
        <v>268</v>
      </c>
      <c r="AG733" s="33">
        <v>2021</v>
      </c>
      <c r="AH733" s="34">
        <v>2021</v>
      </c>
      <c r="AT733" s="20" t="e">
        <f>VLOOKUP(C733,AW:AX,2,FALSE)</f>
        <v>#N/A</v>
      </c>
      <c r="BZ733" s="64"/>
      <c r="CD733" s="20" t="e">
        <f t="shared" si="147"/>
        <v>#N/A</v>
      </c>
    </row>
    <row r="734" spans="1:82" ht="61.5" x14ac:dyDescent="0.85">
      <c r="A734" s="20">
        <v>1</v>
      </c>
      <c r="B734" s="60">
        <f>SUBTOTAL(103,$A$558:A734)</f>
        <v>174</v>
      </c>
      <c r="C734" s="24" t="s">
        <v>763</v>
      </c>
      <c r="D734" s="31">
        <f t="shared" si="146"/>
        <v>1157978.8500000001</v>
      </c>
      <c r="E734" s="31">
        <v>0</v>
      </c>
      <c r="F734" s="31">
        <v>0</v>
      </c>
      <c r="G734" s="31">
        <v>0</v>
      </c>
      <c r="H734" s="31">
        <v>0</v>
      </c>
      <c r="I734" s="31">
        <v>0</v>
      </c>
      <c r="J734" s="31">
        <v>0</v>
      </c>
      <c r="K734" s="67">
        <v>0</v>
      </c>
      <c r="L734" s="31">
        <v>0</v>
      </c>
      <c r="M734" s="31">
        <v>265</v>
      </c>
      <c r="N734" s="31">
        <v>1140865.8600000001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  <c r="AC734" s="31">
        <f>ROUND(N734*1.5%,2)</f>
        <v>17112.990000000002</v>
      </c>
      <c r="AD734" s="31">
        <v>0</v>
      </c>
      <c r="AE734" s="31">
        <v>0</v>
      </c>
      <c r="AF734" s="33" t="s">
        <v>268</v>
      </c>
      <c r="AG734" s="33">
        <v>2021</v>
      </c>
      <c r="AH734" s="34">
        <v>2021</v>
      </c>
      <c r="AT734" s="20" t="e">
        <f>VLOOKUP(C734,AW:AX,2,FALSE)</f>
        <v>#N/A</v>
      </c>
      <c r="BZ734" s="64"/>
      <c r="CD734" s="20" t="e">
        <f t="shared" si="147"/>
        <v>#N/A</v>
      </c>
    </row>
    <row r="735" spans="1:82" ht="61.5" x14ac:dyDescent="0.85">
      <c r="A735" s="20">
        <v>1</v>
      </c>
      <c r="B735" s="60">
        <f>SUBTOTAL(103,$A$558:A735)</f>
        <v>175</v>
      </c>
      <c r="C735" s="24" t="s">
        <v>768</v>
      </c>
      <c r="D735" s="31">
        <f t="shared" si="146"/>
        <v>9310459.7000000011</v>
      </c>
      <c r="E735" s="31">
        <v>749597.22</v>
      </c>
      <c r="F735" s="31">
        <v>0</v>
      </c>
      <c r="G735" s="31">
        <f>6632817.44-1050860.34</f>
        <v>5581957.1000000006</v>
      </c>
      <c r="H735" s="31">
        <v>900908.28</v>
      </c>
      <c r="I735" s="31">
        <v>1694890.44</v>
      </c>
      <c r="J735" s="31">
        <v>0</v>
      </c>
      <c r="K735" s="67">
        <v>0</v>
      </c>
      <c r="L735" s="31">
        <v>0</v>
      </c>
      <c r="M735" s="31">
        <v>0</v>
      </c>
      <c r="N735" s="31">
        <v>0</v>
      </c>
      <c r="O735" s="31">
        <v>0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>
        <v>0</v>
      </c>
      <c r="V735" s="31">
        <v>0</v>
      </c>
      <c r="W735" s="31">
        <v>0</v>
      </c>
      <c r="X735" s="31">
        <v>0</v>
      </c>
      <c r="Y735" s="31">
        <v>0</v>
      </c>
      <c r="Z735" s="31">
        <v>0</v>
      </c>
      <c r="AA735" s="31">
        <v>0</v>
      </c>
      <c r="AB735" s="31">
        <v>0</v>
      </c>
      <c r="AC735" s="31">
        <f>ROUND((E735+F735+G735+H735+I735+J735)*1.5%,2)</f>
        <v>133910.29999999999</v>
      </c>
      <c r="AD735" s="38">
        <v>249196.36</v>
      </c>
      <c r="AE735" s="31">
        <v>0</v>
      </c>
      <c r="AF735" s="33">
        <v>2021</v>
      </c>
      <c r="AG735" s="33">
        <v>2021</v>
      </c>
      <c r="AH735" s="34">
        <v>2021</v>
      </c>
      <c r="AT735" s="20" t="e">
        <f>VLOOKUP(C735,AW:AX,2,FALSE)</f>
        <v>#N/A</v>
      </c>
      <c r="BZ735" s="64"/>
      <c r="CD735" s="20" t="e">
        <f t="shared" si="147"/>
        <v>#N/A</v>
      </c>
    </row>
    <row r="736" spans="1:82" ht="61.5" x14ac:dyDescent="0.85">
      <c r="A736" s="20">
        <v>1</v>
      </c>
      <c r="B736" s="60">
        <f>SUBTOTAL(103,$A$558:A736)</f>
        <v>176</v>
      </c>
      <c r="C736" s="24" t="s">
        <v>771</v>
      </c>
      <c r="D736" s="31">
        <f t="shared" si="146"/>
        <v>4986857.2</v>
      </c>
      <c r="E736" s="31">
        <v>0</v>
      </c>
      <c r="F736" s="31">
        <v>0</v>
      </c>
      <c r="G736" s="31">
        <v>0</v>
      </c>
      <c r="H736" s="31">
        <v>0</v>
      </c>
      <c r="I736" s="31">
        <v>0</v>
      </c>
      <c r="J736" s="31">
        <v>0</v>
      </c>
      <c r="K736" s="67">
        <v>0</v>
      </c>
      <c r="L736" s="31">
        <v>0</v>
      </c>
      <c r="M736" s="31">
        <v>1080</v>
      </c>
      <c r="N736" s="31">
        <v>4913159.8</v>
      </c>
      <c r="O736" s="31">
        <v>0</v>
      </c>
      <c r="P736" s="31">
        <v>0</v>
      </c>
      <c r="Q736" s="31">
        <v>0</v>
      </c>
      <c r="R736" s="31">
        <v>0</v>
      </c>
      <c r="S736" s="31">
        <v>0</v>
      </c>
      <c r="T736" s="31">
        <v>0</v>
      </c>
      <c r="U736" s="31">
        <v>0</v>
      </c>
      <c r="V736" s="31">
        <v>0</v>
      </c>
      <c r="W736" s="31">
        <v>0</v>
      </c>
      <c r="X736" s="31">
        <v>0</v>
      </c>
      <c r="Y736" s="31">
        <v>0</v>
      </c>
      <c r="Z736" s="31">
        <v>0</v>
      </c>
      <c r="AA736" s="31">
        <v>0</v>
      </c>
      <c r="AB736" s="31">
        <v>0</v>
      </c>
      <c r="AC736" s="31">
        <f>ROUND(N736*1.5%,2)</f>
        <v>73697.399999999994</v>
      </c>
      <c r="AD736" s="31">
        <v>0</v>
      </c>
      <c r="AE736" s="31">
        <v>0</v>
      </c>
      <c r="AF736" s="33" t="s">
        <v>268</v>
      </c>
      <c r="AG736" s="33">
        <v>2021</v>
      </c>
      <c r="AH736" s="34">
        <v>2021</v>
      </c>
      <c r="AT736" s="20" t="e">
        <f>VLOOKUP(C736,AW:AX,2,FALSE)</f>
        <v>#N/A</v>
      </c>
      <c r="BZ736" s="64"/>
      <c r="CD736" s="20" t="e">
        <f t="shared" si="147"/>
        <v>#N/A</v>
      </c>
    </row>
    <row r="737" spans="1:82" ht="61.5" x14ac:dyDescent="0.85">
      <c r="A737" s="20">
        <v>1</v>
      </c>
      <c r="B737" s="60">
        <f>SUBTOTAL(103,$A$558:A737)</f>
        <v>177</v>
      </c>
      <c r="C737" s="24" t="s">
        <v>1165</v>
      </c>
      <c r="D737" s="31">
        <f>E737+F737+G737+H737+I737+J737+L737+N737+P737+R737+T737+U737+V737+W737+X737+Y737+Z737+AA737+AB737+AC737+AD737+AE737</f>
        <v>494528.3</v>
      </c>
      <c r="E737" s="31">
        <v>0</v>
      </c>
      <c r="F737" s="31">
        <v>0</v>
      </c>
      <c r="G737" s="31">
        <v>0</v>
      </c>
      <c r="H737" s="31">
        <v>0</v>
      </c>
      <c r="I737" s="31">
        <v>487220</v>
      </c>
      <c r="J737" s="31">
        <v>0</v>
      </c>
      <c r="K737" s="67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0</v>
      </c>
      <c r="AC737" s="31">
        <f>ROUND((E737+F737+G737+H737+I737+J737)*1.5%,2)</f>
        <v>7308.3</v>
      </c>
      <c r="AD737" s="31">
        <v>0</v>
      </c>
      <c r="AE737" s="31">
        <v>0</v>
      </c>
      <c r="AF737" s="33" t="s">
        <v>268</v>
      </c>
      <c r="AG737" s="33">
        <v>2021</v>
      </c>
      <c r="AH737" s="34">
        <v>2021</v>
      </c>
      <c r="BZ737" s="64"/>
      <c r="CD737" s="20" t="e">
        <f t="shared" si="147"/>
        <v>#N/A</v>
      </c>
    </row>
    <row r="738" spans="1:82" ht="61.5" x14ac:dyDescent="0.85">
      <c r="A738" s="20">
        <v>1</v>
      </c>
      <c r="B738" s="60">
        <f>SUBTOTAL(103,$A$558:A738)</f>
        <v>178</v>
      </c>
      <c r="C738" s="24" t="s">
        <v>1276</v>
      </c>
      <c r="D738" s="31">
        <f t="shared" si="146"/>
        <v>6222564.7000000002</v>
      </c>
      <c r="E738" s="31">
        <v>0</v>
      </c>
      <c r="F738" s="31">
        <v>0</v>
      </c>
      <c r="G738" s="31">
        <v>0</v>
      </c>
      <c r="H738" s="31">
        <v>0</v>
      </c>
      <c r="I738" s="31">
        <v>0</v>
      </c>
      <c r="J738" s="31">
        <v>0</v>
      </c>
      <c r="K738" s="67">
        <v>0</v>
      </c>
      <c r="L738" s="31">
        <v>0</v>
      </c>
      <c r="M738" s="31">
        <v>1548.79</v>
      </c>
      <c r="N738" s="31">
        <f>6669512.32+1022599.21-1561505.91</f>
        <v>6130605.6200000001</v>
      </c>
      <c r="O738" s="31">
        <v>0</v>
      </c>
      <c r="P738" s="31">
        <v>0</v>
      </c>
      <c r="Q738" s="31">
        <v>0</v>
      </c>
      <c r="R738" s="31">
        <v>0</v>
      </c>
      <c r="S738" s="31">
        <v>0</v>
      </c>
      <c r="T738" s="31">
        <v>0</v>
      </c>
      <c r="U738" s="31">
        <v>0</v>
      </c>
      <c r="V738" s="31">
        <v>0</v>
      </c>
      <c r="W738" s="31">
        <v>0</v>
      </c>
      <c r="X738" s="31">
        <v>0</v>
      </c>
      <c r="Y738" s="31">
        <v>0</v>
      </c>
      <c r="Z738" s="31">
        <v>0</v>
      </c>
      <c r="AA738" s="31">
        <v>0</v>
      </c>
      <c r="AB738" s="31">
        <v>0</v>
      </c>
      <c r="AC738" s="31">
        <f>ROUND(N738*1.5%,2)</f>
        <v>91959.08</v>
      </c>
      <c r="AD738" s="31">
        <v>0</v>
      </c>
      <c r="AE738" s="31">
        <v>0</v>
      </c>
      <c r="AF738" s="33" t="s">
        <v>268</v>
      </c>
      <c r="AG738" s="33">
        <v>2021</v>
      </c>
      <c r="AH738" s="34">
        <v>2021</v>
      </c>
      <c r="BZ738" s="64"/>
      <c r="CD738" s="20" t="e">
        <f t="shared" si="147"/>
        <v>#N/A</v>
      </c>
    </row>
    <row r="739" spans="1:82" ht="61.5" x14ac:dyDescent="0.85">
      <c r="A739" s="20">
        <v>1</v>
      </c>
      <c r="B739" s="60">
        <f>SUBTOTAL(103,$A$558:A739)</f>
        <v>179</v>
      </c>
      <c r="C739" s="24" t="s">
        <v>1669</v>
      </c>
      <c r="D739" s="31">
        <f t="shared" si="146"/>
        <v>213150</v>
      </c>
      <c r="E739" s="31">
        <v>0</v>
      </c>
      <c r="F739" s="31">
        <v>0</v>
      </c>
      <c r="G739" s="31">
        <v>0</v>
      </c>
      <c r="H739" s="31">
        <v>0</v>
      </c>
      <c r="I739" s="31">
        <v>0</v>
      </c>
      <c r="J739" s="31">
        <v>0</v>
      </c>
      <c r="K739" s="67">
        <v>0</v>
      </c>
      <c r="L739" s="31">
        <v>0</v>
      </c>
      <c r="M739" s="31">
        <v>0</v>
      </c>
      <c r="N739" s="31">
        <v>0</v>
      </c>
      <c r="O739" s="31">
        <v>0</v>
      </c>
      <c r="P739" s="31">
        <v>0</v>
      </c>
      <c r="Q739" s="31">
        <v>0</v>
      </c>
      <c r="R739" s="31">
        <v>0</v>
      </c>
      <c r="S739" s="31">
        <v>0</v>
      </c>
      <c r="T739" s="31">
        <v>0</v>
      </c>
      <c r="U739" s="31">
        <v>0</v>
      </c>
      <c r="V739" s="31">
        <v>210000</v>
      </c>
      <c r="W739" s="31">
        <v>0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  <c r="AC739" s="31">
        <f>ROUND(V739*1.5%,2)</f>
        <v>3150</v>
      </c>
      <c r="AD739" s="31">
        <v>0</v>
      </c>
      <c r="AE739" s="31">
        <v>0</v>
      </c>
      <c r="AF739" s="33" t="s">
        <v>268</v>
      </c>
      <c r="AG739" s="33">
        <v>2021</v>
      </c>
      <c r="AH739" s="34">
        <v>2021</v>
      </c>
      <c r="BZ739" s="64"/>
      <c r="CD739" s="20" t="e">
        <f t="shared" si="147"/>
        <v>#N/A</v>
      </c>
    </row>
    <row r="740" spans="1:82" ht="61.5" x14ac:dyDescent="0.85">
      <c r="A740" s="20">
        <v>1</v>
      </c>
      <c r="B740" s="60">
        <f>SUBTOTAL(103,$A$558:A740)</f>
        <v>180</v>
      </c>
      <c r="C740" s="24" t="s">
        <v>772</v>
      </c>
      <c r="D740" s="31">
        <f t="shared" si="146"/>
        <v>8021093.6299999999</v>
      </c>
      <c r="E740" s="31">
        <v>0</v>
      </c>
      <c r="F740" s="31">
        <v>0</v>
      </c>
      <c r="G740" s="31">
        <v>0</v>
      </c>
      <c r="H740" s="31">
        <v>0</v>
      </c>
      <c r="I740" s="31">
        <v>1464542.39</v>
      </c>
      <c r="J740" s="31">
        <v>0</v>
      </c>
      <c r="K740" s="67">
        <v>0</v>
      </c>
      <c r="L740" s="31">
        <v>0</v>
      </c>
      <c r="M740" s="31">
        <v>1375.9</v>
      </c>
      <c r="N740" s="31">
        <f>6051559.71+150000</f>
        <v>6201559.71</v>
      </c>
      <c r="O740" s="31">
        <v>0</v>
      </c>
      <c r="P740" s="31">
        <v>0</v>
      </c>
      <c r="Q740" s="31">
        <v>0</v>
      </c>
      <c r="R740" s="31">
        <v>0</v>
      </c>
      <c r="S740" s="31">
        <v>0</v>
      </c>
      <c r="T740" s="31">
        <v>0</v>
      </c>
      <c r="U740" s="31">
        <v>0</v>
      </c>
      <c r="V740" s="31">
        <v>0</v>
      </c>
      <c r="W740" s="31">
        <v>0</v>
      </c>
      <c r="X740" s="31">
        <v>0</v>
      </c>
      <c r="Y740" s="31">
        <v>0</v>
      </c>
      <c r="Z740" s="31">
        <v>0</v>
      </c>
      <c r="AA740" s="31">
        <v>0</v>
      </c>
      <c r="AB740" s="31">
        <v>0</v>
      </c>
      <c r="AC740" s="31">
        <f>ROUND((N740+I740)*1.5%,2)</f>
        <v>114991.53</v>
      </c>
      <c r="AD740" s="31">
        <v>0</v>
      </c>
      <c r="AE740" s="31">
        <v>240000</v>
      </c>
      <c r="AF740" s="33" t="s">
        <v>268</v>
      </c>
      <c r="AG740" s="33">
        <v>2021</v>
      </c>
      <c r="AH740" s="34">
        <v>2021</v>
      </c>
      <c r="AT740" s="20" t="e">
        <f>VLOOKUP(C740,AW:AX,2,FALSE)</f>
        <v>#N/A</v>
      </c>
      <c r="BZ740" s="64"/>
      <c r="CD740" s="20">
        <f t="shared" si="147"/>
        <v>1375.9</v>
      </c>
    </row>
    <row r="741" spans="1:82" ht="61.5" x14ac:dyDescent="0.85">
      <c r="A741" s="20">
        <v>1</v>
      </c>
      <c r="B741" s="60">
        <f>SUBTOTAL(103,$A$558:A741)</f>
        <v>181</v>
      </c>
      <c r="C741" s="24" t="s">
        <v>1934</v>
      </c>
      <c r="D741" s="31">
        <f t="shared" si="146"/>
        <v>3849194.52</v>
      </c>
      <c r="E741" s="31">
        <v>0</v>
      </c>
      <c r="F741" s="31">
        <v>0</v>
      </c>
      <c r="G741" s="31">
        <v>0</v>
      </c>
      <c r="H741" s="31">
        <v>0</v>
      </c>
      <c r="I741" s="31">
        <v>0</v>
      </c>
      <c r="J741" s="31">
        <v>0</v>
      </c>
      <c r="K741" s="67">
        <v>2</v>
      </c>
      <c r="L741" s="31">
        <v>3699194.52</v>
      </c>
      <c r="M741" s="31">
        <v>0</v>
      </c>
      <c r="N741" s="31">
        <v>0</v>
      </c>
      <c r="O741" s="31">
        <v>0</v>
      </c>
      <c r="P741" s="31">
        <v>0</v>
      </c>
      <c r="Q741" s="31">
        <v>0</v>
      </c>
      <c r="R741" s="31">
        <v>0</v>
      </c>
      <c r="S741" s="31">
        <v>0</v>
      </c>
      <c r="T741" s="31">
        <v>0</v>
      </c>
      <c r="U741" s="31">
        <v>0</v>
      </c>
      <c r="V741" s="31">
        <v>0</v>
      </c>
      <c r="W741" s="31">
        <v>0</v>
      </c>
      <c r="X741" s="31">
        <v>0</v>
      </c>
      <c r="Y741" s="31">
        <v>0</v>
      </c>
      <c r="Z741" s="31">
        <v>0</v>
      </c>
      <c r="AA741" s="31">
        <v>0</v>
      </c>
      <c r="AB741" s="31">
        <v>0</v>
      </c>
      <c r="AC741" s="31">
        <v>0</v>
      </c>
      <c r="AD741" s="31">
        <v>150000</v>
      </c>
      <c r="AE741" s="31">
        <v>0</v>
      </c>
      <c r="AF741" s="33">
        <v>2021</v>
      </c>
      <c r="AG741" s="33">
        <v>2021</v>
      </c>
      <c r="AH741" s="34" t="s">
        <v>268</v>
      </c>
      <c r="BZ741" s="64"/>
      <c r="CD741" s="20" t="e">
        <f t="shared" si="147"/>
        <v>#N/A</v>
      </c>
    </row>
    <row r="742" spans="1:82" ht="61.5" x14ac:dyDescent="0.85">
      <c r="A742" s="20">
        <v>1</v>
      </c>
      <c r="B742" s="60">
        <f>SUBTOTAL(103,$A$558:A742)</f>
        <v>182</v>
      </c>
      <c r="C742" s="24" t="s">
        <v>1933</v>
      </c>
      <c r="D742" s="31">
        <f t="shared" si="146"/>
        <v>3849194.52</v>
      </c>
      <c r="E742" s="31">
        <v>0</v>
      </c>
      <c r="F742" s="31">
        <v>0</v>
      </c>
      <c r="G742" s="31">
        <v>0</v>
      </c>
      <c r="H742" s="31">
        <v>0</v>
      </c>
      <c r="I742" s="31">
        <v>0</v>
      </c>
      <c r="J742" s="31">
        <v>0</v>
      </c>
      <c r="K742" s="67">
        <v>2</v>
      </c>
      <c r="L742" s="31">
        <v>3699194.52</v>
      </c>
      <c r="M742" s="31">
        <v>0</v>
      </c>
      <c r="N742" s="31">
        <v>0</v>
      </c>
      <c r="O742" s="31">
        <v>0</v>
      </c>
      <c r="P742" s="31">
        <v>0</v>
      </c>
      <c r="Q742" s="31">
        <v>0</v>
      </c>
      <c r="R742" s="31">
        <v>0</v>
      </c>
      <c r="S742" s="31">
        <v>0</v>
      </c>
      <c r="T742" s="31">
        <v>0</v>
      </c>
      <c r="U742" s="31">
        <v>0</v>
      </c>
      <c r="V742" s="31">
        <v>0</v>
      </c>
      <c r="W742" s="31">
        <v>0</v>
      </c>
      <c r="X742" s="31">
        <v>0</v>
      </c>
      <c r="Y742" s="31">
        <v>0</v>
      </c>
      <c r="Z742" s="31">
        <v>0</v>
      </c>
      <c r="AA742" s="31">
        <v>0</v>
      </c>
      <c r="AB742" s="31">
        <v>0</v>
      </c>
      <c r="AC742" s="31">
        <v>0</v>
      </c>
      <c r="AD742" s="31">
        <v>150000</v>
      </c>
      <c r="AE742" s="31">
        <v>0</v>
      </c>
      <c r="AF742" s="33">
        <v>2021</v>
      </c>
      <c r="AG742" s="33">
        <v>2021</v>
      </c>
      <c r="AH742" s="34" t="s">
        <v>268</v>
      </c>
      <c r="BZ742" s="64"/>
      <c r="CD742" s="20" t="e">
        <f t="shared" si="147"/>
        <v>#N/A</v>
      </c>
    </row>
    <row r="743" spans="1:82" ht="61.5" x14ac:dyDescent="0.85">
      <c r="A743" s="20">
        <v>1</v>
      </c>
      <c r="B743" s="60">
        <f>SUBTOTAL(103,$A$558:A743)</f>
        <v>183</v>
      </c>
      <c r="C743" s="24" t="s">
        <v>2301</v>
      </c>
      <c r="D743" s="31">
        <f t="shared" si="146"/>
        <v>4915600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67">
        <v>2</v>
      </c>
      <c r="L743" s="31">
        <f>4915600-150000</f>
        <v>4765600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  <c r="AA743" s="31">
        <v>0</v>
      </c>
      <c r="AB743" s="31">
        <v>0</v>
      </c>
      <c r="AC743" s="31">
        <v>0</v>
      </c>
      <c r="AD743" s="31">
        <v>150000</v>
      </c>
      <c r="AE743" s="31">
        <v>0</v>
      </c>
      <c r="AF743" s="33">
        <v>2021</v>
      </c>
      <c r="AG743" s="33">
        <v>2021</v>
      </c>
      <c r="AH743" s="34" t="s">
        <v>268</v>
      </c>
      <c r="BZ743" s="64"/>
      <c r="CD743" s="20" t="e">
        <f t="shared" si="147"/>
        <v>#N/A</v>
      </c>
    </row>
    <row r="744" spans="1:82" ht="61.5" x14ac:dyDescent="0.85">
      <c r="A744" s="20">
        <v>1</v>
      </c>
      <c r="B744" s="60">
        <f>SUBTOTAL(103,$A$558:A744)</f>
        <v>184</v>
      </c>
      <c r="C744" s="24" t="s">
        <v>2302</v>
      </c>
      <c r="D744" s="31">
        <f t="shared" si="146"/>
        <v>1924373.2000000002</v>
      </c>
      <c r="E744" s="31">
        <v>0</v>
      </c>
      <c r="F744" s="31">
        <v>0</v>
      </c>
      <c r="G744" s="31">
        <v>0</v>
      </c>
      <c r="H744" s="31">
        <v>0</v>
      </c>
      <c r="I744" s="31">
        <v>0</v>
      </c>
      <c r="J744" s="31">
        <v>0</v>
      </c>
      <c r="K744" s="67">
        <v>0</v>
      </c>
      <c r="L744" s="31">
        <v>0</v>
      </c>
      <c r="M744" s="31">
        <v>380</v>
      </c>
      <c r="N744" s="31">
        <v>1777707.59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0</v>
      </c>
      <c r="W744" s="31">
        <v>0</v>
      </c>
      <c r="X744" s="31">
        <v>0</v>
      </c>
      <c r="Y744" s="31">
        <v>0</v>
      </c>
      <c r="Z744" s="31">
        <v>0</v>
      </c>
      <c r="AA744" s="31">
        <v>0</v>
      </c>
      <c r="AB744" s="31">
        <v>0</v>
      </c>
      <c r="AC744" s="31">
        <f t="shared" ref="AC744:AC751" si="148">ROUND(N744*1.5%,2)</f>
        <v>26665.61</v>
      </c>
      <c r="AD744" s="31">
        <v>120000</v>
      </c>
      <c r="AE744" s="31">
        <v>0</v>
      </c>
      <c r="AF744" s="33">
        <v>2021</v>
      </c>
      <c r="AG744" s="33">
        <v>2021</v>
      </c>
      <c r="AH744" s="33">
        <v>2021</v>
      </c>
      <c r="BZ744" s="64"/>
      <c r="CD744" s="20" t="e">
        <f t="shared" si="147"/>
        <v>#N/A</v>
      </c>
    </row>
    <row r="745" spans="1:82" ht="61.5" x14ac:dyDescent="0.85">
      <c r="A745" s="20">
        <v>1</v>
      </c>
      <c r="B745" s="60">
        <f>SUBTOTAL(103,$A$558:A745)</f>
        <v>185</v>
      </c>
      <c r="C745" s="24" t="s">
        <v>2319</v>
      </c>
      <c r="D745" s="31">
        <f t="shared" si="146"/>
        <v>7132680</v>
      </c>
      <c r="E745" s="31">
        <v>0</v>
      </c>
      <c r="F745" s="31">
        <v>0</v>
      </c>
      <c r="G745" s="31">
        <v>0</v>
      </c>
      <c r="H745" s="31">
        <v>0</v>
      </c>
      <c r="I745" s="31">
        <v>0</v>
      </c>
      <c r="J745" s="31">
        <v>0</v>
      </c>
      <c r="K745" s="67">
        <v>3</v>
      </c>
      <c r="L745" s="31">
        <v>6982680</v>
      </c>
      <c r="M745" s="31">
        <v>0</v>
      </c>
      <c r="N745" s="31">
        <v>0</v>
      </c>
      <c r="O745" s="31">
        <v>0</v>
      </c>
      <c r="P745" s="31">
        <v>0</v>
      </c>
      <c r="Q745" s="31">
        <v>0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0</v>
      </c>
      <c r="Z745" s="31">
        <v>0</v>
      </c>
      <c r="AA745" s="31">
        <v>0</v>
      </c>
      <c r="AB745" s="31">
        <v>0</v>
      </c>
      <c r="AC745" s="31">
        <f t="shared" si="148"/>
        <v>0</v>
      </c>
      <c r="AD745" s="31">
        <v>150000</v>
      </c>
      <c r="AE745" s="31">
        <v>0</v>
      </c>
      <c r="AF745" s="33">
        <v>2021</v>
      </c>
      <c r="AG745" s="33">
        <v>2021</v>
      </c>
      <c r="AH745" s="34" t="s">
        <v>268</v>
      </c>
      <c r="BZ745" s="64"/>
      <c r="CD745" s="20" t="e">
        <f t="shared" si="147"/>
        <v>#N/A</v>
      </c>
    </row>
    <row r="746" spans="1:82" ht="61.5" x14ac:dyDescent="0.85">
      <c r="A746" s="20">
        <v>1</v>
      </c>
      <c r="B746" s="60">
        <f>SUBTOTAL(103,$A$558:A746)</f>
        <v>186</v>
      </c>
      <c r="C746" s="24" t="s">
        <v>2092</v>
      </c>
      <c r="D746" s="31">
        <f t="shared" si="146"/>
        <v>23775600</v>
      </c>
      <c r="E746" s="31">
        <v>0</v>
      </c>
      <c r="F746" s="31">
        <v>0</v>
      </c>
      <c r="G746" s="31">
        <v>0</v>
      </c>
      <c r="H746" s="31">
        <v>0</v>
      </c>
      <c r="I746" s="31">
        <v>0</v>
      </c>
      <c r="J746" s="31">
        <v>0</v>
      </c>
      <c r="K746" s="67">
        <v>10</v>
      </c>
      <c r="L746" s="31">
        <f>23625600-50000</f>
        <v>23575600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  <c r="AC746" s="31">
        <f t="shared" si="148"/>
        <v>0</v>
      </c>
      <c r="AD746" s="31">
        <v>200000</v>
      </c>
      <c r="AE746" s="31">
        <v>0</v>
      </c>
      <c r="AF746" s="33">
        <v>2021</v>
      </c>
      <c r="AG746" s="33">
        <v>2021</v>
      </c>
      <c r="AH746" s="34" t="s">
        <v>268</v>
      </c>
      <c r="BZ746" s="64"/>
      <c r="CD746" s="20" t="e">
        <f t="shared" si="147"/>
        <v>#N/A</v>
      </c>
    </row>
    <row r="747" spans="1:82" ht="61.5" x14ac:dyDescent="0.85">
      <c r="A747" s="20">
        <v>1</v>
      </c>
      <c r="B747" s="60">
        <f>SUBTOTAL(103,$A$558:A747)</f>
        <v>187</v>
      </c>
      <c r="C747" s="24" t="s">
        <v>2320</v>
      </c>
      <c r="D747" s="31">
        <f t="shared" si="146"/>
        <v>4755120</v>
      </c>
      <c r="E747" s="31">
        <v>0</v>
      </c>
      <c r="F747" s="31">
        <v>0</v>
      </c>
      <c r="G747" s="31">
        <v>0</v>
      </c>
      <c r="H747" s="31">
        <v>0</v>
      </c>
      <c r="I747" s="31">
        <v>0</v>
      </c>
      <c r="J747" s="31">
        <v>0</v>
      </c>
      <c r="K747" s="67">
        <v>2</v>
      </c>
      <c r="L747" s="31">
        <v>4605120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  <c r="AC747" s="31">
        <f t="shared" si="148"/>
        <v>0</v>
      </c>
      <c r="AD747" s="31">
        <v>150000</v>
      </c>
      <c r="AE747" s="31">
        <v>0</v>
      </c>
      <c r="AF747" s="33">
        <v>2021</v>
      </c>
      <c r="AG747" s="33">
        <v>2021</v>
      </c>
      <c r="AH747" s="34" t="s">
        <v>268</v>
      </c>
      <c r="BZ747" s="64"/>
      <c r="CD747" s="20" t="e">
        <f t="shared" si="147"/>
        <v>#N/A</v>
      </c>
    </row>
    <row r="748" spans="1:82" ht="61.5" x14ac:dyDescent="0.85">
      <c r="A748" s="20">
        <v>1</v>
      </c>
      <c r="B748" s="60">
        <f>SUBTOTAL(103,$A$558:A748)</f>
        <v>188</v>
      </c>
      <c r="C748" s="24" t="s">
        <v>2321</v>
      </c>
      <c r="D748" s="31">
        <f t="shared" si="146"/>
        <v>4915600</v>
      </c>
      <c r="E748" s="31">
        <v>0</v>
      </c>
      <c r="F748" s="31">
        <v>0</v>
      </c>
      <c r="G748" s="31">
        <v>0</v>
      </c>
      <c r="H748" s="31">
        <v>0</v>
      </c>
      <c r="I748" s="31">
        <v>0</v>
      </c>
      <c r="J748" s="31">
        <v>0</v>
      </c>
      <c r="K748" s="67">
        <v>2</v>
      </c>
      <c r="L748" s="31">
        <v>4765600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0</v>
      </c>
      <c r="AC748" s="31">
        <f t="shared" si="148"/>
        <v>0</v>
      </c>
      <c r="AD748" s="31">
        <v>150000</v>
      </c>
      <c r="AE748" s="31">
        <v>0</v>
      </c>
      <c r="AF748" s="33">
        <v>2021</v>
      </c>
      <c r="AG748" s="33">
        <v>2021</v>
      </c>
      <c r="AH748" s="34" t="s">
        <v>268</v>
      </c>
      <c r="BZ748" s="64"/>
      <c r="CD748" s="20" t="e">
        <f t="shared" si="147"/>
        <v>#N/A</v>
      </c>
    </row>
    <row r="749" spans="1:82" ht="61.5" x14ac:dyDescent="0.85">
      <c r="A749" s="20">
        <v>1</v>
      </c>
      <c r="B749" s="60">
        <f>SUBTOTAL(103,$A$558:A749)</f>
        <v>189</v>
      </c>
      <c r="C749" s="24" t="s">
        <v>2322</v>
      </c>
      <c r="D749" s="31">
        <f t="shared" si="146"/>
        <v>4755120</v>
      </c>
      <c r="E749" s="31">
        <v>0</v>
      </c>
      <c r="F749" s="31">
        <v>0</v>
      </c>
      <c r="G749" s="31">
        <v>0</v>
      </c>
      <c r="H749" s="31">
        <v>0</v>
      </c>
      <c r="I749" s="31">
        <v>0</v>
      </c>
      <c r="J749" s="31">
        <v>0</v>
      </c>
      <c r="K749" s="67">
        <v>2</v>
      </c>
      <c r="L749" s="31">
        <v>4605120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0</v>
      </c>
      <c r="T749" s="31">
        <v>0</v>
      </c>
      <c r="U749" s="31">
        <v>0</v>
      </c>
      <c r="V749" s="31">
        <v>0</v>
      </c>
      <c r="W749" s="31">
        <v>0</v>
      </c>
      <c r="X749" s="31">
        <v>0</v>
      </c>
      <c r="Y749" s="31">
        <v>0</v>
      </c>
      <c r="Z749" s="31">
        <v>0</v>
      </c>
      <c r="AA749" s="31">
        <v>0</v>
      </c>
      <c r="AB749" s="31">
        <v>0</v>
      </c>
      <c r="AC749" s="31">
        <f t="shared" si="148"/>
        <v>0</v>
      </c>
      <c r="AD749" s="31">
        <v>150000</v>
      </c>
      <c r="AE749" s="31">
        <v>0</v>
      </c>
      <c r="AF749" s="33">
        <v>2021</v>
      </c>
      <c r="AG749" s="33">
        <v>2021</v>
      </c>
      <c r="AH749" s="34" t="s">
        <v>268</v>
      </c>
      <c r="BZ749" s="64"/>
      <c r="CD749" s="20" t="e">
        <f t="shared" si="147"/>
        <v>#N/A</v>
      </c>
    </row>
    <row r="750" spans="1:82" ht="61.5" x14ac:dyDescent="0.85">
      <c r="A750" s="20">
        <v>1</v>
      </c>
      <c r="B750" s="60">
        <f>SUBTOTAL(103,$A$558:A750)</f>
        <v>190</v>
      </c>
      <c r="C750" s="24" t="s">
        <v>2323</v>
      </c>
      <c r="D750" s="31">
        <f t="shared" si="146"/>
        <v>9831200</v>
      </c>
      <c r="E750" s="31">
        <v>0</v>
      </c>
      <c r="F750" s="31">
        <v>0</v>
      </c>
      <c r="G750" s="31">
        <v>0</v>
      </c>
      <c r="H750" s="31">
        <v>0</v>
      </c>
      <c r="I750" s="31">
        <v>0</v>
      </c>
      <c r="J750" s="31">
        <v>0</v>
      </c>
      <c r="K750" s="67">
        <v>4</v>
      </c>
      <c r="L750" s="31">
        <v>9681200</v>
      </c>
      <c r="M750" s="31">
        <v>0</v>
      </c>
      <c r="N750" s="31">
        <v>0</v>
      </c>
      <c r="O750" s="31">
        <v>0</v>
      </c>
      <c r="P750" s="31">
        <v>0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0</v>
      </c>
      <c r="AB750" s="31">
        <v>0</v>
      </c>
      <c r="AC750" s="31">
        <f t="shared" si="148"/>
        <v>0</v>
      </c>
      <c r="AD750" s="31">
        <v>150000</v>
      </c>
      <c r="AE750" s="31">
        <v>0</v>
      </c>
      <c r="AF750" s="33">
        <v>2021</v>
      </c>
      <c r="AG750" s="33">
        <v>2021</v>
      </c>
      <c r="AH750" s="34" t="s">
        <v>268</v>
      </c>
      <c r="BZ750" s="64"/>
      <c r="CD750" s="20" t="e">
        <f t="shared" si="147"/>
        <v>#N/A</v>
      </c>
    </row>
    <row r="751" spans="1:82" ht="61.5" x14ac:dyDescent="0.85">
      <c r="A751" s="20">
        <v>1</v>
      </c>
      <c r="B751" s="60">
        <f>SUBTOTAL(103,$A$558:A751)</f>
        <v>191</v>
      </c>
      <c r="C751" s="24" t="s">
        <v>2324</v>
      </c>
      <c r="D751" s="31">
        <f t="shared" si="146"/>
        <v>4755120</v>
      </c>
      <c r="E751" s="31">
        <v>0</v>
      </c>
      <c r="F751" s="31">
        <v>0</v>
      </c>
      <c r="G751" s="31">
        <v>0</v>
      </c>
      <c r="H751" s="31">
        <v>0</v>
      </c>
      <c r="I751" s="31">
        <v>0</v>
      </c>
      <c r="J751" s="31">
        <v>0</v>
      </c>
      <c r="K751" s="67">
        <v>2</v>
      </c>
      <c r="L751" s="31">
        <v>4605120</v>
      </c>
      <c r="M751" s="31">
        <v>0</v>
      </c>
      <c r="N751" s="31">
        <v>0</v>
      </c>
      <c r="O751" s="31">
        <v>0</v>
      </c>
      <c r="P751" s="31">
        <v>0</v>
      </c>
      <c r="Q751" s="31">
        <v>0</v>
      </c>
      <c r="R751" s="31">
        <v>0</v>
      </c>
      <c r="S751" s="31">
        <v>0</v>
      </c>
      <c r="T751" s="31">
        <v>0</v>
      </c>
      <c r="U751" s="31">
        <v>0</v>
      </c>
      <c r="V751" s="31">
        <v>0</v>
      </c>
      <c r="W751" s="31">
        <v>0</v>
      </c>
      <c r="X751" s="31">
        <v>0</v>
      </c>
      <c r="Y751" s="31">
        <v>0</v>
      </c>
      <c r="Z751" s="31">
        <v>0</v>
      </c>
      <c r="AA751" s="31">
        <v>0</v>
      </c>
      <c r="AB751" s="31">
        <v>0</v>
      </c>
      <c r="AC751" s="31">
        <f t="shared" si="148"/>
        <v>0</v>
      </c>
      <c r="AD751" s="31">
        <v>150000</v>
      </c>
      <c r="AE751" s="31">
        <v>0</v>
      </c>
      <c r="AF751" s="33">
        <v>2021</v>
      </c>
      <c r="AG751" s="33">
        <v>2021</v>
      </c>
      <c r="AH751" s="34" t="s">
        <v>268</v>
      </c>
      <c r="BZ751" s="64"/>
      <c r="CD751" s="20" t="e">
        <f t="shared" si="147"/>
        <v>#N/A</v>
      </c>
    </row>
    <row r="752" spans="1:82" ht="61.5" x14ac:dyDescent="0.85">
      <c r="B752" s="24" t="s">
        <v>758</v>
      </c>
      <c r="C752" s="198"/>
      <c r="D752" s="199">
        <f t="shared" ref="D752:AE752" si="149">SUM(D753:D764)</f>
        <v>103874872.24000001</v>
      </c>
      <c r="E752" s="31">
        <f t="shared" si="149"/>
        <v>1687981.85</v>
      </c>
      <c r="F752" s="31">
        <f t="shared" si="149"/>
        <v>3794416.2800000003</v>
      </c>
      <c r="G752" s="31">
        <f t="shared" si="149"/>
        <v>7664612.0899999999</v>
      </c>
      <c r="H752" s="31">
        <f t="shared" si="149"/>
        <v>3136482.6500000004</v>
      </c>
      <c r="I752" s="31">
        <f t="shared" si="149"/>
        <v>6112887.9399999995</v>
      </c>
      <c r="J752" s="31">
        <f t="shared" si="149"/>
        <v>0</v>
      </c>
      <c r="K752" s="67">
        <f t="shared" si="149"/>
        <v>21</v>
      </c>
      <c r="L752" s="31">
        <f t="shared" si="149"/>
        <v>47019325.049999997</v>
      </c>
      <c r="M752" s="31">
        <f t="shared" si="149"/>
        <v>2148</v>
      </c>
      <c r="N752" s="31">
        <f t="shared" si="149"/>
        <v>7055960.0300000003</v>
      </c>
      <c r="O752" s="31">
        <f t="shared" si="149"/>
        <v>0</v>
      </c>
      <c r="P752" s="31">
        <f t="shared" si="149"/>
        <v>0</v>
      </c>
      <c r="Q752" s="31">
        <f t="shared" si="149"/>
        <v>13569.8</v>
      </c>
      <c r="R752" s="31">
        <f t="shared" si="149"/>
        <v>25211533.380000003</v>
      </c>
      <c r="S752" s="31">
        <f t="shared" si="149"/>
        <v>0</v>
      </c>
      <c r="T752" s="31">
        <f t="shared" si="149"/>
        <v>0</v>
      </c>
      <c r="U752" s="31">
        <f t="shared" si="149"/>
        <v>0</v>
      </c>
      <c r="V752" s="31">
        <f t="shared" si="149"/>
        <v>0</v>
      </c>
      <c r="W752" s="31">
        <f t="shared" si="149"/>
        <v>0</v>
      </c>
      <c r="X752" s="31">
        <f t="shared" si="149"/>
        <v>0</v>
      </c>
      <c r="Y752" s="31">
        <f t="shared" si="149"/>
        <v>0</v>
      </c>
      <c r="Z752" s="31">
        <f t="shared" si="149"/>
        <v>0</v>
      </c>
      <c r="AA752" s="31">
        <f t="shared" si="149"/>
        <v>0</v>
      </c>
      <c r="AB752" s="31">
        <f t="shared" si="149"/>
        <v>0</v>
      </c>
      <c r="AC752" s="31">
        <f t="shared" si="149"/>
        <v>819958.11</v>
      </c>
      <c r="AD752" s="31">
        <f t="shared" si="149"/>
        <v>1371714.8599999999</v>
      </c>
      <c r="AE752" s="31">
        <f t="shared" si="149"/>
        <v>0</v>
      </c>
      <c r="AF752" s="65" t="s">
        <v>751</v>
      </c>
      <c r="AG752" s="65" t="s">
        <v>751</v>
      </c>
      <c r="AH752" s="79" t="s">
        <v>751</v>
      </c>
      <c r="AT752" s="20" t="e">
        <f>VLOOKUP(C752,AW:AX,2,FALSE)</f>
        <v>#N/A</v>
      </c>
      <c r="BZ752" s="64">
        <v>21856214.649999999</v>
      </c>
      <c r="CB752" s="64">
        <f>BZ752-D752</f>
        <v>-82018657.590000004</v>
      </c>
      <c r="CD752" s="20" t="e">
        <f t="shared" si="147"/>
        <v>#N/A</v>
      </c>
    </row>
    <row r="753" spans="1:82" ht="61.5" x14ac:dyDescent="0.85">
      <c r="A753" s="20">
        <v>1</v>
      </c>
      <c r="B753" s="60">
        <f>SUBTOTAL(103,$A$558:A753)</f>
        <v>192</v>
      </c>
      <c r="C753" s="24" t="s">
        <v>382</v>
      </c>
      <c r="D753" s="31">
        <f t="shared" ref="D753:D764" si="150">E753+F753+G753+H753+I753+J753+L753+N753+P753+R753+T753+U753+V753+W753+X753+Y753+Z753+AA753+AB753+AC753+AD753+AE753</f>
        <v>7150448.3499999996</v>
      </c>
      <c r="E753" s="31">
        <v>0</v>
      </c>
      <c r="F753" s="31">
        <v>0</v>
      </c>
      <c r="G753" s="31">
        <v>0</v>
      </c>
      <c r="H753" s="31">
        <v>0</v>
      </c>
      <c r="I753" s="31">
        <v>0</v>
      </c>
      <c r="J753" s="31">
        <v>0</v>
      </c>
      <c r="K753" s="67">
        <v>4</v>
      </c>
      <c r="L753" s="31">
        <v>7150448.3499999996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31">
        <v>0</v>
      </c>
      <c r="Y753" s="31">
        <v>0</v>
      </c>
      <c r="Z753" s="31">
        <v>0</v>
      </c>
      <c r="AA753" s="31">
        <v>0</v>
      </c>
      <c r="AB753" s="31">
        <v>0</v>
      </c>
      <c r="AC753" s="31">
        <v>0</v>
      </c>
      <c r="AD753" s="31">
        <v>0</v>
      </c>
      <c r="AE753" s="31">
        <v>0</v>
      </c>
      <c r="AF753" s="33" t="s">
        <v>268</v>
      </c>
      <c r="AG753" s="33">
        <v>2021</v>
      </c>
      <c r="AH753" s="34" t="s">
        <v>268</v>
      </c>
      <c r="AT753" s="20" t="e">
        <f>VLOOKUP(C753,AW:AX,2,FALSE)</f>
        <v>#N/A</v>
      </c>
      <c r="BZ753" s="64"/>
      <c r="CD753" s="20" t="e">
        <f t="shared" si="147"/>
        <v>#N/A</v>
      </c>
    </row>
    <row r="754" spans="1:82" ht="61.5" x14ac:dyDescent="0.85">
      <c r="A754" s="20">
        <v>1</v>
      </c>
      <c r="B754" s="60">
        <f>SUBTOTAL(103,$A$558:A754)</f>
        <v>193</v>
      </c>
      <c r="C754" s="24" t="s">
        <v>1652</v>
      </c>
      <c r="D754" s="31">
        <f t="shared" si="150"/>
        <v>7152713.7700000005</v>
      </c>
      <c r="E754" s="31">
        <v>601798.30000000005</v>
      </c>
      <c r="F754" s="31">
        <v>1360064.57</v>
      </c>
      <c r="G754" s="31">
        <v>2159210.9500000002</v>
      </c>
      <c r="H754" s="31">
        <v>1072260.3</v>
      </c>
      <c r="I754" s="31">
        <v>1605699.19</v>
      </c>
      <c r="J754" s="31">
        <v>0</v>
      </c>
      <c r="K754" s="67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1">
        <v>0</v>
      </c>
      <c r="X754" s="31">
        <v>0</v>
      </c>
      <c r="Y754" s="31">
        <v>0</v>
      </c>
      <c r="Z754" s="31">
        <v>0</v>
      </c>
      <c r="AA754" s="31">
        <v>0</v>
      </c>
      <c r="AB754" s="31">
        <v>0</v>
      </c>
      <c r="AC754" s="31">
        <f>ROUND((E754+F754+G754+H754+I754+J754)*1.5%,2)</f>
        <v>101985.5</v>
      </c>
      <c r="AD754" s="144">
        <v>251694.96</v>
      </c>
      <c r="AE754" s="31">
        <v>0</v>
      </c>
      <c r="AF754" s="33">
        <v>2021</v>
      </c>
      <c r="AG754" s="33">
        <v>2021</v>
      </c>
      <c r="AH754" s="34">
        <v>2021</v>
      </c>
      <c r="AT754" s="20" t="e">
        <f>VLOOKUP(C754,AW:AX,2,FALSE)</f>
        <v>#N/A</v>
      </c>
      <c r="BZ754" s="64"/>
      <c r="CD754" s="20" t="e">
        <f t="shared" si="147"/>
        <v>#N/A</v>
      </c>
    </row>
    <row r="755" spans="1:82" ht="61.5" x14ac:dyDescent="0.85">
      <c r="A755" s="20">
        <v>1</v>
      </c>
      <c r="B755" s="60">
        <f>SUBTOTAL(103,$A$558:A755)</f>
        <v>194</v>
      </c>
      <c r="C755" s="24" t="s">
        <v>383</v>
      </c>
      <c r="D755" s="31">
        <f t="shared" si="150"/>
        <v>5582003.7400000002</v>
      </c>
      <c r="E755" s="31">
        <v>0</v>
      </c>
      <c r="F755" s="31">
        <v>0</v>
      </c>
      <c r="G755" s="31">
        <v>0</v>
      </c>
      <c r="H755" s="31">
        <v>0</v>
      </c>
      <c r="I755" s="31">
        <v>0</v>
      </c>
      <c r="J755" s="31">
        <v>0</v>
      </c>
      <c r="K755" s="67">
        <v>0</v>
      </c>
      <c r="L755" s="31">
        <v>0</v>
      </c>
      <c r="M755" s="31">
        <v>0</v>
      </c>
      <c r="N755" s="31">
        <v>0</v>
      </c>
      <c r="O755" s="31">
        <v>0</v>
      </c>
      <c r="P755" s="31">
        <v>0</v>
      </c>
      <c r="Q755" s="31">
        <v>2476.9</v>
      </c>
      <c r="R755" s="31">
        <v>5381264.8700000001</v>
      </c>
      <c r="S755" s="31">
        <v>0</v>
      </c>
      <c r="T755" s="31">
        <v>0</v>
      </c>
      <c r="U755" s="31">
        <v>0</v>
      </c>
      <c r="V755" s="31">
        <v>0</v>
      </c>
      <c r="W755" s="31">
        <v>0</v>
      </c>
      <c r="X755" s="31">
        <v>0</v>
      </c>
      <c r="Y755" s="31">
        <v>0</v>
      </c>
      <c r="Z755" s="31">
        <v>0</v>
      </c>
      <c r="AA755" s="31">
        <v>0</v>
      </c>
      <c r="AB755" s="31">
        <v>0</v>
      </c>
      <c r="AC755" s="31">
        <f>ROUND(R755*1.5%,2)</f>
        <v>80718.97</v>
      </c>
      <c r="AD755" s="144">
        <v>120019.9</v>
      </c>
      <c r="AE755" s="31">
        <v>0</v>
      </c>
      <c r="AF755" s="33">
        <v>2021</v>
      </c>
      <c r="AG755" s="33">
        <v>2021</v>
      </c>
      <c r="AH755" s="34">
        <v>2021</v>
      </c>
      <c r="AT755" s="20" t="e">
        <f>VLOOKUP(C755,AW:AX,2,FALSE)</f>
        <v>#N/A</v>
      </c>
      <c r="BZ755" s="64"/>
      <c r="CD755" s="20" t="e">
        <f t="shared" si="147"/>
        <v>#N/A</v>
      </c>
    </row>
    <row r="756" spans="1:82" ht="61.5" x14ac:dyDescent="0.85">
      <c r="A756" s="20">
        <v>1</v>
      </c>
      <c r="B756" s="60">
        <f>SUBTOTAL(103,$A$558:A756)</f>
        <v>195</v>
      </c>
      <c r="C756" s="24" t="s">
        <v>1173</v>
      </c>
      <c r="D756" s="31">
        <f t="shared" si="150"/>
        <v>15831307.709999999</v>
      </c>
      <c r="E756" s="31">
        <v>1086183.55</v>
      </c>
      <c r="F756" s="31">
        <v>2434351.71</v>
      </c>
      <c r="G756" s="31">
        <f>5505401.14</f>
        <v>5505401.1399999997</v>
      </c>
      <c r="H756" s="31">
        <v>2064222.35</v>
      </c>
      <c r="I756" s="31">
        <v>4507188.75</v>
      </c>
      <c r="J756" s="31">
        <v>0</v>
      </c>
      <c r="K756" s="67">
        <v>0</v>
      </c>
      <c r="L756" s="31">
        <v>0</v>
      </c>
      <c r="M756" s="31">
        <v>0</v>
      </c>
      <c r="N756" s="31">
        <v>0</v>
      </c>
      <c r="O756" s="31">
        <v>0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1">
        <v>0</v>
      </c>
      <c r="X756" s="31">
        <v>0</v>
      </c>
      <c r="Y756" s="31">
        <v>0</v>
      </c>
      <c r="Z756" s="31">
        <v>0</v>
      </c>
      <c r="AA756" s="31">
        <v>0</v>
      </c>
      <c r="AB756" s="31">
        <v>0</v>
      </c>
      <c r="AC756" s="31">
        <f>ROUND((E756+F756+G756+H756+I756+J756)*1.5%,2)</f>
        <v>233960.21</v>
      </c>
      <c r="AD756" s="31">
        <v>0</v>
      </c>
      <c r="AE756" s="31">
        <v>0</v>
      </c>
      <c r="AF756" s="34" t="s">
        <v>268</v>
      </c>
      <c r="AG756" s="33">
        <v>2021</v>
      </c>
      <c r="AH756" s="34">
        <v>2021</v>
      </c>
      <c r="BZ756" s="64"/>
      <c r="CD756" s="20" t="e">
        <f t="shared" si="147"/>
        <v>#N/A</v>
      </c>
    </row>
    <row r="757" spans="1:82" ht="61.5" x14ac:dyDescent="0.85">
      <c r="A757" s="20">
        <v>1</v>
      </c>
      <c r="B757" s="60">
        <f>SUBTOTAL(103,$A$558:A757)</f>
        <v>196</v>
      </c>
      <c r="C757" s="24" t="s">
        <v>381</v>
      </c>
      <c r="D757" s="31">
        <f t="shared" si="150"/>
        <v>14315249.970000001</v>
      </c>
      <c r="E757" s="31">
        <v>0</v>
      </c>
      <c r="F757" s="31">
        <v>0</v>
      </c>
      <c r="G757" s="31">
        <v>0</v>
      </c>
      <c r="H757" s="31">
        <v>0</v>
      </c>
      <c r="I757" s="31">
        <v>0</v>
      </c>
      <c r="J757" s="31">
        <v>0</v>
      </c>
      <c r="K757" s="67">
        <v>0</v>
      </c>
      <c r="L757" s="31">
        <v>0</v>
      </c>
      <c r="M757" s="31">
        <v>0</v>
      </c>
      <c r="N757" s="31">
        <v>0</v>
      </c>
      <c r="O757" s="31">
        <v>0</v>
      </c>
      <c r="P757" s="31">
        <v>0</v>
      </c>
      <c r="Q757" s="31">
        <v>8596</v>
      </c>
      <c r="R757" s="31">
        <v>14103694.550000001</v>
      </c>
      <c r="S757" s="31">
        <v>0</v>
      </c>
      <c r="T757" s="31">
        <v>0</v>
      </c>
      <c r="U757" s="31">
        <v>0</v>
      </c>
      <c r="V757" s="31">
        <v>0</v>
      </c>
      <c r="W757" s="31">
        <v>0</v>
      </c>
      <c r="X757" s="31">
        <v>0</v>
      </c>
      <c r="Y757" s="31">
        <v>0</v>
      </c>
      <c r="Z757" s="31">
        <v>0</v>
      </c>
      <c r="AA757" s="31">
        <v>0</v>
      </c>
      <c r="AB757" s="31">
        <v>0</v>
      </c>
      <c r="AC757" s="31">
        <f>ROUND(R757*1.5%,2)</f>
        <v>211555.42</v>
      </c>
      <c r="AD757" s="144">
        <v>0</v>
      </c>
      <c r="AE757" s="31">
        <v>0</v>
      </c>
      <c r="AF757" s="34" t="s">
        <v>268</v>
      </c>
      <c r="AG757" s="33">
        <v>2021</v>
      </c>
      <c r="AH757" s="34">
        <v>2021</v>
      </c>
      <c r="AT757" s="20" t="e">
        <f>VLOOKUP(C757,AW:AX,2,FALSE)</f>
        <v>#N/A</v>
      </c>
      <c r="BZ757" s="64"/>
      <c r="CD757" s="20" t="e">
        <f t="shared" si="147"/>
        <v>#N/A</v>
      </c>
    </row>
    <row r="758" spans="1:82" ht="61.5" x14ac:dyDescent="0.85">
      <c r="A758" s="20">
        <v>1</v>
      </c>
      <c r="B758" s="60">
        <f>SUBTOTAL(103,$A$558:A758)</f>
        <v>197</v>
      </c>
      <c r="C758" s="24" t="s">
        <v>1174</v>
      </c>
      <c r="D758" s="31">
        <f t="shared" si="150"/>
        <v>3601876.7</v>
      </c>
      <c r="E758" s="31">
        <v>0</v>
      </c>
      <c r="F758" s="31">
        <v>0</v>
      </c>
      <c r="G758" s="31">
        <v>0</v>
      </c>
      <c r="H758" s="31">
        <v>0</v>
      </c>
      <c r="I758" s="31">
        <v>0</v>
      </c>
      <c r="J758" s="31">
        <v>0</v>
      </c>
      <c r="K758" s="194">
        <v>2</v>
      </c>
      <c r="L758" s="38">
        <f>1800938.35+1800938.35</f>
        <v>3601876.7</v>
      </c>
      <c r="M758" s="31">
        <v>0</v>
      </c>
      <c r="N758" s="31">
        <v>0</v>
      </c>
      <c r="O758" s="31">
        <v>0</v>
      </c>
      <c r="P758" s="31">
        <v>0</v>
      </c>
      <c r="Q758" s="31">
        <v>0</v>
      </c>
      <c r="R758" s="31">
        <v>0</v>
      </c>
      <c r="S758" s="31">
        <v>0</v>
      </c>
      <c r="T758" s="31">
        <v>0</v>
      </c>
      <c r="U758" s="31">
        <v>0</v>
      </c>
      <c r="V758" s="31">
        <v>0</v>
      </c>
      <c r="W758" s="31">
        <v>0</v>
      </c>
      <c r="X758" s="31">
        <v>0</v>
      </c>
      <c r="Y758" s="31">
        <v>0</v>
      </c>
      <c r="Z758" s="31">
        <v>0</v>
      </c>
      <c r="AA758" s="31">
        <v>0</v>
      </c>
      <c r="AB758" s="31">
        <v>0</v>
      </c>
      <c r="AC758" s="31">
        <v>0</v>
      </c>
      <c r="AD758" s="31">
        <v>0</v>
      </c>
      <c r="AE758" s="31">
        <v>0</v>
      </c>
      <c r="AF758" s="34" t="s">
        <v>268</v>
      </c>
      <c r="AG758" s="33">
        <v>2021</v>
      </c>
      <c r="AH758" s="34" t="s">
        <v>268</v>
      </c>
      <c r="BZ758" s="64"/>
      <c r="CD758" s="20" t="e">
        <f t="shared" si="147"/>
        <v>#N/A</v>
      </c>
    </row>
    <row r="759" spans="1:82" ht="61.5" x14ac:dyDescent="0.85">
      <c r="A759" s="20">
        <v>1</v>
      </c>
      <c r="B759" s="60">
        <f>SUBTOTAL(103,$A$558:A759)</f>
        <v>198</v>
      </c>
      <c r="C759" s="24" t="s">
        <v>1946</v>
      </c>
      <c r="D759" s="31">
        <f t="shared" si="150"/>
        <v>6012472.5700000003</v>
      </c>
      <c r="E759" s="35">
        <v>0</v>
      </c>
      <c r="F759" s="35">
        <v>0</v>
      </c>
      <c r="G759" s="35">
        <v>0</v>
      </c>
      <c r="H759" s="35">
        <v>0</v>
      </c>
      <c r="I759" s="35">
        <v>0</v>
      </c>
      <c r="J759" s="35">
        <v>0</v>
      </c>
      <c r="K759" s="67">
        <v>0</v>
      </c>
      <c r="L759" s="31">
        <v>0</v>
      </c>
      <c r="M759" s="31">
        <v>0</v>
      </c>
      <c r="N759" s="31">
        <v>0</v>
      </c>
      <c r="O759" s="31">
        <v>0</v>
      </c>
      <c r="P759" s="31">
        <v>0</v>
      </c>
      <c r="Q759" s="31">
        <v>2496.9</v>
      </c>
      <c r="R759" s="31">
        <v>5726573.96</v>
      </c>
      <c r="S759" s="31">
        <v>0</v>
      </c>
      <c r="T759" s="31">
        <v>0</v>
      </c>
      <c r="U759" s="31">
        <v>0</v>
      </c>
      <c r="V759" s="31">
        <v>0</v>
      </c>
      <c r="W759" s="31">
        <v>0</v>
      </c>
      <c r="X759" s="31">
        <v>0</v>
      </c>
      <c r="Y759" s="31">
        <v>0</v>
      </c>
      <c r="Z759" s="31">
        <v>0</v>
      </c>
      <c r="AA759" s="31">
        <v>0</v>
      </c>
      <c r="AB759" s="31">
        <v>0</v>
      </c>
      <c r="AC759" s="31">
        <f>ROUND(R759*1.5%,2)</f>
        <v>85898.61</v>
      </c>
      <c r="AD759" s="31">
        <v>200000</v>
      </c>
      <c r="AE759" s="31">
        <v>0</v>
      </c>
      <c r="AF759" s="33">
        <v>2021</v>
      </c>
      <c r="AG759" s="33">
        <v>2021</v>
      </c>
      <c r="AH759" s="34">
        <v>2021</v>
      </c>
      <c r="AT759" s="20" t="e">
        <f>VLOOKUP(C759,AW:AX,2,FALSE)</f>
        <v>#N/A</v>
      </c>
      <c r="BZ759" s="64"/>
      <c r="CD759" s="20" t="e">
        <f t="shared" ref="CD759:CD790" si="151">VLOOKUP(C759,CE:CF,2,FALSE)</f>
        <v>#N/A</v>
      </c>
    </row>
    <row r="760" spans="1:82" ht="61.5" x14ac:dyDescent="0.85">
      <c r="A760" s="20">
        <v>1</v>
      </c>
      <c r="B760" s="60">
        <f>SUBTOTAL(103,$A$558:A760)</f>
        <v>199</v>
      </c>
      <c r="C760" s="24" t="s">
        <v>2318</v>
      </c>
      <c r="D760" s="31">
        <f t="shared" si="150"/>
        <v>7361799.4300000006</v>
      </c>
      <c r="E760" s="35">
        <v>0</v>
      </c>
      <c r="F760" s="35">
        <v>0</v>
      </c>
      <c r="G760" s="35">
        <v>0</v>
      </c>
      <c r="H760" s="35">
        <v>0</v>
      </c>
      <c r="I760" s="35">
        <v>0</v>
      </c>
      <c r="J760" s="35">
        <v>0</v>
      </c>
      <c r="K760" s="67">
        <v>0</v>
      </c>
      <c r="L760" s="31">
        <v>0</v>
      </c>
      <c r="M760" s="31">
        <v>2148</v>
      </c>
      <c r="N760" s="31">
        <v>7055960.0300000003</v>
      </c>
      <c r="O760" s="31">
        <v>0</v>
      </c>
      <c r="P760" s="31">
        <v>0</v>
      </c>
      <c r="Q760" s="31">
        <v>0</v>
      </c>
      <c r="R760" s="31">
        <v>0</v>
      </c>
      <c r="S760" s="31">
        <v>0</v>
      </c>
      <c r="T760" s="31">
        <v>0</v>
      </c>
      <c r="U760" s="31">
        <v>0</v>
      </c>
      <c r="V760" s="31">
        <v>0</v>
      </c>
      <c r="W760" s="31">
        <v>0</v>
      </c>
      <c r="X760" s="31">
        <v>0</v>
      </c>
      <c r="Y760" s="31">
        <v>0</v>
      </c>
      <c r="Z760" s="31">
        <v>0</v>
      </c>
      <c r="AA760" s="31">
        <v>0</v>
      </c>
      <c r="AB760" s="31">
        <v>0</v>
      </c>
      <c r="AC760" s="31">
        <f>ROUND(N760*1.5%,2)</f>
        <v>105839.4</v>
      </c>
      <c r="AD760" s="31">
        <v>200000</v>
      </c>
      <c r="AE760" s="31">
        <v>0</v>
      </c>
      <c r="AF760" s="33">
        <v>2021</v>
      </c>
      <c r="AG760" s="33">
        <v>2021</v>
      </c>
      <c r="AH760" s="34">
        <v>2021</v>
      </c>
      <c r="AT760" s="20" t="e">
        <f>VLOOKUP(C760,AW:AX,2,FALSE)</f>
        <v>#N/A</v>
      </c>
      <c r="BZ760" s="64"/>
      <c r="CD760" s="20" t="e">
        <f t="shared" si="151"/>
        <v>#N/A</v>
      </c>
    </row>
    <row r="761" spans="1:82" ht="61.5" x14ac:dyDescent="0.85">
      <c r="A761" s="20">
        <v>1</v>
      </c>
      <c r="B761" s="60">
        <f>SUBTOTAL(103,$A$558:A761)</f>
        <v>200</v>
      </c>
      <c r="C761" s="24" t="s">
        <v>1463</v>
      </c>
      <c r="D761" s="31">
        <f t="shared" si="150"/>
        <v>9831200</v>
      </c>
      <c r="E761" s="31">
        <v>0</v>
      </c>
      <c r="F761" s="31">
        <v>0</v>
      </c>
      <c r="G761" s="31">
        <v>0</v>
      </c>
      <c r="H761" s="31">
        <v>0</v>
      </c>
      <c r="I761" s="31">
        <v>0</v>
      </c>
      <c r="J761" s="31">
        <v>0</v>
      </c>
      <c r="K761" s="67">
        <v>4</v>
      </c>
      <c r="L761" s="31">
        <v>9681200</v>
      </c>
      <c r="M761" s="31">
        <v>0</v>
      </c>
      <c r="N761" s="31">
        <v>0</v>
      </c>
      <c r="O761" s="31">
        <v>0</v>
      </c>
      <c r="P761" s="31">
        <v>0</v>
      </c>
      <c r="Q761" s="31">
        <v>0</v>
      </c>
      <c r="R761" s="31">
        <v>0</v>
      </c>
      <c r="S761" s="31">
        <v>0</v>
      </c>
      <c r="T761" s="31">
        <v>0</v>
      </c>
      <c r="U761" s="31">
        <v>0</v>
      </c>
      <c r="V761" s="31">
        <v>0</v>
      </c>
      <c r="W761" s="31">
        <v>0</v>
      </c>
      <c r="X761" s="31">
        <v>0</v>
      </c>
      <c r="Y761" s="31">
        <v>0</v>
      </c>
      <c r="Z761" s="31">
        <v>0</v>
      </c>
      <c r="AA761" s="31">
        <v>0</v>
      </c>
      <c r="AB761" s="31">
        <v>0</v>
      </c>
      <c r="AC761" s="31">
        <f>ROUND(N761*1.5%,2)</f>
        <v>0</v>
      </c>
      <c r="AD761" s="31">
        <v>150000</v>
      </c>
      <c r="AE761" s="31">
        <v>0</v>
      </c>
      <c r="AF761" s="33">
        <v>2021</v>
      </c>
      <c r="AG761" s="33">
        <v>2021</v>
      </c>
      <c r="AH761" s="34" t="s">
        <v>268</v>
      </c>
      <c r="BZ761" s="64"/>
      <c r="CD761" s="20" t="e">
        <f t="shared" si="151"/>
        <v>#N/A</v>
      </c>
    </row>
    <row r="762" spans="1:82" ht="61.5" x14ac:dyDescent="0.85">
      <c r="A762" s="20">
        <v>1</v>
      </c>
      <c r="B762" s="60">
        <f>SUBTOTAL(103,$A$558:A762)</f>
        <v>201</v>
      </c>
      <c r="C762" s="24" t="s">
        <v>1464</v>
      </c>
      <c r="D762" s="31">
        <f t="shared" si="150"/>
        <v>9831200</v>
      </c>
      <c r="E762" s="31">
        <v>0</v>
      </c>
      <c r="F762" s="31">
        <v>0</v>
      </c>
      <c r="G762" s="31">
        <v>0</v>
      </c>
      <c r="H762" s="31">
        <v>0</v>
      </c>
      <c r="I762" s="31">
        <v>0</v>
      </c>
      <c r="J762" s="31">
        <v>0</v>
      </c>
      <c r="K762" s="67">
        <v>4</v>
      </c>
      <c r="L762" s="31">
        <v>9681200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>
        <v>0</v>
      </c>
      <c r="V762" s="31">
        <v>0</v>
      </c>
      <c r="W762" s="31">
        <v>0</v>
      </c>
      <c r="X762" s="31">
        <v>0</v>
      </c>
      <c r="Y762" s="31">
        <v>0</v>
      </c>
      <c r="Z762" s="31">
        <v>0</v>
      </c>
      <c r="AA762" s="31">
        <v>0</v>
      </c>
      <c r="AB762" s="31">
        <v>0</v>
      </c>
      <c r="AC762" s="31">
        <f>ROUND(N762*1.5%,2)</f>
        <v>0</v>
      </c>
      <c r="AD762" s="31">
        <v>150000</v>
      </c>
      <c r="AE762" s="31">
        <v>0</v>
      </c>
      <c r="AF762" s="33">
        <v>2021</v>
      </c>
      <c r="AG762" s="33">
        <v>2021</v>
      </c>
      <c r="AH762" s="34" t="s">
        <v>268</v>
      </c>
      <c r="BZ762" s="64"/>
      <c r="CD762" s="20" t="e">
        <f t="shared" si="151"/>
        <v>#N/A</v>
      </c>
    </row>
    <row r="763" spans="1:82" ht="61.5" x14ac:dyDescent="0.85">
      <c r="A763" s="20">
        <v>1</v>
      </c>
      <c r="B763" s="60">
        <f>SUBTOTAL(103,$A$558:A763)</f>
        <v>202</v>
      </c>
      <c r="C763" s="24" t="s">
        <v>2286</v>
      </c>
      <c r="D763" s="31">
        <f t="shared" si="150"/>
        <v>7373400</v>
      </c>
      <c r="E763" s="31">
        <v>0</v>
      </c>
      <c r="F763" s="31">
        <v>0</v>
      </c>
      <c r="G763" s="31">
        <v>0</v>
      </c>
      <c r="H763" s="31">
        <v>0</v>
      </c>
      <c r="I763" s="31">
        <v>0</v>
      </c>
      <c r="J763" s="31">
        <v>0</v>
      </c>
      <c r="K763" s="67">
        <v>3</v>
      </c>
      <c r="L763" s="31">
        <v>7223400</v>
      </c>
      <c r="M763" s="31">
        <v>0</v>
      </c>
      <c r="N763" s="31">
        <v>0</v>
      </c>
      <c r="O763" s="31">
        <v>0</v>
      </c>
      <c r="P763" s="31">
        <v>0</v>
      </c>
      <c r="Q763" s="31">
        <v>0</v>
      </c>
      <c r="R763" s="31">
        <v>0</v>
      </c>
      <c r="S763" s="31">
        <v>0</v>
      </c>
      <c r="T763" s="31">
        <v>0</v>
      </c>
      <c r="U763" s="31">
        <v>0</v>
      </c>
      <c r="V763" s="31">
        <v>0</v>
      </c>
      <c r="W763" s="31">
        <v>0</v>
      </c>
      <c r="X763" s="31">
        <v>0</v>
      </c>
      <c r="Y763" s="31">
        <v>0</v>
      </c>
      <c r="Z763" s="31">
        <v>0</v>
      </c>
      <c r="AA763" s="31">
        <v>0</v>
      </c>
      <c r="AB763" s="31">
        <v>0</v>
      </c>
      <c r="AC763" s="31">
        <f>ROUND(N763*1.5%,2)</f>
        <v>0</v>
      </c>
      <c r="AD763" s="31">
        <v>150000</v>
      </c>
      <c r="AE763" s="31">
        <v>0</v>
      </c>
      <c r="AF763" s="33">
        <v>2021</v>
      </c>
      <c r="AG763" s="33">
        <v>2021</v>
      </c>
      <c r="AH763" s="34" t="s">
        <v>268</v>
      </c>
      <c r="BZ763" s="64"/>
      <c r="CD763" s="20" t="e">
        <f t="shared" si="151"/>
        <v>#N/A</v>
      </c>
    </row>
    <row r="764" spans="1:82" ht="61.5" x14ac:dyDescent="0.85">
      <c r="A764" s="20">
        <v>1</v>
      </c>
      <c r="B764" s="60">
        <f>SUBTOTAL(103,$A$558:A764)</f>
        <v>203</v>
      </c>
      <c r="C764" s="24" t="s">
        <v>2325</v>
      </c>
      <c r="D764" s="31">
        <f t="shared" si="150"/>
        <v>9831200</v>
      </c>
      <c r="E764" s="31">
        <v>0</v>
      </c>
      <c r="F764" s="31">
        <v>0</v>
      </c>
      <c r="G764" s="31">
        <v>0</v>
      </c>
      <c r="H764" s="31">
        <v>0</v>
      </c>
      <c r="I764" s="31">
        <v>0</v>
      </c>
      <c r="J764" s="31">
        <v>0</v>
      </c>
      <c r="K764" s="67">
        <v>4</v>
      </c>
      <c r="L764" s="31">
        <v>9681200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0</v>
      </c>
      <c r="U764" s="31">
        <v>0</v>
      </c>
      <c r="V764" s="31">
        <v>0</v>
      </c>
      <c r="W764" s="31">
        <v>0</v>
      </c>
      <c r="X764" s="31">
        <v>0</v>
      </c>
      <c r="Y764" s="31">
        <v>0</v>
      </c>
      <c r="Z764" s="31">
        <v>0</v>
      </c>
      <c r="AA764" s="31">
        <v>0</v>
      </c>
      <c r="AB764" s="31">
        <v>0</v>
      </c>
      <c r="AC764" s="31">
        <f>ROUND(N764*1.5%,2)</f>
        <v>0</v>
      </c>
      <c r="AD764" s="31">
        <v>150000</v>
      </c>
      <c r="AE764" s="31">
        <v>0</v>
      </c>
      <c r="AF764" s="33">
        <v>2021</v>
      </c>
      <c r="AG764" s="33">
        <v>2021</v>
      </c>
      <c r="AH764" s="34" t="s">
        <v>268</v>
      </c>
      <c r="BZ764" s="64"/>
      <c r="CD764" s="20" t="e">
        <f t="shared" si="151"/>
        <v>#N/A</v>
      </c>
    </row>
    <row r="765" spans="1:82" ht="61.5" x14ac:dyDescent="0.85">
      <c r="B765" s="24" t="s">
        <v>815</v>
      </c>
      <c r="C765" s="198"/>
      <c r="D765" s="199">
        <f t="shared" ref="D765:AE765" si="152">SUM(D766:D791)</f>
        <v>107004610.82000002</v>
      </c>
      <c r="E765" s="31">
        <f t="shared" si="152"/>
        <v>0</v>
      </c>
      <c r="F765" s="31">
        <f t="shared" si="152"/>
        <v>0</v>
      </c>
      <c r="G765" s="31">
        <f t="shared" si="152"/>
        <v>667639.41</v>
      </c>
      <c r="H765" s="31">
        <f t="shared" si="152"/>
        <v>153564.57</v>
      </c>
      <c r="I765" s="31">
        <f t="shared" si="152"/>
        <v>0</v>
      </c>
      <c r="J765" s="31">
        <f t="shared" si="152"/>
        <v>0</v>
      </c>
      <c r="K765" s="69">
        <f t="shared" si="152"/>
        <v>1</v>
      </c>
      <c r="L765" s="31">
        <f t="shared" si="152"/>
        <v>1806134.26</v>
      </c>
      <c r="M765" s="31">
        <f t="shared" si="152"/>
        <v>15177.359999999999</v>
      </c>
      <c r="N765" s="31">
        <f t="shared" si="152"/>
        <v>74497905.700000018</v>
      </c>
      <c r="O765" s="31">
        <f t="shared" si="152"/>
        <v>0</v>
      </c>
      <c r="P765" s="31">
        <f t="shared" si="152"/>
        <v>0</v>
      </c>
      <c r="Q765" s="31">
        <f t="shared" si="152"/>
        <v>2448</v>
      </c>
      <c r="R765" s="31">
        <f t="shared" si="152"/>
        <v>12099320.48</v>
      </c>
      <c r="S765" s="31">
        <f t="shared" si="152"/>
        <v>365.8</v>
      </c>
      <c r="T765" s="31">
        <f t="shared" si="152"/>
        <v>5931913.29</v>
      </c>
      <c r="U765" s="31">
        <f t="shared" si="152"/>
        <v>8019245.6799999997</v>
      </c>
      <c r="V765" s="31">
        <f t="shared" si="152"/>
        <v>0</v>
      </c>
      <c r="W765" s="31">
        <f t="shared" si="152"/>
        <v>0</v>
      </c>
      <c r="X765" s="31">
        <f t="shared" si="152"/>
        <v>0</v>
      </c>
      <c r="Y765" s="31">
        <f t="shared" si="152"/>
        <v>0</v>
      </c>
      <c r="Z765" s="31">
        <f t="shared" si="152"/>
        <v>0</v>
      </c>
      <c r="AA765" s="31">
        <f t="shared" si="152"/>
        <v>0</v>
      </c>
      <c r="AB765" s="31">
        <f t="shared" si="152"/>
        <v>0</v>
      </c>
      <c r="AC765" s="31">
        <f t="shared" si="152"/>
        <v>1520543.85</v>
      </c>
      <c r="AD765" s="31">
        <f t="shared" si="152"/>
        <v>2188343.58</v>
      </c>
      <c r="AE765" s="31">
        <f t="shared" si="152"/>
        <v>120000</v>
      </c>
      <c r="AF765" s="65" t="s">
        <v>751</v>
      </c>
      <c r="AG765" s="65" t="s">
        <v>751</v>
      </c>
      <c r="AH765" s="79" t="s">
        <v>751</v>
      </c>
      <c r="AT765" s="20" t="e">
        <f t="shared" ref="AT765:AT777" si="153">VLOOKUP(C765,AW:AX,2,FALSE)</f>
        <v>#N/A</v>
      </c>
      <c r="BZ765" s="64">
        <v>55019080.369999997</v>
      </c>
      <c r="CB765" s="64">
        <f>BZ765-D765</f>
        <v>-51985530.450000025</v>
      </c>
      <c r="CD765" s="20" t="e">
        <f t="shared" si="151"/>
        <v>#N/A</v>
      </c>
    </row>
    <row r="766" spans="1:82" ht="61.5" x14ac:dyDescent="0.85">
      <c r="A766" s="20">
        <v>1</v>
      </c>
      <c r="B766" s="60">
        <f>SUBTOTAL(103,$A$558:A766)</f>
        <v>204</v>
      </c>
      <c r="C766" s="24" t="s">
        <v>610</v>
      </c>
      <c r="D766" s="31">
        <f t="shared" ref="D766:D777" si="154">E766+F766+G766+H766+I766+J766+L766+N766+P766+R766+T766+U766+V766+W766+X766+Y766+Z766+AA766+AB766+AC766+AD766+AE766</f>
        <v>4305622.5199999996</v>
      </c>
      <c r="E766" s="35">
        <v>0</v>
      </c>
      <c r="F766" s="35">
        <v>0</v>
      </c>
      <c r="G766" s="35">
        <v>0</v>
      </c>
      <c r="H766" s="35">
        <v>0</v>
      </c>
      <c r="I766" s="35">
        <v>0</v>
      </c>
      <c r="J766" s="35">
        <v>0</v>
      </c>
      <c r="K766" s="67">
        <v>0</v>
      </c>
      <c r="L766" s="31">
        <v>0</v>
      </c>
      <c r="M766" s="31">
        <v>773</v>
      </c>
      <c r="N766" s="31">
        <v>4123973.4</v>
      </c>
      <c r="O766" s="31">
        <v>0</v>
      </c>
      <c r="P766" s="31">
        <v>0</v>
      </c>
      <c r="Q766" s="31">
        <v>0</v>
      </c>
      <c r="R766" s="31">
        <v>0</v>
      </c>
      <c r="S766" s="31">
        <v>0</v>
      </c>
      <c r="T766" s="31">
        <v>0</v>
      </c>
      <c r="U766" s="31">
        <v>0</v>
      </c>
      <c r="V766" s="31">
        <v>0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0</v>
      </c>
      <c r="AC766" s="31">
        <f t="shared" ref="AC766:AC774" si="155">ROUND(N766*1.5%,2)</f>
        <v>61859.6</v>
      </c>
      <c r="AD766" s="86">
        <v>119789.52</v>
      </c>
      <c r="AE766" s="31">
        <v>0</v>
      </c>
      <c r="AF766" s="33">
        <v>2021</v>
      </c>
      <c r="AG766" s="33">
        <v>2021</v>
      </c>
      <c r="AH766" s="34">
        <v>2021</v>
      </c>
      <c r="AT766" s="20" t="e">
        <f t="shared" si="153"/>
        <v>#N/A</v>
      </c>
      <c r="BZ766" s="64"/>
      <c r="CD766" s="20" t="e">
        <f t="shared" si="151"/>
        <v>#N/A</v>
      </c>
    </row>
    <row r="767" spans="1:82" ht="61.5" x14ac:dyDescent="0.85">
      <c r="A767" s="20">
        <v>1</v>
      </c>
      <c r="B767" s="60">
        <f>SUBTOTAL(103,$A$558:A767)</f>
        <v>205</v>
      </c>
      <c r="C767" s="24" t="s">
        <v>611</v>
      </c>
      <c r="D767" s="31">
        <f t="shared" si="154"/>
        <v>5849319.5699999994</v>
      </c>
      <c r="E767" s="35">
        <v>0</v>
      </c>
      <c r="F767" s="35">
        <v>0</v>
      </c>
      <c r="G767" s="35">
        <v>0</v>
      </c>
      <c r="H767" s="35">
        <v>0</v>
      </c>
      <c r="I767" s="35">
        <v>0</v>
      </c>
      <c r="J767" s="35">
        <v>0</v>
      </c>
      <c r="K767" s="67">
        <v>0</v>
      </c>
      <c r="L767" s="31">
        <v>0</v>
      </c>
      <c r="M767" s="31">
        <v>1050</v>
      </c>
      <c r="N767" s="31">
        <v>5644811.9699999997</v>
      </c>
      <c r="O767" s="31">
        <v>0</v>
      </c>
      <c r="P767" s="31">
        <v>0</v>
      </c>
      <c r="Q767" s="31">
        <v>0</v>
      </c>
      <c r="R767" s="31">
        <v>0</v>
      </c>
      <c r="S767" s="31">
        <v>0</v>
      </c>
      <c r="T767" s="31">
        <v>0</v>
      </c>
      <c r="U767" s="31">
        <v>0</v>
      </c>
      <c r="V767" s="31">
        <v>0</v>
      </c>
      <c r="W767" s="31">
        <v>0</v>
      </c>
      <c r="X767" s="31">
        <v>0</v>
      </c>
      <c r="Y767" s="31">
        <v>0</v>
      </c>
      <c r="Z767" s="31">
        <v>0</v>
      </c>
      <c r="AA767" s="31">
        <v>0</v>
      </c>
      <c r="AB767" s="31">
        <v>0</v>
      </c>
      <c r="AC767" s="31">
        <f t="shared" si="155"/>
        <v>84672.18</v>
      </c>
      <c r="AD767" s="86">
        <v>119835.42</v>
      </c>
      <c r="AE767" s="31">
        <v>0</v>
      </c>
      <c r="AF767" s="33">
        <v>2021</v>
      </c>
      <c r="AG767" s="33">
        <v>2021</v>
      </c>
      <c r="AH767" s="34">
        <v>2021</v>
      </c>
      <c r="AT767" s="20" t="e">
        <f t="shared" si="153"/>
        <v>#N/A</v>
      </c>
      <c r="BZ767" s="64"/>
      <c r="CD767" s="20" t="e">
        <f t="shared" si="151"/>
        <v>#N/A</v>
      </c>
    </row>
    <row r="768" spans="1:82" ht="61.5" x14ac:dyDescent="0.85">
      <c r="A768" s="20">
        <v>1</v>
      </c>
      <c r="B768" s="60">
        <f>SUBTOTAL(103,$A$558:A768)</f>
        <v>206</v>
      </c>
      <c r="C768" s="24" t="s">
        <v>612</v>
      </c>
      <c r="D768" s="31">
        <f t="shared" si="154"/>
        <v>4691039.5599999996</v>
      </c>
      <c r="E768" s="35">
        <v>0</v>
      </c>
      <c r="F768" s="35">
        <v>0</v>
      </c>
      <c r="G768" s="35">
        <v>0</v>
      </c>
      <c r="H768" s="35">
        <v>0</v>
      </c>
      <c r="I768" s="35">
        <v>0</v>
      </c>
      <c r="J768" s="35">
        <v>0</v>
      </c>
      <c r="K768" s="67">
        <v>0</v>
      </c>
      <c r="L768" s="31">
        <v>0</v>
      </c>
      <c r="M768" s="31">
        <v>945</v>
      </c>
      <c r="N768" s="31">
        <v>4503665.0199999996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31">
        <v>0</v>
      </c>
      <c r="Y768" s="31">
        <v>0</v>
      </c>
      <c r="Z768" s="31">
        <v>0</v>
      </c>
      <c r="AA768" s="31">
        <v>0</v>
      </c>
      <c r="AB768" s="31">
        <v>0</v>
      </c>
      <c r="AC768" s="31">
        <f t="shared" si="155"/>
        <v>67554.98</v>
      </c>
      <c r="AD768" s="86">
        <v>119819.56</v>
      </c>
      <c r="AE768" s="31">
        <v>0</v>
      </c>
      <c r="AF768" s="33">
        <v>2021</v>
      </c>
      <c r="AG768" s="33">
        <v>2021</v>
      </c>
      <c r="AH768" s="34">
        <v>2021</v>
      </c>
      <c r="AT768" s="20" t="e">
        <f t="shared" si="153"/>
        <v>#N/A</v>
      </c>
      <c r="BZ768" s="64"/>
      <c r="CD768" s="20" t="e">
        <f t="shared" si="151"/>
        <v>#N/A</v>
      </c>
    </row>
    <row r="769" spans="1:82" ht="61.5" x14ac:dyDescent="0.85">
      <c r="A769" s="20">
        <v>1</v>
      </c>
      <c r="B769" s="60">
        <f>SUBTOTAL(103,$A$558:A769)</f>
        <v>207</v>
      </c>
      <c r="C769" s="24" t="s">
        <v>616</v>
      </c>
      <c r="D769" s="31">
        <f t="shared" si="154"/>
        <v>3307936.78</v>
      </c>
      <c r="E769" s="35">
        <v>0</v>
      </c>
      <c r="F769" s="35">
        <v>0</v>
      </c>
      <c r="G769" s="35">
        <v>0</v>
      </c>
      <c r="H769" s="35">
        <v>0</v>
      </c>
      <c r="I769" s="35">
        <v>0</v>
      </c>
      <c r="J769" s="35">
        <v>0</v>
      </c>
      <c r="K769" s="67">
        <v>0</v>
      </c>
      <c r="L769" s="31">
        <v>0</v>
      </c>
      <c r="M769" s="31">
        <v>650</v>
      </c>
      <c r="N769" s="31">
        <v>3195714.29</v>
      </c>
      <c r="O769" s="31">
        <v>0</v>
      </c>
      <c r="P769" s="31">
        <v>0</v>
      </c>
      <c r="Q769" s="31">
        <v>0</v>
      </c>
      <c r="R769" s="31">
        <v>0</v>
      </c>
      <c r="S769" s="31">
        <v>0</v>
      </c>
      <c r="T769" s="31">
        <v>0</v>
      </c>
      <c r="U769" s="31">
        <v>0</v>
      </c>
      <c r="V769" s="31">
        <v>0</v>
      </c>
      <c r="W769" s="31">
        <v>0</v>
      </c>
      <c r="X769" s="31">
        <v>0</v>
      </c>
      <c r="Y769" s="31">
        <v>0</v>
      </c>
      <c r="Z769" s="31">
        <v>0</v>
      </c>
      <c r="AA769" s="31">
        <v>0</v>
      </c>
      <c r="AB769" s="31">
        <v>0</v>
      </c>
      <c r="AC769" s="31">
        <f t="shared" si="155"/>
        <v>47935.71</v>
      </c>
      <c r="AD769" s="86">
        <v>64286.78</v>
      </c>
      <c r="AE769" s="31">
        <v>0</v>
      </c>
      <c r="AF769" s="33">
        <v>2021</v>
      </c>
      <c r="AG769" s="33">
        <v>2021</v>
      </c>
      <c r="AH769" s="34">
        <v>2021</v>
      </c>
      <c r="AT769" s="20">
        <f t="shared" si="153"/>
        <v>1</v>
      </c>
      <c r="BZ769" s="64"/>
      <c r="CD769" s="20" t="e">
        <f t="shared" si="151"/>
        <v>#N/A</v>
      </c>
    </row>
    <row r="770" spans="1:82" ht="61.5" x14ac:dyDescent="0.85">
      <c r="A770" s="20">
        <v>1</v>
      </c>
      <c r="B770" s="60">
        <f>SUBTOTAL(103,$A$558:A770)</f>
        <v>208</v>
      </c>
      <c r="C770" s="24" t="s">
        <v>617</v>
      </c>
      <c r="D770" s="31">
        <f t="shared" si="154"/>
        <v>5135695.41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67">
        <v>0</v>
      </c>
      <c r="L770" s="31">
        <v>0</v>
      </c>
      <c r="M770" s="31">
        <v>1040</v>
      </c>
      <c r="N770" s="31">
        <v>4941714.29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0</v>
      </c>
      <c r="AA770" s="31">
        <v>0</v>
      </c>
      <c r="AB770" s="31">
        <v>0</v>
      </c>
      <c r="AC770" s="31">
        <f t="shared" si="155"/>
        <v>74125.710000000006</v>
      </c>
      <c r="AD770" s="86">
        <v>119855.41</v>
      </c>
      <c r="AE770" s="31">
        <v>0</v>
      </c>
      <c r="AF770" s="33">
        <v>2021</v>
      </c>
      <c r="AG770" s="33">
        <v>2021</v>
      </c>
      <c r="AH770" s="34">
        <v>2021</v>
      </c>
      <c r="AT770" s="20" t="e">
        <f t="shared" si="153"/>
        <v>#N/A</v>
      </c>
      <c r="BZ770" s="64"/>
      <c r="CD770" s="20" t="e">
        <f t="shared" si="151"/>
        <v>#N/A</v>
      </c>
    </row>
    <row r="771" spans="1:82" ht="61.5" x14ac:dyDescent="0.85">
      <c r="A771" s="20">
        <v>1</v>
      </c>
      <c r="B771" s="60">
        <f>SUBTOTAL(103,$A$558:A771)</f>
        <v>209</v>
      </c>
      <c r="C771" s="24" t="s">
        <v>615</v>
      </c>
      <c r="D771" s="31">
        <f t="shared" si="154"/>
        <v>4861949.2</v>
      </c>
      <c r="E771" s="35">
        <v>0</v>
      </c>
      <c r="F771" s="35">
        <v>0</v>
      </c>
      <c r="G771" s="35">
        <v>0</v>
      </c>
      <c r="H771" s="35">
        <v>0</v>
      </c>
      <c r="I771" s="35">
        <v>0</v>
      </c>
      <c r="J771" s="35">
        <v>0</v>
      </c>
      <c r="K771" s="67">
        <v>0</v>
      </c>
      <c r="L771" s="31">
        <v>0</v>
      </c>
      <c r="M771" s="31">
        <v>937</v>
      </c>
      <c r="N771" s="31">
        <v>4671997.04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0</v>
      </c>
      <c r="W771" s="31">
        <v>0</v>
      </c>
      <c r="X771" s="31">
        <v>0</v>
      </c>
      <c r="Y771" s="31">
        <v>0</v>
      </c>
      <c r="Z771" s="31">
        <v>0</v>
      </c>
      <c r="AA771" s="31">
        <v>0</v>
      </c>
      <c r="AB771" s="31">
        <v>0</v>
      </c>
      <c r="AC771" s="31">
        <f t="shared" si="155"/>
        <v>70079.960000000006</v>
      </c>
      <c r="AD771" s="86">
        <v>119872.2</v>
      </c>
      <c r="AE771" s="31">
        <v>0</v>
      </c>
      <c r="AF771" s="33">
        <v>2021</v>
      </c>
      <c r="AG771" s="33">
        <v>2021</v>
      </c>
      <c r="AH771" s="34">
        <v>2021</v>
      </c>
      <c r="AT771" s="20">
        <f t="shared" si="153"/>
        <v>1</v>
      </c>
      <c r="BZ771" s="64"/>
      <c r="CD771" s="20" t="e">
        <f t="shared" si="151"/>
        <v>#N/A</v>
      </c>
    </row>
    <row r="772" spans="1:82" ht="61.5" x14ac:dyDescent="0.85">
      <c r="A772" s="20">
        <v>1</v>
      </c>
      <c r="B772" s="60">
        <f>SUBTOTAL(103,$A$558:A772)</f>
        <v>210</v>
      </c>
      <c r="C772" s="24" t="s">
        <v>607</v>
      </c>
      <c r="D772" s="31">
        <f t="shared" si="154"/>
        <v>2852459.42</v>
      </c>
      <c r="E772" s="35">
        <v>0</v>
      </c>
      <c r="F772" s="35">
        <v>0</v>
      </c>
      <c r="G772" s="35">
        <v>0</v>
      </c>
      <c r="H772" s="35">
        <v>0</v>
      </c>
      <c r="I772" s="35">
        <v>0</v>
      </c>
      <c r="J772" s="35">
        <v>0</v>
      </c>
      <c r="K772" s="67">
        <v>0</v>
      </c>
      <c r="L772" s="31">
        <v>0</v>
      </c>
      <c r="M772" s="31">
        <v>559.6</v>
      </c>
      <c r="N772" s="31">
        <v>2730710.94</v>
      </c>
      <c r="O772" s="31">
        <v>0</v>
      </c>
      <c r="P772" s="31">
        <v>0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31">
        <v>0</v>
      </c>
      <c r="Y772" s="31">
        <v>0</v>
      </c>
      <c r="Z772" s="31">
        <v>0</v>
      </c>
      <c r="AA772" s="31">
        <v>0</v>
      </c>
      <c r="AB772" s="31">
        <v>0</v>
      </c>
      <c r="AC772" s="31">
        <f t="shared" si="155"/>
        <v>40960.660000000003</v>
      </c>
      <c r="AD772" s="86">
        <v>80787.820000000007</v>
      </c>
      <c r="AE772" s="31">
        <v>0</v>
      </c>
      <c r="AF772" s="33">
        <v>2021</v>
      </c>
      <c r="AG772" s="33">
        <v>2021</v>
      </c>
      <c r="AH772" s="34">
        <v>2021</v>
      </c>
      <c r="AT772" s="20" t="e">
        <f t="shared" si="153"/>
        <v>#N/A</v>
      </c>
      <c r="BZ772" s="64"/>
      <c r="CD772" s="20" t="e">
        <f t="shared" si="151"/>
        <v>#N/A</v>
      </c>
    </row>
    <row r="773" spans="1:82" ht="61.5" x14ac:dyDescent="0.85">
      <c r="A773" s="20">
        <v>1</v>
      </c>
      <c r="B773" s="60">
        <f>SUBTOTAL(103,$A$558:A773)</f>
        <v>211</v>
      </c>
      <c r="C773" s="24" t="s">
        <v>621</v>
      </c>
      <c r="D773" s="31">
        <f t="shared" si="154"/>
        <v>4893264.82</v>
      </c>
      <c r="E773" s="35">
        <v>0</v>
      </c>
      <c r="F773" s="35">
        <v>0</v>
      </c>
      <c r="G773" s="35">
        <v>0</v>
      </c>
      <c r="H773" s="35">
        <v>0</v>
      </c>
      <c r="I773" s="35">
        <v>0</v>
      </c>
      <c r="J773" s="35">
        <v>0</v>
      </c>
      <c r="K773" s="67">
        <v>0</v>
      </c>
      <c r="L773" s="31">
        <v>0</v>
      </c>
      <c r="M773" s="31">
        <v>943</v>
      </c>
      <c r="N773" s="31">
        <v>4702860.0999999996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0</v>
      </c>
      <c r="U773" s="31">
        <v>0</v>
      </c>
      <c r="V773" s="31">
        <v>0</v>
      </c>
      <c r="W773" s="31">
        <v>0</v>
      </c>
      <c r="X773" s="31">
        <v>0</v>
      </c>
      <c r="Y773" s="31">
        <v>0</v>
      </c>
      <c r="Z773" s="31">
        <v>0</v>
      </c>
      <c r="AA773" s="31">
        <v>0</v>
      </c>
      <c r="AB773" s="31">
        <v>0</v>
      </c>
      <c r="AC773" s="31">
        <f t="shared" si="155"/>
        <v>70542.899999999994</v>
      </c>
      <c r="AD773" s="86">
        <v>119861.82</v>
      </c>
      <c r="AE773" s="31">
        <v>0</v>
      </c>
      <c r="AF773" s="33">
        <v>2021</v>
      </c>
      <c r="AG773" s="33">
        <v>2021</v>
      </c>
      <c r="AH773" s="34">
        <v>2021</v>
      </c>
      <c r="AT773" s="20" t="e">
        <f t="shared" si="153"/>
        <v>#N/A</v>
      </c>
      <c r="BZ773" s="64"/>
      <c r="CD773" s="20" t="e">
        <f t="shared" si="151"/>
        <v>#N/A</v>
      </c>
    </row>
    <row r="774" spans="1:82" ht="61.5" x14ac:dyDescent="0.85">
      <c r="A774" s="20">
        <v>1</v>
      </c>
      <c r="B774" s="60">
        <f>SUBTOTAL(103,$A$558:A774)</f>
        <v>212</v>
      </c>
      <c r="C774" s="24" t="s">
        <v>620</v>
      </c>
      <c r="D774" s="31">
        <f t="shared" si="154"/>
        <v>2680854.0299999998</v>
      </c>
      <c r="E774" s="35">
        <v>0</v>
      </c>
      <c r="F774" s="35">
        <v>0</v>
      </c>
      <c r="G774" s="35">
        <v>0</v>
      </c>
      <c r="H774" s="35">
        <v>0</v>
      </c>
      <c r="I774" s="35">
        <v>0</v>
      </c>
      <c r="J774" s="35">
        <v>0</v>
      </c>
      <c r="K774" s="67">
        <v>0</v>
      </c>
      <c r="L774" s="31">
        <v>0</v>
      </c>
      <c r="M774" s="31">
        <v>530</v>
      </c>
      <c r="N774" s="31">
        <v>2578453.2000000002</v>
      </c>
      <c r="O774" s="31">
        <v>0</v>
      </c>
      <c r="P774" s="31">
        <v>0</v>
      </c>
      <c r="Q774" s="31">
        <v>0</v>
      </c>
      <c r="R774" s="31">
        <v>0</v>
      </c>
      <c r="S774" s="31">
        <v>0</v>
      </c>
      <c r="T774" s="31">
        <v>0</v>
      </c>
      <c r="U774" s="31">
        <v>0</v>
      </c>
      <c r="V774" s="31">
        <v>0</v>
      </c>
      <c r="W774" s="31">
        <v>0</v>
      </c>
      <c r="X774" s="31">
        <v>0</v>
      </c>
      <c r="Y774" s="31">
        <v>0</v>
      </c>
      <c r="Z774" s="31">
        <v>0</v>
      </c>
      <c r="AA774" s="31">
        <v>0</v>
      </c>
      <c r="AB774" s="31">
        <v>0</v>
      </c>
      <c r="AC774" s="31">
        <f t="shared" si="155"/>
        <v>38676.800000000003</v>
      </c>
      <c r="AD774" s="86">
        <v>63724.03</v>
      </c>
      <c r="AE774" s="31">
        <v>0</v>
      </c>
      <c r="AF774" s="33">
        <v>2021</v>
      </c>
      <c r="AG774" s="33">
        <v>2021</v>
      </c>
      <c r="AH774" s="34">
        <v>2021</v>
      </c>
      <c r="AT774" s="20" t="e">
        <f t="shared" si="153"/>
        <v>#N/A</v>
      </c>
      <c r="BZ774" s="64"/>
      <c r="CD774" s="20" t="e">
        <f t="shared" si="151"/>
        <v>#N/A</v>
      </c>
    </row>
    <row r="775" spans="1:82" ht="61.5" x14ac:dyDescent="0.85">
      <c r="A775" s="20">
        <v>1</v>
      </c>
      <c r="B775" s="60">
        <f>SUBTOTAL(103,$A$558:A775)</f>
        <v>213</v>
      </c>
      <c r="C775" s="24" t="s">
        <v>625</v>
      </c>
      <c r="D775" s="31">
        <f t="shared" si="154"/>
        <v>1806134.26</v>
      </c>
      <c r="E775" s="35">
        <v>0</v>
      </c>
      <c r="F775" s="35">
        <v>0</v>
      </c>
      <c r="G775" s="35">
        <v>0</v>
      </c>
      <c r="H775" s="35">
        <v>0</v>
      </c>
      <c r="I775" s="35">
        <v>0</v>
      </c>
      <c r="J775" s="35">
        <v>0</v>
      </c>
      <c r="K775" s="67">
        <v>1</v>
      </c>
      <c r="L775" s="31">
        <v>1806134.26</v>
      </c>
      <c r="M775" s="31">
        <v>0</v>
      </c>
      <c r="N775" s="31">
        <v>0</v>
      </c>
      <c r="O775" s="31">
        <v>0</v>
      </c>
      <c r="P775" s="31">
        <v>0</v>
      </c>
      <c r="Q775" s="31">
        <v>0</v>
      </c>
      <c r="R775" s="31">
        <v>0</v>
      </c>
      <c r="S775" s="31">
        <v>0</v>
      </c>
      <c r="T775" s="31">
        <v>0</v>
      </c>
      <c r="U775" s="31">
        <v>0</v>
      </c>
      <c r="V775" s="31">
        <v>0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3" t="s">
        <v>268</v>
      </c>
      <c r="AG775" s="33">
        <v>2021</v>
      </c>
      <c r="AH775" s="34" t="s">
        <v>268</v>
      </c>
      <c r="AT775" s="20" t="e">
        <f t="shared" si="153"/>
        <v>#N/A</v>
      </c>
      <c r="BZ775" s="64"/>
      <c r="CD775" s="20" t="e">
        <f t="shared" si="151"/>
        <v>#N/A</v>
      </c>
    </row>
    <row r="776" spans="1:82" ht="61.5" x14ac:dyDescent="0.85">
      <c r="A776" s="20">
        <v>1</v>
      </c>
      <c r="B776" s="60">
        <f>SUBTOTAL(103,$A$558:A776)</f>
        <v>214</v>
      </c>
      <c r="C776" s="24" t="s">
        <v>632</v>
      </c>
      <c r="D776" s="31">
        <f t="shared" si="154"/>
        <v>5435521.2799999993</v>
      </c>
      <c r="E776" s="35">
        <v>0</v>
      </c>
      <c r="F776" s="35">
        <v>0</v>
      </c>
      <c r="G776" s="35">
        <v>0</v>
      </c>
      <c r="H776" s="35">
        <v>0</v>
      </c>
      <c r="I776" s="35">
        <v>0</v>
      </c>
      <c r="J776" s="35">
        <v>0</v>
      </c>
      <c r="K776" s="67">
        <v>0</v>
      </c>
      <c r="L776" s="31">
        <v>0</v>
      </c>
      <c r="M776" s="31">
        <v>1100</v>
      </c>
      <c r="N776" s="31">
        <v>5237044.34</v>
      </c>
      <c r="O776" s="31">
        <v>0</v>
      </c>
      <c r="P776" s="31">
        <v>0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1">
        <v>0</v>
      </c>
      <c r="X776" s="31">
        <v>0</v>
      </c>
      <c r="Y776" s="31">
        <v>0</v>
      </c>
      <c r="Z776" s="31">
        <v>0</v>
      </c>
      <c r="AA776" s="31">
        <v>0</v>
      </c>
      <c r="AB776" s="31">
        <v>0</v>
      </c>
      <c r="AC776" s="31">
        <f t="shared" ref="AC776:AC782" si="156">ROUND(N776*1.5%,2)</f>
        <v>78555.67</v>
      </c>
      <c r="AD776" s="86">
        <v>119921.27</v>
      </c>
      <c r="AE776" s="31">
        <v>0</v>
      </c>
      <c r="AF776" s="33">
        <v>2021</v>
      </c>
      <c r="AG776" s="33">
        <v>2021</v>
      </c>
      <c r="AH776" s="34">
        <v>2021</v>
      </c>
      <c r="AT776" s="20" t="e">
        <f t="shared" si="153"/>
        <v>#N/A</v>
      </c>
      <c r="BZ776" s="64"/>
      <c r="CD776" s="20" t="e">
        <f t="shared" si="151"/>
        <v>#N/A</v>
      </c>
    </row>
    <row r="777" spans="1:82" ht="61.5" x14ac:dyDescent="0.85">
      <c r="A777" s="20">
        <v>1</v>
      </c>
      <c r="B777" s="60">
        <f>SUBTOTAL(103,$A$558:A777)</f>
        <v>215</v>
      </c>
      <c r="C777" s="24" t="s">
        <v>623</v>
      </c>
      <c r="D777" s="31">
        <f t="shared" si="154"/>
        <v>4333883.8899999997</v>
      </c>
      <c r="E777" s="35">
        <v>0</v>
      </c>
      <c r="F777" s="35">
        <v>0</v>
      </c>
      <c r="G777" s="35">
        <v>0</v>
      </c>
      <c r="H777" s="35">
        <v>0</v>
      </c>
      <c r="I777" s="35">
        <v>0</v>
      </c>
      <c r="J777" s="35">
        <v>0</v>
      </c>
      <c r="K777" s="67">
        <v>0</v>
      </c>
      <c r="L777" s="31">
        <v>0</v>
      </c>
      <c r="M777" s="31">
        <v>873.5</v>
      </c>
      <c r="N777" s="31">
        <v>4151730.05</v>
      </c>
      <c r="O777" s="31">
        <v>0</v>
      </c>
      <c r="P777" s="31">
        <v>0</v>
      </c>
      <c r="Q777" s="31">
        <v>0</v>
      </c>
      <c r="R777" s="31">
        <v>0</v>
      </c>
      <c r="S777" s="31">
        <v>0</v>
      </c>
      <c r="T777" s="31">
        <v>0</v>
      </c>
      <c r="U777" s="31">
        <v>0</v>
      </c>
      <c r="V777" s="31">
        <v>0</v>
      </c>
      <c r="W777" s="31">
        <v>0</v>
      </c>
      <c r="X777" s="31">
        <v>0</v>
      </c>
      <c r="Y777" s="31">
        <v>0</v>
      </c>
      <c r="Z777" s="31">
        <v>0</v>
      </c>
      <c r="AA777" s="31">
        <v>0</v>
      </c>
      <c r="AB777" s="31">
        <v>0</v>
      </c>
      <c r="AC777" s="31">
        <f t="shared" si="156"/>
        <v>62275.95</v>
      </c>
      <c r="AD777" s="86">
        <v>119877.89</v>
      </c>
      <c r="AE777" s="31">
        <v>0</v>
      </c>
      <c r="AF777" s="33">
        <v>2021</v>
      </c>
      <c r="AG777" s="33">
        <v>2021</v>
      </c>
      <c r="AH777" s="34">
        <v>2021</v>
      </c>
      <c r="AT777" s="20" t="e">
        <f t="shared" si="153"/>
        <v>#N/A</v>
      </c>
      <c r="BZ777" s="64"/>
      <c r="CD777" s="20" t="e">
        <f t="shared" si="151"/>
        <v>#N/A</v>
      </c>
    </row>
    <row r="778" spans="1:82" ht="61.5" x14ac:dyDescent="0.85">
      <c r="A778" s="20">
        <v>1</v>
      </c>
      <c r="B778" s="60">
        <f>SUBTOTAL(103,$A$558:A778)</f>
        <v>216</v>
      </c>
      <c r="C778" s="24" t="s">
        <v>1593</v>
      </c>
      <c r="D778" s="31">
        <f>E778+F778+G778+H778+I778+J778+L778+N778+P778+R778+T778+U778+V778+W778+X778+Y778+Z778+AA778+AB778+AC778+AD778+AE778</f>
        <v>3806073.8200000003</v>
      </c>
      <c r="E778" s="31">
        <v>0</v>
      </c>
      <c r="F778" s="31">
        <v>0</v>
      </c>
      <c r="G778" s="31">
        <v>0</v>
      </c>
      <c r="H778" s="31">
        <v>0</v>
      </c>
      <c r="I778" s="31">
        <v>0</v>
      </c>
      <c r="J778" s="31">
        <v>0</v>
      </c>
      <c r="K778" s="67">
        <v>0</v>
      </c>
      <c r="L778" s="31">
        <v>0</v>
      </c>
      <c r="M778" s="31">
        <v>766</v>
      </c>
      <c r="N778" s="31">
        <f>3812708.18-206610.58+59776.89</f>
        <v>3665874.49</v>
      </c>
      <c r="O778" s="31">
        <v>0</v>
      </c>
      <c r="P778" s="31">
        <v>0</v>
      </c>
      <c r="Q778" s="31">
        <v>0</v>
      </c>
      <c r="R778" s="31">
        <v>0</v>
      </c>
      <c r="S778" s="31">
        <v>0</v>
      </c>
      <c r="T778" s="31">
        <v>0</v>
      </c>
      <c r="U778" s="31">
        <v>0</v>
      </c>
      <c r="V778" s="31">
        <v>0</v>
      </c>
      <c r="W778" s="31">
        <v>0</v>
      </c>
      <c r="X778" s="31">
        <v>0</v>
      </c>
      <c r="Y778" s="31">
        <v>0</v>
      </c>
      <c r="Z778" s="31">
        <v>0</v>
      </c>
      <c r="AA778" s="31">
        <v>0</v>
      </c>
      <c r="AB778" s="31">
        <v>0</v>
      </c>
      <c r="AC778" s="31">
        <f t="shared" si="156"/>
        <v>54988.12</v>
      </c>
      <c r="AD778" s="86">
        <v>85211.21</v>
      </c>
      <c r="AE778" s="31">
        <v>0</v>
      </c>
      <c r="AF778" s="33">
        <v>2021</v>
      </c>
      <c r="AG778" s="33">
        <v>2021</v>
      </c>
      <c r="AH778" s="34">
        <v>2021</v>
      </c>
      <c r="BZ778" s="64"/>
      <c r="CD778" s="20" t="e">
        <f t="shared" si="151"/>
        <v>#N/A</v>
      </c>
    </row>
    <row r="779" spans="1:82" ht="61.5" x14ac:dyDescent="0.85">
      <c r="A779" s="20">
        <v>1</v>
      </c>
      <c r="B779" s="60">
        <f>SUBTOTAL(103,$A$558:A779)</f>
        <v>217</v>
      </c>
      <c r="C779" s="24" t="s">
        <v>1616</v>
      </c>
      <c r="D779" s="31">
        <f>E779+F779+G779+H779+I779+J779+L779+N779+P779+R779+T779+U779+V779+W779+X779+Y779+Z779+AA779+AB779+AC779+AD779+AE779</f>
        <v>2693070.98</v>
      </c>
      <c r="E779" s="31">
        <v>0</v>
      </c>
      <c r="F779" s="31">
        <v>0</v>
      </c>
      <c r="G779" s="31">
        <v>0</v>
      </c>
      <c r="H779" s="31">
        <v>0</v>
      </c>
      <c r="I779" s="31">
        <v>0</v>
      </c>
      <c r="J779" s="31">
        <v>0</v>
      </c>
      <c r="K779" s="67">
        <v>0</v>
      </c>
      <c r="L779" s="31">
        <v>0</v>
      </c>
      <c r="M779" s="31">
        <v>729.73</v>
      </c>
      <c r="N779" s="31">
        <v>2554919.06</v>
      </c>
      <c r="O779" s="31">
        <v>0</v>
      </c>
      <c r="P779" s="31">
        <v>0</v>
      </c>
      <c r="Q779" s="31">
        <v>0</v>
      </c>
      <c r="R779" s="31">
        <v>0</v>
      </c>
      <c r="S779" s="31">
        <v>0</v>
      </c>
      <c r="T779" s="31">
        <v>0</v>
      </c>
      <c r="U779" s="31">
        <v>0</v>
      </c>
      <c r="V779" s="31">
        <v>0</v>
      </c>
      <c r="W779" s="31">
        <v>0</v>
      </c>
      <c r="X779" s="31">
        <v>0</v>
      </c>
      <c r="Y779" s="31">
        <v>0</v>
      </c>
      <c r="Z779" s="31">
        <v>0</v>
      </c>
      <c r="AA779" s="31">
        <v>0</v>
      </c>
      <c r="AB779" s="31">
        <v>0</v>
      </c>
      <c r="AC779" s="31">
        <f t="shared" si="156"/>
        <v>38323.79</v>
      </c>
      <c r="AD779" s="86">
        <v>99828.13</v>
      </c>
      <c r="AE779" s="31">
        <v>0</v>
      </c>
      <c r="AF779" s="33">
        <v>2021</v>
      </c>
      <c r="AG779" s="33">
        <v>2021</v>
      </c>
      <c r="AH779" s="34">
        <v>2021</v>
      </c>
      <c r="BZ779" s="64"/>
      <c r="CD779" s="20" t="e">
        <f t="shared" si="151"/>
        <v>#N/A</v>
      </c>
    </row>
    <row r="780" spans="1:82" ht="61.5" x14ac:dyDescent="0.85">
      <c r="A780" s="20">
        <v>1</v>
      </c>
      <c r="B780" s="60">
        <f>SUBTOTAL(103,$A$558:A780)</f>
        <v>218</v>
      </c>
      <c r="C780" s="24" t="s">
        <v>1617</v>
      </c>
      <c r="D780" s="31">
        <f>E780+F780+G780+H780+I780+J780+L780+N780+P780+R780+T780+U780+V780+W780+X780+Y780+Z780+AA780+AB780+AC780+AD780+AE780</f>
        <v>1966768.51</v>
      </c>
      <c r="E780" s="31">
        <v>0</v>
      </c>
      <c r="F780" s="31">
        <v>0</v>
      </c>
      <c r="G780" s="31">
        <v>0</v>
      </c>
      <c r="H780" s="31">
        <v>0</v>
      </c>
      <c r="I780" s="31">
        <v>0</v>
      </c>
      <c r="J780" s="31">
        <v>0</v>
      </c>
      <c r="K780" s="67">
        <v>0</v>
      </c>
      <c r="L780" s="31">
        <v>0</v>
      </c>
      <c r="M780" s="31">
        <v>383.77</v>
      </c>
      <c r="N780" s="31">
        <v>1875832.7</v>
      </c>
      <c r="O780" s="31">
        <v>0</v>
      </c>
      <c r="P780" s="31">
        <v>0</v>
      </c>
      <c r="Q780" s="31">
        <v>0</v>
      </c>
      <c r="R780" s="31">
        <v>0</v>
      </c>
      <c r="S780" s="31">
        <v>0</v>
      </c>
      <c r="T780" s="31">
        <v>0</v>
      </c>
      <c r="U780" s="31">
        <v>0</v>
      </c>
      <c r="V780" s="31">
        <v>0</v>
      </c>
      <c r="W780" s="31">
        <v>0</v>
      </c>
      <c r="X780" s="31">
        <v>0</v>
      </c>
      <c r="Y780" s="31">
        <v>0</v>
      </c>
      <c r="Z780" s="31">
        <v>0</v>
      </c>
      <c r="AA780" s="31">
        <v>0</v>
      </c>
      <c r="AB780" s="31">
        <v>0</v>
      </c>
      <c r="AC780" s="31">
        <f t="shared" si="156"/>
        <v>28137.49</v>
      </c>
      <c r="AD780" s="86">
        <v>62798.32</v>
      </c>
      <c r="AE780" s="31">
        <v>0</v>
      </c>
      <c r="AF780" s="33">
        <v>2021</v>
      </c>
      <c r="AG780" s="33">
        <v>2021</v>
      </c>
      <c r="AH780" s="34">
        <v>2021</v>
      </c>
      <c r="BZ780" s="64"/>
      <c r="CD780" s="20" t="e">
        <f t="shared" si="151"/>
        <v>#N/A</v>
      </c>
    </row>
    <row r="781" spans="1:82" ht="61.5" x14ac:dyDescent="0.85">
      <c r="A781" s="20">
        <v>1</v>
      </c>
      <c r="B781" s="60">
        <f>SUBTOTAL(103,$A$558:A781)</f>
        <v>219</v>
      </c>
      <c r="C781" s="24" t="s">
        <v>1618</v>
      </c>
      <c r="D781" s="31">
        <f>E781+F781+G781+H781+I781+J781+L781+N781+P781+R781+T781+U781+V781+W781+X781+Y781+Z781+AA781+AB781+AC781+AD781+AE781</f>
        <v>3766350.55</v>
      </c>
      <c r="E781" s="31">
        <v>0</v>
      </c>
      <c r="F781" s="31">
        <v>0</v>
      </c>
      <c r="G781" s="31">
        <v>0</v>
      </c>
      <c r="H781" s="31">
        <v>0</v>
      </c>
      <c r="I781" s="31">
        <v>0</v>
      </c>
      <c r="J781" s="31">
        <v>0</v>
      </c>
      <c r="K781" s="67">
        <v>0</v>
      </c>
      <c r="L781" s="31">
        <v>0</v>
      </c>
      <c r="M781" s="31">
        <v>726.8</v>
      </c>
      <c r="N781" s="31">
        <v>3620890.88</v>
      </c>
      <c r="O781" s="31">
        <v>0</v>
      </c>
      <c r="P781" s="31">
        <v>0</v>
      </c>
      <c r="Q781" s="31">
        <v>0</v>
      </c>
      <c r="R781" s="31">
        <v>0</v>
      </c>
      <c r="S781" s="31">
        <v>0</v>
      </c>
      <c r="T781" s="31">
        <v>0</v>
      </c>
      <c r="U781" s="31">
        <v>0</v>
      </c>
      <c r="V781" s="31">
        <v>0</v>
      </c>
      <c r="W781" s="31">
        <v>0</v>
      </c>
      <c r="X781" s="31">
        <v>0</v>
      </c>
      <c r="Y781" s="31">
        <v>0</v>
      </c>
      <c r="Z781" s="31">
        <v>0</v>
      </c>
      <c r="AA781" s="31">
        <v>0</v>
      </c>
      <c r="AB781" s="31">
        <v>0</v>
      </c>
      <c r="AC781" s="31">
        <f t="shared" si="156"/>
        <v>54313.36</v>
      </c>
      <c r="AD781" s="86">
        <v>91146.31</v>
      </c>
      <c r="AE781" s="31">
        <v>0</v>
      </c>
      <c r="AF781" s="33">
        <v>2021</v>
      </c>
      <c r="AG781" s="33">
        <v>2021</v>
      </c>
      <c r="AH781" s="34">
        <v>2021</v>
      </c>
      <c r="BZ781" s="64"/>
      <c r="CD781" s="20" t="e">
        <f t="shared" si="151"/>
        <v>#N/A</v>
      </c>
    </row>
    <row r="782" spans="1:82" ht="61.5" x14ac:dyDescent="0.85">
      <c r="A782" s="20">
        <v>1</v>
      </c>
      <c r="B782" s="60">
        <f>SUBTOTAL(103,$A$558:A782)</f>
        <v>220</v>
      </c>
      <c r="C782" s="24" t="s">
        <v>1619</v>
      </c>
      <c r="D782" s="31">
        <f>E782+F782+G782+H782+I782+J782+L782+N782+P782+R782+T782+U782+V782+W782+X782+Y782+Z782+AA782+AB782+AC782+AD782+AE782</f>
        <v>2195301.44</v>
      </c>
      <c r="E782" s="31">
        <v>0</v>
      </c>
      <c r="F782" s="31">
        <v>0</v>
      </c>
      <c r="G782" s="31">
        <v>0</v>
      </c>
      <c r="H782" s="31">
        <v>0</v>
      </c>
      <c r="I782" s="31">
        <v>0</v>
      </c>
      <c r="J782" s="31">
        <v>0</v>
      </c>
      <c r="K782" s="67">
        <v>0</v>
      </c>
      <c r="L782" s="31">
        <v>0</v>
      </c>
      <c r="M782" s="31">
        <v>425.38</v>
      </c>
      <c r="N782" s="31">
        <v>2089900.77</v>
      </c>
      <c r="O782" s="31">
        <v>0</v>
      </c>
      <c r="P782" s="31">
        <v>0</v>
      </c>
      <c r="Q782" s="31">
        <v>0</v>
      </c>
      <c r="R782" s="31">
        <v>0</v>
      </c>
      <c r="S782" s="31">
        <v>0</v>
      </c>
      <c r="T782" s="31">
        <v>0</v>
      </c>
      <c r="U782" s="31">
        <v>0</v>
      </c>
      <c r="V782" s="31">
        <v>0</v>
      </c>
      <c r="W782" s="31">
        <v>0</v>
      </c>
      <c r="X782" s="31">
        <v>0</v>
      </c>
      <c r="Y782" s="31">
        <v>0</v>
      </c>
      <c r="Z782" s="31">
        <v>0</v>
      </c>
      <c r="AA782" s="31">
        <v>0</v>
      </c>
      <c r="AB782" s="31">
        <v>0</v>
      </c>
      <c r="AC782" s="31">
        <f t="shared" si="156"/>
        <v>31348.51</v>
      </c>
      <c r="AD782" s="86">
        <v>74052.160000000003</v>
      </c>
      <c r="AE782" s="31">
        <v>0</v>
      </c>
      <c r="AF782" s="33">
        <v>2021</v>
      </c>
      <c r="AG782" s="33">
        <v>2021</v>
      </c>
      <c r="AH782" s="34">
        <v>2021</v>
      </c>
      <c r="BZ782" s="64"/>
      <c r="CD782" s="20" t="e">
        <f t="shared" si="151"/>
        <v>#N/A</v>
      </c>
    </row>
    <row r="783" spans="1:82" ht="61.5" x14ac:dyDescent="0.85">
      <c r="A783" s="20">
        <v>1</v>
      </c>
      <c r="B783" s="60">
        <f>SUBTOTAL(103,$A$558:A783)</f>
        <v>221</v>
      </c>
      <c r="C783" s="24" t="s">
        <v>619</v>
      </c>
      <c r="D783" s="31">
        <f t="shared" ref="D783:D789" si="157">E783+F783+G783+H783+I783+J783+L783+N783+P783+R783+T783+U783+V783+W783+X783+Y783+Z783+AA783+AB783+AC783+AD783+AE783</f>
        <v>16961137.330000002</v>
      </c>
      <c r="E783" s="35">
        <v>0</v>
      </c>
      <c r="F783" s="35">
        <v>0</v>
      </c>
      <c r="G783" s="35">
        <v>0</v>
      </c>
      <c r="H783" s="35">
        <v>0</v>
      </c>
      <c r="I783" s="35">
        <v>0</v>
      </c>
      <c r="J783" s="35">
        <v>0</v>
      </c>
      <c r="K783" s="67">
        <v>0</v>
      </c>
      <c r="L783" s="31">
        <v>0</v>
      </c>
      <c r="M783" s="31">
        <v>0</v>
      </c>
      <c r="N783" s="31">
        <v>0</v>
      </c>
      <c r="O783" s="35">
        <v>0</v>
      </c>
      <c r="P783" s="35">
        <v>0</v>
      </c>
      <c r="Q783" s="31">
        <v>2448</v>
      </c>
      <c r="R783" s="31">
        <f>13074770.52-1165153.63+43983.36+394249.55-377278.61+128749.29</f>
        <v>12099320.48</v>
      </c>
      <c r="S783" s="31">
        <v>229</v>
      </c>
      <c r="T783" s="31">
        <f>ROUND((4698151.31-120000)/101.5*100,2)</f>
        <v>4510493.9000000004</v>
      </c>
      <c r="U783" s="31">
        <v>0</v>
      </c>
      <c r="V783" s="31">
        <v>0</v>
      </c>
      <c r="W783" s="31">
        <v>0</v>
      </c>
      <c r="X783" s="31">
        <v>0</v>
      </c>
      <c r="Y783" s="31">
        <v>0</v>
      </c>
      <c r="Z783" s="31">
        <v>0</v>
      </c>
      <c r="AA783" s="31">
        <v>0</v>
      </c>
      <c r="AB783" s="31">
        <v>0</v>
      </c>
      <c r="AC783" s="31">
        <f>ROUND((R783+T783)*1.5%,2)</f>
        <v>249147.22</v>
      </c>
      <c r="AD783" s="38">
        <v>102175.73</v>
      </c>
      <c r="AE783" s="31">
        <v>0</v>
      </c>
      <c r="AF783" s="33">
        <v>2021</v>
      </c>
      <c r="AG783" s="33">
        <v>2021</v>
      </c>
      <c r="AH783" s="34">
        <v>2021</v>
      </c>
      <c r="AT783" s="20" t="e">
        <f>VLOOKUP(C783,AW:AX,2,FALSE)</f>
        <v>#N/A</v>
      </c>
      <c r="BZ783" s="64"/>
      <c r="CD783" s="20" t="e">
        <f t="shared" si="151"/>
        <v>#N/A</v>
      </c>
    </row>
    <row r="784" spans="1:82" ht="61.5" x14ac:dyDescent="0.85">
      <c r="A784" s="20">
        <v>1</v>
      </c>
      <c r="B784" s="60">
        <f>SUBTOTAL(103,$A$558:A784)</f>
        <v>222</v>
      </c>
      <c r="C784" s="24" t="s">
        <v>1185</v>
      </c>
      <c r="D784" s="31">
        <f>E784+F784+G784+H784+I784+J784+L784+N784+P784+R784+T784+U784+V784+W784+X784+Y784+Z784+AA784+AB784+AC784+AD784+AE784</f>
        <v>1562740.68</v>
      </c>
      <c r="E784" s="35">
        <v>0</v>
      </c>
      <c r="F784" s="35">
        <v>0</v>
      </c>
      <c r="G784" s="35">
        <v>0</v>
      </c>
      <c r="H784" s="35">
        <v>0</v>
      </c>
      <c r="I784" s="35">
        <v>0</v>
      </c>
      <c r="J784" s="35">
        <v>0</v>
      </c>
      <c r="K784" s="67">
        <v>0</v>
      </c>
      <c r="L784" s="31">
        <v>0</v>
      </c>
      <c r="M784" s="31">
        <v>0</v>
      </c>
      <c r="N784" s="31">
        <v>0</v>
      </c>
      <c r="O784" s="35">
        <v>0</v>
      </c>
      <c r="P784" s="35">
        <v>0</v>
      </c>
      <c r="Q784" s="31">
        <v>0</v>
      </c>
      <c r="R784" s="31">
        <v>0</v>
      </c>
      <c r="S784" s="31">
        <v>136.80000000000001</v>
      </c>
      <c r="T784" s="31">
        <v>1421419.39</v>
      </c>
      <c r="U784" s="31">
        <v>0</v>
      </c>
      <c r="V784" s="31">
        <v>0</v>
      </c>
      <c r="W784" s="31">
        <v>0</v>
      </c>
      <c r="X784" s="31">
        <v>0</v>
      </c>
      <c r="Y784" s="31">
        <v>0</v>
      </c>
      <c r="Z784" s="31">
        <v>0</v>
      </c>
      <c r="AA784" s="31">
        <v>0</v>
      </c>
      <c r="AB784" s="31">
        <v>0</v>
      </c>
      <c r="AC784" s="31">
        <f>ROUND(T784*1.5%,2)</f>
        <v>21321.29</v>
      </c>
      <c r="AD784" s="31">
        <v>0</v>
      </c>
      <c r="AE784" s="31">
        <v>120000</v>
      </c>
      <c r="AF784" s="33" t="s">
        <v>268</v>
      </c>
      <c r="AG784" s="33">
        <v>2021</v>
      </c>
      <c r="AH784" s="34">
        <v>2021</v>
      </c>
      <c r="BZ784" s="64"/>
      <c r="CD784" s="20" t="e">
        <f t="shared" si="151"/>
        <v>#N/A</v>
      </c>
    </row>
    <row r="785" spans="1:82" ht="61.5" x14ac:dyDescent="0.85">
      <c r="A785" s="20">
        <v>1</v>
      </c>
      <c r="B785" s="60">
        <f>SUBTOTAL(103,$A$558:A785)</f>
        <v>223</v>
      </c>
      <c r="C785" s="24" t="s">
        <v>618</v>
      </c>
      <c r="D785" s="31">
        <f t="shared" si="157"/>
        <v>8139534.3700000001</v>
      </c>
      <c r="E785" s="35">
        <v>0</v>
      </c>
      <c r="F785" s="35">
        <v>0</v>
      </c>
      <c r="G785" s="35">
        <v>0</v>
      </c>
      <c r="H785" s="35">
        <v>0</v>
      </c>
      <c r="I785" s="35">
        <v>0</v>
      </c>
      <c r="J785" s="35">
        <v>0</v>
      </c>
      <c r="K785" s="67">
        <v>0</v>
      </c>
      <c r="L785" s="31">
        <v>0</v>
      </c>
      <c r="M785" s="31">
        <v>0</v>
      </c>
      <c r="N785" s="31">
        <v>0</v>
      </c>
      <c r="O785" s="35">
        <v>0</v>
      </c>
      <c r="P785" s="35">
        <v>0</v>
      </c>
      <c r="Q785" s="35">
        <v>0</v>
      </c>
      <c r="R785" s="35">
        <v>0</v>
      </c>
      <c r="S785" s="31">
        <v>0</v>
      </c>
      <c r="T785" s="31">
        <v>0</v>
      </c>
      <c r="U785" s="31">
        <f>5969062.77+200000+1850182.91</f>
        <v>8019245.6799999997</v>
      </c>
      <c r="V785" s="31">
        <v>0</v>
      </c>
      <c r="W785" s="31">
        <v>0</v>
      </c>
      <c r="X785" s="31">
        <v>0</v>
      </c>
      <c r="Y785" s="31">
        <v>0</v>
      </c>
      <c r="Z785" s="31">
        <v>0</v>
      </c>
      <c r="AA785" s="31">
        <v>0</v>
      </c>
      <c r="AB785" s="31">
        <v>0</v>
      </c>
      <c r="AC785" s="31">
        <f>ROUND(U785*1.5%,2)</f>
        <v>120288.69</v>
      </c>
      <c r="AD785" s="31">
        <v>0</v>
      </c>
      <c r="AE785" s="31">
        <v>0</v>
      </c>
      <c r="AF785" s="33" t="s">
        <v>268</v>
      </c>
      <c r="AG785" s="33">
        <v>2021</v>
      </c>
      <c r="AH785" s="34">
        <v>2021</v>
      </c>
      <c r="AT785" s="20" t="e">
        <f>VLOOKUP(C785,AW:AX,2,FALSE)</f>
        <v>#N/A</v>
      </c>
      <c r="BZ785" s="64"/>
      <c r="CD785" s="20" t="e">
        <f t="shared" si="151"/>
        <v>#N/A</v>
      </c>
    </row>
    <row r="786" spans="1:82" ht="61.5" x14ac:dyDescent="0.85">
      <c r="A786" s="20">
        <v>1</v>
      </c>
      <c r="B786" s="60">
        <f>SUBTOTAL(103,$A$558:A786)</f>
        <v>224</v>
      </c>
      <c r="C786" s="24" t="s">
        <v>1188</v>
      </c>
      <c r="D786" s="31">
        <f t="shared" si="157"/>
        <v>833522.04</v>
      </c>
      <c r="E786" s="35">
        <v>0</v>
      </c>
      <c r="F786" s="35">
        <v>0</v>
      </c>
      <c r="G786" s="35">
        <f>567639.41+100000</f>
        <v>667639.41</v>
      </c>
      <c r="H786" s="35">
        <v>153564.57</v>
      </c>
      <c r="I786" s="35">
        <v>0</v>
      </c>
      <c r="J786" s="35">
        <v>0</v>
      </c>
      <c r="K786" s="67">
        <v>0</v>
      </c>
      <c r="L786" s="31">
        <v>0</v>
      </c>
      <c r="M786" s="31">
        <v>0</v>
      </c>
      <c r="N786" s="31">
        <v>0</v>
      </c>
      <c r="O786" s="35">
        <v>0</v>
      </c>
      <c r="P786" s="35">
        <v>0</v>
      </c>
      <c r="Q786" s="31">
        <v>0</v>
      </c>
      <c r="R786" s="31">
        <v>0</v>
      </c>
      <c r="S786" s="31">
        <v>0</v>
      </c>
      <c r="T786" s="31">
        <v>0</v>
      </c>
      <c r="U786" s="31">
        <v>0</v>
      </c>
      <c r="V786" s="31">
        <v>0</v>
      </c>
      <c r="W786" s="31">
        <v>0</v>
      </c>
      <c r="X786" s="31">
        <v>0</v>
      </c>
      <c r="Y786" s="31">
        <v>0</v>
      </c>
      <c r="Z786" s="31">
        <v>0</v>
      </c>
      <c r="AA786" s="31">
        <v>0</v>
      </c>
      <c r="AB786" s="31">
        <v>0</v>
      </c>
      <c r="AC786" s="31">
        <f>ROUND((E786+F786+G786+H786+I786+J786)*1.5%,2)</f>
        <v>12318.06</v>
      </c>
      <c r="AD786" s="31">
        <v>0</v>
      </c>
      <c r="AE786" s="31">
        <v>0</v>
      </c>
      <c r="AF786" s="33" t="s">
        <v>268</v>
      </c>
      <c r="AG786" s="33">
        <v>2021</v>
      </c>
      <c r="AH786" s="34">
        <v>2021</v>
      </c>
      <c r="BZ786" s="64"/>
      <c r="CD786" s="20" t="e">
        <f t="shared" si="151"/>
        <v>#N/A</v>
      </c>
    </row>
    <row r="787" spans="1:82" ht="61.5" x14ac:dyDescent="0.85">
      <c r="A787" s="20">
        <v>1</v>
      </c>
      <c r="B787" s="60">
        <f>SUBTOTAL(103,$A$558:A787)</f>
        <v>225</v>
      </c>
      <c r="C787" s="24" t="s">
        <v>1552</v>
      </c>
      <c r="D787" s="31">
        <f t="shared" si="157"/>
        <v>3900454.54</v>
      </c>
      <c r="E787" s="31">
        <v>0</v>
      </c>
      <c r="F787" s="31">
        <v>0</v>
      </c>
      <c r="G787" s="31">
        <v>0</v>
      </c>
      <c r="H787" s="31">
        <v>0</v>
      </c>
      <c r="I787" s="31">
        <v>0</v>
      </c>
      <c r="J787" s="31">
        <v>0</v>
      </c>
      <c r="K787" s="67">
        <v>0</v>
      </c>
      <c r="L787" s="31">
        <v>0</v>
      </c>
      <c r="M787" s="38">
        <v>829.3</v>
      </c>
      <c r="N787" s="195">
        <v>3842812.35</v>
      </c>
      <c r="O787" s="31">
        <v>0</v>
      </c>
      <c r="P787" s="31">
        <v>0</v>
      </c>
      <c r="Q787" s="31">
        <v>0</v>
      </c>
      <c r="R787" s="31">
        <v>0</v>
      </c>
      <c r="S787" s="31">
        <v>0</v>
      </c>
      <c r="T787" s="31">
        <v>0</v>
      </c>
      <c r="U787" s="31">
        <v>0</v>
      </c>
      <c r="V787" s="31">
        <v>0</v>
      </c>
      <c r="W787" s="31">
        <v>0</v>
      </c>
      <c r="X787" s="31">
        <v>0</v>
      </c>
      <c r="Y787" s="31">
        <v>0</v>
      </c>
      <c r="Z787" s="31">
        <v>0</v>
      </c>
      <c r="AA787" s="31">
        <v>0</v>
      </c>
      <c r="AB787" s="31">
        <v>0</v>
      </c>
      <c r="AC787" s="31">
        <f>ROUND(N787*1.5%,2)</f>
        <v>57642.19</v>
      </c>
      <c r="AD787" s="31">
        <v>0</v>
      </c>
      <c r="AE787" s="31">
        <v>0</v>
      </c>
      <c r="AF787" s="33" t="s">
        <v>268</v>
      </c>
      <c r="AG787" s="33">
        <v>2021</v>
      </c>
      <c r="AH787" s="34">
        <v>2021</v>
      </c>
      <c r="BZ787" s="64"/>
      <c r="CD787" s="20" t="e">
        <f t="shared" si="151"/>
        <v>#N/A</v>
      </c>
    </row>
    <row r="788" spans="1:82" ht="61.5" x14ac:dyDescent="0.85">
      <c r="A788" s="20">
        <v>1</v>
      </c>
      <c r="B788" s="60">
        <f>SUBTOTAL(103,$A$558:A788)</f>
        <v>226</v>
      </c>
      <c r="C788" s="24" t="s">
        <v>1935</v>
      </c>
      <c r="D788" s="31">
        <f>E788+F788+G788+H788+I788+J788+L788+N788+P788+R788+T788+U788+V788+W788+X788+Y788+Z788+AA788+AB788+AC788+AD788+AE788</f>
        <v>3646987.83</v>
      </c>
      <c r="E788" s="31">
        <v>0</v>
      </c>
      <c r="F788" s="31">
        <v>0</v>
      </c>
      <c r="G788" s="31">
        <v>0</v>
      </c>
      <c r="H788" s="31">
        <v>0</v>
      </c>
      <c r="I788" s="31">
        <v>0</v>
      </c>
      <c r="J788" s="31">
        <v>0</v>
      </c>
      <c r="K788" s="67">
        <v>0</v>
      </c>
      <c r="L788" s="31">
        <v>0</v>
      </c>
      <c r="M788" s="31">
        <v>600</v>
      </c>
      <c r="N788" s="31">
        <f>M788*4200+100000+37682.91+362142.89+445186.84</f>
        <v>3465012.64</v>
      </c>
      <c r="O788" s="31">
        <v>0</v>
      </c>
      <c r="P788" s="31">
        <v>0</v>
      </c>
      <c r="Q788" s="31">
        <v>0</v>
      </c>
      <c r="R788" s="31">
        <v>0</v>
      </c>
      <c r="S788" s="31">
        <v>0</v>
      </c>
      <c r="T788" s="31">
        <v>0</v>
      </c>
      <c r="U788" s="31">
        <v>0</v>
      </c>
      <c r="V788" s="31">
        <v>0</v>
      </c>
      <c r="W788" s="31">
        <v>0</v>
      </c>
      <c r="X788" s="31">
        <v>0</v>
      </c>
      <c r="Y788" s="31">
        <v>0</v>
      </c>
      <c r="Z788" s="31">
        <v>0</v>
      </c>
      <c r="AA788" s="31">
        <v>0</v>
      </c>
      <c r="AB788" s="31">
        <v>0</v>
      </c>
      <c r="AC788" s="31">
        <f>ROUND(N788*1.5%,2)</f>
        <v>51975.19</v>
      </c>
      <c r="AD788" s="31">
        <v>130000</v>
      </c>
      <c r="AE788" s="31">
        <v>0</v>
      </c>
      <c r="AF788" s="33">
        <v>2021</v>
      </c>
      <c r="AG788" s="33">
        <v>2021</v>
      </c>
      <c r="AH788" s="34">
        <v>2021</v>
      </c>
      <c r="BZ788" s="64"/>
      <c r="CD788" s="20" t="e">
        <f t="shared" si="151"/>
        <v>#N/A</v>
      </c>
    </row>
    <row r="789" spans="1:82" ht="61.5" x14ac:dyDescent="0.85">
      <c r="A789" s="20">
        <v>1</v>
      </c>
      <c r="B789" s="60">
        <f>SUBTOTAL(103,$A$558:A789)</f>
        <v>227</v>
      </c>
      <c r="C789" s="24" t="s">
        <v>1936</v>
      </c>
      <c r="D789" s="31">
        <f t="shared" si="157"/>
        <v>2017991.4400000002</v>
      </c>
      <c r="E789" s="31">
        <v>0</v>
      </c>
      <c r="F789" s="31">
        <v>0</v>
      </c>
      <c r="G789" s="31">
        <v>0</v>
      </c>
      <c r="H789" s="31">
        <v>0</v>
      </c>
      <c r="I789" s="31">
        <v>0</v>
      </c>
      <c r="J789" s="31">
        <v>0</v>
      </c>
      <c r="K789" s="67">
        <v>0</v>
      </c>
      <c r="L789" s="31">
        <v>0</v>
      </c>
      <c r="M789" s="31">
        <v>313.60000000000002</v>
      </c>
      <c r="N789" s="31">
        <f>M789*4200+100000+445186.84</f>
        <v>1862306.84</v>
      </c>
      <c r="O789" s="31">
        <v>0</v>
      </c>
      <c r="P789" s="31">
        <v>0</v>
      </c>
      <c r="Q789" s="31">
        <v>0</v>
      </c>
      <c r="R789" s="31">
        <v>0</v>
      </c>
      <c r="S789" s="31">
        <v>0</v>
      </c>
      <c r="T789" s="31">
        <v>0</v>
      </c>
      <c r="U789" s="31">
        <v>0</v>
      </c>
      <c r="V789" s="31">
        <v>0</v>
      </c>
      <c r="W789" s="31">
        <v>0</v>
      </c>
      <c r="X789" s="31">
        <v>0</v>
      </c>
      <c r="Y789" s="31">
        <v>0</v>
      </c>
      <c r="Z789" s="31">
        <v>0</v>
      </c>
      <c r="AA789" s="31">
        <v>0</v>
      </c>
      <c r="AB789" s="31">
        <v>0</v>
      </c>
      <c r="AC789" s="31">
        <f>ROUND(N789*1.5%,2)</f>
        <v>27934.6</v>
      </c>
      <c r="AD789" s="31">
        <f>130000-2250</f>
        <v>127750</v>
      </c>
      <c r="AE789" s="31">
        <v>0</v>
      </c>
      <c r="AF789" s="33">
        <v>2021</v>
      </c>
      <c r="AG789" s="33">
        <v>2021</v>
      </c>
      <c r="AH789" s="34">
        <v>2021</v>
      </c>
      <c r="BZ789" s="64"/>
      <c r="CD789" s="20" t="e">
        <f t="shared" si="151"/>
        <v>#N/A</v>
      </c>
    </row>
    <row r="790" spans="1:82" ht="61.5" x14ac:dyDescent="0.85">
      <c r="A790" s="20">
        <v>1</v>
      </c>
      <c r="B790" s="60">
        <f>SUBTOTAL(103,$A$558:A790)</f>
        <v>228</v>
      </c>
      <c r="C790" s="24" t="s">
        <v>1937</v>
      </c>
      <c r="D790" s="31">
        <f>E790+F790+G790+H790+I790+J790+L790+N790+P790+R790+T790+U790+V790+W790+X790+Y790+Z790+AA790+AB790+AC790+AD790+AE790</f>
        <v>2478736.48</v>
      </c>
      <c r="E790" s="31">
        <v>0</v>
      </c>
      <c r="F790" s="31">
        <v>0</v>
      </c>
      <c r="G790" s="31">
        <v>0</v>
      </c>
      <c r="H790" s="31">
        <v>0</v>
      </c>
      <c r="I790" s="31">
        <v>0</v>
      </c>
      <c r="J790" s="31">
        <v>0</v>
      </c>
      <c r="K790" s="67">
        <v>0</v>
      </c>
      <c r="L790" s="31">
        <v>0</v>
      </c>
      <c r="M790" s="31">
        <v>421.68</v>
      </c>
      <c r="N790" s="31">
        <f>M790*4200+100000+445186.84</f>
        <v>2316242.84</v>
      </c>
      <c r="O790" s="31">
        <v>0</v>
      </c>
      <c r="P790" s="31">
        <v>0</v>
      </c>
      <c r="Q790" s="31">
        <v>0</v>
      </c>
      <c r="R790" s="31">
        <v>0</v>
      </c>
      <c r="S790" s="31">
        <v>0</v>
      </c>
      <c r="T790" s="31">
        <v>0</v>
      </c>
      <c r="U790" s="31">
        <v>0</v>
      </c>
      <c r="V790" s="31">
        <v>0</v>
      </c>
      <c r="W790" s="31">
        <v>0</v>
      </c>
      <c r="X790" s="31">
        <v>0</v>
      </c>
      <c r="Y790" s="31">
        <v>0</v>
      </c>
      <c r="Z790" s="31">
        <v>0</v>
      </c>
      <c r="AA790" s="31">
        <v>0</v>
      </c>
      <c r="AB790" s="31">
        <v>0</v>
      </c>
      <c r="AC790" s="31">
        <f>ROUND(N790*1.5%,2)</f>
        <v>34743.64</v>
      </c>
      <c r="AD790" s="31">
        <f>130000-2250</f>
        <v>127750</v>
      </c>
      <c r="AE790" s="31">
        <v>0</v>
      </c>
      <c r="AF790" s="33">
        <v>2021</v>
      </c>
      <c r="AG790" s="33">
        <v>2021</v>
      </c>
      <c r="AH790" s="34">
        <v>2021</v>
      </c>
      <c r="BZ790" s="64"/>
      <c r="CD790" s="20" t="e">
        <f t="shared" si="151"/>
        <v>#N/A</v>
      </c>
    </row>
    <row r="791" spans="1:82" ht="61.5" x14ac:dyDescent="0.85">
      <c r="A791" s="20">
        <v>1</v>
      </c>
      <c r="B791" s="60">
        <f>SUBTOTAL(103,$A$558:A791)</f>
        <v>229</v>
      </c>
      <c r="C791" s="24" t="s">
        <v>2308</v>
      </c>
      <c r="D791" s="31">
        <f>E791+F791+G791+H791+I791+J791+L791+N791+P791+R791+T791+U791+V791+W791+X791+Y791+Z791+AA791+AB791+AC791+AD791+AE791</f>
        <v>2882260.0700000003</v>
      </c>
      <c r="E791" s="35">
        <v>0</v>
      </c>
      <c r="F791" s="35">
        <v>0</v>
      </c>
      <c r="G791" s="35">
        <v>0</v>
      </c>
      <c r="H791" s="35">
        <v>0</v>
      </c>
      <c r="I791" s="35">
        <v>0</v>
      </c>
      <c r="J791" s="35">
        <v>0</v>
      </c>
      <c r="K791" s="67">
        <v>0</v>
      </c>
      <c r="L791" s="31">
        <v>0</v>
      </c>
      <c r="M791" s="31">
        <v>580</v>
      </c>
      <c r="N791" s="31">
        <v>2721438.49</v>
      </c>
      <c r="O791" s="31">
        <v>0</v>
      </c>
      <c r="P791" s="31">
        <v>0</v>
      </c>
      <c r="Q791" s="31">
        <v>0</v>
      </c>
      <c r="R791" s="31">
        <v>0</v>
      </c>
      <c r="S791" s="31">
        <v>0</v>
      </c>
      <c r="T791" s="31">
        <v>0</v>
      </c>
      <c r="U791" s="31">
        <v>0</v>
      </c>
      <c r="V791" s="31">
        <v>0</v>
      </c>
      <c r="W791" s="31">
        <v>0</v>
      </c>
      <c r="X791" s="31">
        <v>0</v>
      </c>
      <c r="Y791" s="31">
        <v>0</v>
      </c>
      <c r="Z791" s="31">
        <v>0</v>
      </c>
      <c r="AA791" s="31">
        <v>0</v>
      </c>
      <c r="AB791" s="31">
        <v>0</v>
      </c>
      <c r="AC791" s="31">
        <f>ROUND(N791*1.5%,2)</f>
        <v>40821.58</v>
      </c>
      <c r="AD791" s="31">
        <v>120000</v>
      </c>
      <c r="AE791" s="31">
        <v>0</v>
      </c>
      <c r="AF791" s="33">
        <v>2021</v>
      </c>
      <c r="AG791" s="33">
        <v>2021</v>
      </c>
      <c r="AH791" s="34">
        <v>2021</v>
      </c>
      <c r="AT791" s="20" t="e">
        <f>VLOOKUP(C791,AW:AX,2,FALSE)</f>
        <v>#N/A</v>
      </c>
      <c r="BZ791" s="64"/>
      <c r="CD791" s="20" t="e">
        <f t="shared" ref="CD791:CD822" si="158">VLOOKUP(C791,CE:CF,2,FALSE)</f>
        <v>#N/A</v>
      </c>
    </row>
    <row r="792" spans="1:82" ht="61.5" x14ac:dyDescent="0.85">
      <c r="B792" s="24" t="s">
        <v>816</v>
      </c>
      <c r="C792" s="24"/>
      <c r="D792" s="199">
        <f t="shared" ref="D792:AE792" si="159">SUM(D793:D799)</f>
        <v>31580337.110000003</v>
      </c>
      <c r="E792" s="31">
        <f t="shared" si="159"/>
        <v>145980.06</v>
      </c>
      <c r="F792" s="31">
        <f t="shared" si="159"/>
        <v>431178.77</v>
      </c>
      <c r="G792" s="31">
        <f t="shared" si="159"/>
        <v>1599107.07</v>
      </c>
      <c r="H792" s="31">
        <f t="shared" si="159"/>
        <v>270735.94</v>
      </c>
      <c r="I792" s="31">
        <f t="shared" si="159"/>
        <v>0</v>
      </c>
      <c r="J792" s="31">
        <f t="shared" si="159"/>
        <v>0</v>
      </c>
      <c r="K792" s="67">
        <f t="shared" si="159"/>
        <v>0</v>
      </c>
      <c r="L792" s="31">
        <f t="shared" si="159"/>
        <v>0</v>
      </c>
      <c r="M792" s="31">
        <f t="shared" si="159"/>
        <v>6158.1</v>
      </c>
      <c r="N792" s="31">
        <f t="shared" si="159"/>
        <v>27898157.869999997</v>
      </c>
      <c r="O792" s="31">
        <f t="shared" si="159"/>
        <v>0</v>
      </c>
      <c r="P792" s="31">
        <f t="shared" si="159"/>
        <v>0</v>
      </c>
      <c r="Q792" s="31">
        <f t="shared" si="159"/>
        <v>0</v>
      </c>
      <c r="R792" s="31">
        <f t="shared" si="159"/>
        <v>0</v>
      </c>
      <c r="S792" s="31">
        <f t="shared" si="159"/>
        <v>0</v>
      </c>
      <c r="T792" s="31">
        <f t="shared" si="159"/>
        <v>0</v>
      </c>
      <c r="U792" s="31">
        <f t="shared" si="159"/>
        <v>0</v>
      </c>
      <c r="V792" s="31">
        <f t="shared" si="159"/>
        <v>0</v>
      </c>
      <c r="W792" s="31">
        <f t="shared" si="159"/>
        <v>0</v>
      </c>
      <c r="X792" s="31">
        <f t="shared" si="159"/>
        <v>0</v>
      </c>
      <c r="Y792" s="31">
        <f t="shared" si="159"/>
        <v>0</v>
      </c>
      <c r="Z792" s="31">
        <f t="shared" si="159"/>
        <v>0</v>
      </c>
      <c r="AA792" s="31">
        <f t="shared" si="159"/>
        <v>0</v>
      </c>
      <c r="AB792" s="31">
        <f t="shared" si="159"/>
        <v>0</v>
      </c>
      <c r="AC792" s="31">
        <f t="shared" si="159"/>
        <v>455177.4</v>
      </c>
      <c r="AD792" s="31">
        <f t="shared" si="159"/>
        <v>780000</v>
      </c>
      <c r="AE792" s="31">
        <f t="shared" si="159"/>
        <v>0</v>
      </c>
      <c r="AF792" s="65" t="s">
        <v>751</v>
      </c>
      <c r="AG792" s="65" t="s">
        <v>751</v>
      </c>
      <c r="AH792" s="79" t="s">
        <v>751</v>
      </c>
      <c r="AT792" s="20" t="e">
        <f>VLOOKUP(C792,AW:AX,2,FALSE)</f>
        <v>#N/A</v>
      </c>
      <c r="BZ792" s="64">
        <v>10075097.600000001</v>
      </c>
      <c r="CD792" s="20" t="e">
        <f t="shared" si="158"/>
        <v>#N/A</v>
      </c>
    </row>
    <row r="793" spans="1:82" ht="61.5" x14ac:dyDescent="0.85">
      <c r="A793" s="20">
        <v>1</v>
      </c>
      <c r="B793" s="60">
        <f>SUBTOTAL(103,$A$558:A793)</f>
        <v>230</v>
      </c>
      <c r="C793" s="24" t="s">
        <v>641</v>
      </c>
      <c r="D793" s="31">
        <f t="shared" ref="D793:D799" si="160">E793+F793+G793+H793+I793+J793+L793+N793+P793+R793+T793+U793+V793+W793+X793+Y793+Z793+AA793+AB793+AC793+AD793+AE793</f>
        <v>5608010</v>
      </c>
      <c r="E793" s="35">
        <v>0</v>
      </c>
      <c r="F793" s="35">
        <v>0</v>
      </c>
      <c r="G793" s="35">
        <v>0</v>
      </c>
      <c r="H793" s="35">
        <v>0</v>
      </c>
      <c r="I793" s="35">
        <v>0</v>
      </c>
      <c r="J793" s="35">
        <v>0</v>
      </c>
      <c r="K793" s="67">
        <v>0</v>
      </c>
      <c r="L793" s="31">
        <v>0</v>
      </c>
      <c r="M793" s="31">
        <v>1122.5</v>
      </c>
      <c r="N793" s="31">
        <v>5347793.0999999996</v>
      </c>
      <c r="O793" s="31">
        <v>0</v>
      </c>
      <c r="P793" s="31">
        <v>0</v>
      </c>
      <c r="Q793" s="31">
        <v>0</v>
      </c>
      <c r="R793" s="31">
        <v>0</v>
      </c>
      <c r="S793" s="31">
        <v>0</v>
      </c>
      <c r="T793" s="31">
        <v>0</v>
      </c>
      <c r="U793" s="31">
        <v>0</v>
      </c>
      <c r="V793" s="31">
        <v>0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f>ROUND(N793*1.5%,2)</f>
        <v>80216.899999999994</v>
      </c>
      <c r="AD793" s="31">
        <v>180000</v>
      </c>
      <c r="AE793" s="31">
        <v>0</v>
      </c>
      <c r="AF793" s="33">
        <v>2021</v>
      </c>
      <c r="AG793" s="33">
        <v>2021</v>
      </c>
      <c r="AH793" s="34">
        <v>2021</v>
      </c>
      <c r="AT793" s="20" t="e">
        <f>VLOOKUP(C793,AW:AX,2,FALSE)</f>
        <v>#N/A</v>
      </c>
      <c r="BZ793" s="64"/>
      <c r="CD793" s="20" t="e">
        <f t="shared" si="158"/>
        <v>#N/A</v>
      </c>
    </row>
    <row r="794" spans="1:82" ht="61.5" x14ac:dyDescent="0.85">
      <c r="A794" s="20">
        <v>1</v>
      </c>
      <c r="B794" s="60">
        <f>SUBTOTAL(103,$A$558:A794)</f>
        <v>231</v>
      </c>
      <c r="C794" s="24" t="s">
        <v>638</v>
      </c>
      <c r="D794" s="31">
        <f t="shared" si="160"/>
        <v>4467087.6000000006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67">
        <v>0</v>
      </c>
      <c r="L794" s="31">
        <v>0</v>
      </c>
      <c r="M794" s="31">
        <v>855.6</v>
      </c>
      <c r="N794" s="31">
        <v>4253288.28</v>
      </c>
      <c r="O794" s="31">
        <v>0</v>
      </c>
      <c r="P794" s="31">
        <v>0</v>
      </c>
      <c r="Q794" s="31">
        <v>0</v>
      </c>
      <c r="R794" s="31">
        <v>0</v>
      </c>
      <c r="S794" s="31">
        <v>0</v>
      </c>
      <c r="T794" s="31">
        <v>0</v>
      </c>
      <c r="U794" s="31">
        <v>0</v>
      </c>
      <c r="V794" s="31">
        <v>0</v>
      </c>
      <c r="W794" s="31">
        <v>0</v>
      </c>
      <c r="X794" s="31">
        <v>0</v>
      </c>
      <c r="Y794" s="31">
        <v>0</v>
      </c>
      <c r="Z794" s="31">
        <v>0</v>
      </c>
      <c r="AA794" s="31">
        <v>0</v>
      </c>
      <c r="AB794" s="31">
        <v>0</v>
      </c>
      <c r="AC794" s="31">
        <f>ROUND(N794*1.5%,2)</f>
        <v>63799.32</v>
      </c>
      <c r="AD794" s="31">
        <v>150000</v>
      </c>
      <c r="AE794" s="31">
        <v>0</v>
      </c>
      <c r="AF794" s="33">
        <v>2021</v>
      </c>
      <c r="AG794" s="33">
        <v>2021</v>
      </c>
      <c r="AH794" s="34">
        <v>2021</v>
      </c>
      <c r="AT794" s="20" t="e">
        <f>VLOOKUP(C794,AW:AX,2,FALSE)</f>
        <v>#N/A</v>
      </c>
      <c r="BZ794" s="64"/>
      <c r="CD794" s="20" t="e">
        <f t="shared" si="158"/>
        <v>#N/A</v>
      </c>
    </row>
    <row r="795" spans="1:82" ht="61.5" x14ac:dyDescent="0.85">
      <c r="A795" s="20">
        <v>1</v>
      </c>
      <c r="B795" s="60">
        <f>SUBTOTAL(103,$A$558:A795)</f>
        <v>232</v>
      </c>
      <c r="C795" s="24" t="s">
        <v>1192</v>
      </c>
      <c r="D795" s="31">
        <f t="shared" si="160"/>
        <v>2483706.87</v>
      </c>
      <c r="E795" s="35">
        <v>145980.06</v>
      </c>
      <c r="F795" s="35">
        <v>431178.77</v>
      </c>
      <c r="G795" s="35">
        <v>1599107.07</v>
      </c>
      <c r="H795" s="35">
        <v>270735.94</v>
      </c>
      <c r="I795" s="35">
        <v>0</v>
      </c>
      <c r="J795" s="35">
        <v>0</v>
      </c>
      <c r="K795" s="67">
        <v>0</v>
      </c>
      <c r="L795" s="31">
        <v>0</v>
      </c>
      <c r="M795" s="31">
        <v>0</v>
      </c>
      <c r="N795" s="31">
        <v>0</v>
      </c>
      <c r="O795" s="35">
        <v>0</v>
      </c>
      <c r="P795" s="35">
        <v>0</v>
      </c>
      <c r="Q795" s="31">
        <v>0</v>
      </c>
      <c r="R795" s="31">
        <v>0</v>
      </c>
      <c r="S795" s="31">
        <v>0</v>
      </c>
      <c r="T795" s="31">
        <v>0</v>
      </c>
      <c r="U795" s="31">
        <v>0</v>
      </c>
      <c r="V795" s="31">
        <v>0</v>
      </c>
      <c r="W795" s="31">
        <v>0</v>
      </c>
      <c r="X795" s="31">
        <v>0</v>
      </c>
      <c r="Y795" s="31">
        <v>0</v>
      </c>
      <c r="Z795" s="31">
        <v>0</v>
      </c>
      <c r="AA795" s="31">
        <v>0</v>
      </c>
      <c r="AB795" s="31">
        <v>0</v>
      </c>
      <c r="AC795" s="31">
        <f>ROUND((E795+F795+G795+H795+I795+J795)*1.5%,2)</f>
        <v>36705.03</v>
      </c>
      <c r="AD795" s="31">
        <v>0</v>
      </c>
      <c r="AE795" s="31">
        <v>0</v>
      </c>
      <c r="AF795" s="33" t="s">
        <v>268</v>
      </c>
      <c r="AG795" s="33">
        <v>2021</v>
      </c>
      <c r="AH795" s="34">
        <v>2021</v>
      </c>
      <c r="BZ795" s="64"/>
      <c r="CD795" s="20" t="e">
        <f t="shared" si="158"/>
        <v>#N/A</v>
      </c>
    </row>
    <row r="796" spans="1:82" ht="61.5" x14ac:dyDescent="0.85">
      <c r="A796" s="20">
        <v>1</v>
      </c>
      <c r="B796" s="60">
        <f>SUBTOTAL(103,$A$558:A796)</f>
        <v>233</v>
      </c>
      <c r="C796" s="24" t="s">
        <v>1905</v>
      </c>
      <c r="D796" s="31">
        <f t="shared" si="160"/>
        <v>2819900</v>
      </c>
      <c r="E796" s="37">
        <v>0</v>
      </c>
      <c r="F796" s="37">
        <v>0</v>
      </c>
      <c r="G796" s="37">
        <v>0</v>
      </c>
      <c r="H796" s="37">
        <v>0</v>
      </c>
      <c r="I796" s="37">
        <v>0</v>
      </c>
      <c r="J796" s="37">
        <v>0</v>
      </c>
      <c r="K796" s="77">
        <v>0</v>
      </c>
      <c r="L796" s="37">
        <v>0</v>
      </c>
      <c r="M796" s="31">
        <v>532</v>
      </c>
      <c r="N796" s="31">
        <f>M796*5000</f>
        <v>2660000</v>
      </c>
      <c r="O796" s="31">
        <v>0</v>
      </c>
      <c r="P796" s="31">
        <v>0</v>
      </c>
      <c r="Q796" s="31">
        <v>0</v>
      </c>
      <c r="R796" s="31">
        <v>0</v>
      </c>
      <c r="S796" s="31">
        <v>0</v>
      </c>
      <c r="T796" s="31">
        <v>0</v>
      </c>
      <c r="U796" s="31">
        <v>0</v>
      </c>
      <c r="V796" s="31">
        <v>0</v>
      </c>
      <c r="W796" s="31">
        <v>0</v>
      </c>
      <c r="X796" s="31">
        <v>0</v>
      </c>
      <c r="Y796" s="31">
        <v>0</v>
      </c>
      <c r="Z796" s="31">
        <v>0</v>
      </c>
      <c r="AA796" s="31">
        <v>0</v>
      </c>
      <c r="AB796" s="31">
        <v>0</v>
      </c>
      <c r="AC796" s="31">
        <f>ROUND(N796*1.5%,2)</f>
        <v>39900</v>
      </c>
      <c r="AD796" s="31">
        <v>120000</v>
      </c>
      <c r="AE796" s="31">
        <v>0</v>
      </c>
      <c r="AF796" s="33">
        <v>2021</v>
      </c>
      <c r="AG796" s="33">
        <v>2021</v>
      </c>
      <c r="AH796" s="34">
        <v>2021</v>
      </c>
      <c r="AT796" s="20" t="e">
        <f>VLOOKUP(C796,AW:AX,2,FALSE)</f>
        <v>#N/A</v>
      </c>
      <c r="BZ796" s="64"/>
    </row>
    <row r="797" spans="1:82" ht="61.5" x14ac:dyDescent="0.85">
      <c r="A797" s="20">
        <v>1</v>
      </c>
      <c r="B797" s="60">
        <f>SUBTOTAL(103,$A$558:A797)</f>
        <v>234</v>
      </c>
      <c r="C797" s="24" t="s">
        <v>1090</v>
      </c>
      <c r="D797" s="31">
        <f t="shared" si="160"/>
        <v>4226815.84</v>
      </c>
      <c r="E797" s="37">
        <v>0</v>
      </c>
      <c r="F797" s="37">
        <v>0</v>
      </c>
      <c r="G797" s="37">
        <v>0</v>
      </c>
      <c r="H797" s="37">
        <v>0</v>
      </c>
      <c r="I797" s="37">
        <v>0</v>
      </c>
      <c r="J797" s="37">
        <v>0</v>
      </c>
      <c r="K797" s="77">
        <v>0</v>
      </c>
      <c r="L797" s="37">
        <v>0</v>
      </c>
      <c r="M797" s="31">
        <v>857.4</v>
      </c>
      <c r="N797" s="31">
        <v>4036271.76</v>
      </c>
      <c r="O797" s="31">
        <v>0</v>
      </c>
      <c r="P797" s="31">
        <v>0</v>
      </c>
      <c r="Q797" s="31">
        <v>0</v>
      </c>
      <c r="R797" s="31">
        <v>0</v>
      </c>
      <c r="S797" s="31">
        <v>0</v>
      </c>
      <c r="T797" s="31">
        <v>0</v>
      </c>
      <c r="U797" s="31">
        <v>0</v>
      </c>
      <c r="V797" s="31">
        <v>0</v>
      </c>
      <c r="W797" s="31">
        <v>0</v>
      </c>
      <c r="X797" s="31">
        <v>0</v>
      </c>
      <c r="Y797" s="31">
        <v>0</v>
      </c>
      <c r="Z797" s="31">
        <v>0</v>
      </c>
      <c r="AA797" s="31">
        <v>0</v>
      </c>
      <c r="AB797" s="31">
        <v>0</v>
      </c>
      <c r="AC797" s="31">
        <f>ROUND(N797*1.5%,2)</f>
        <v>60544.08</v>
      </c>
      <c r="AD797" s="31">
        <v>130000</v>
      </c>
      <c r="AE797" s="31">
        <v>0</v>
      </c>
      <c r="AF797" s="33">
        <v>2021</v>
      </c>
      <c r="AG797" s="33">
        <v>2021</v>
      </c>
      <c r="AH797" s="34">
        <v>2021</v>
      </c>
      <c r="BZ797" s="64"/>
    </row>
    <row r="798" spans="1:82" ht="61.5" x14ac:dyDescent="0.85">
      <c r="A798" s="20">
        <v>1</v>
      </c>
      <c r="B798" s="60">
        <f>SUBTOTAL(103,$A$558:A798)</f>
        <v>235</v>
      </c>
      <c r="C798" s="24" t="s">
        <v>1191</v>
      </c>
      <c r="D798" s="31">
        <f t="shared" si="160"/>
        <v>5003194.3900000006</v>
      </c>
      <c r="E798" s="35">
        <v>0</v>
      </c>
      <c r="F798" s="35">
        <v>0</v>
      </c>
      <c r="G798" s="35">
        <v>0</v>
      </c>
      <c r="H798" s="35">
        <v>0</v>
      </c>
      <c r="I798" s="35">
        <v>0</v>
      </c>
      <c r="J798" s="35">
        <v>0</v>
      </c>
      <c r="K798" s="67">
        <v>0</v>
      </c>
      <c r="L798" s="31">
        <v>0</v>
      </c>
      <c r="M798" s="31">
        <v>1161</v>
      </c>
      <c r="N798" s="31">
        <v>4929255.5600000005</v>
      </c>
      <c r="O798" s="35">
        <v>0</v>
      </c>
      <c r="P798" s="35">
        <v>0</v>
      </c>
      <c r="Q798" s="31">
        <v>0</v>
      </c>
      <c r="R798" s="31">
        <v>0</v>
      </c>
      <c r="S798" s="31">
        <v>0</v>
      </c>
      <c r="T798" s="31">
        <v>0</v>
      </c>
      <c r="U798" s="31">
        <v>0</v>
      </c>
      <c r="V798" s="31">
        <v>0</v>
      </c>
      <c r="W798" s="31">
        <v>0</v>
      </c>
      <c r="X798" s="31">
        <v>0</v>
      </c>
      <c r="Y798" s="31">
        <v>0</v>
      </c>
      <c r="Z798" s="31">
        <v>0</v>
      </c>
      <c r="AA798" s="31">
        <v>0</v>
      </c>
      <c r="AB798" s="31">
        <v>0</v>
      </c>
      <c r="AC798" s="31">
        <f>ROUND(N798*1.5%,2)</f>
        <v>73938.83</v>
      </c>
      <c r="AD798" s="31">
        <v>0</v>
      </c>
      <c r="AE798" s="31">
        <v>0</v>
      </c>
      <c r="AF798" s="33" t="s">
        <v>268</v>
      </c>
      <c r="AG798" s="33">
        <v>2021</v>
      </c>
      <c r="AH798" s="34">
        <v>2021</v>
      </c>
      <c r="BZ798" s="64"/>
      <c r="CD798" s="20">
        <f>VLOOKUP(C798,CE:CF,2,FALSE)</f>
        <v>1161</v>
      </c>
    </row>
    <row r="799" spans="1:82" ht="61.5" x14ac:dyDescent="0.85">
      <c r="A799" s="20">
        <v>1</v>
      </c>
      <c r="B799" s="60">
        <f>SUBTOTAL(103,$A$558:A799)</f>
        <v>236</v>
      </c>
      <c r="C799" s="24" t="s">
        <v>1938</v>
      </c>
      <c r="D799" s="31">
        <f t="shared" si="160"/>
        <v>6971622.4100000001</v>
      </c>
      <c r="E799" s="37">
        <v>0</v>
      </c>
      <c r="F799" s="37">
        <v>0</v>
      </c>
      <c r="G799" s="37">
        <v>0</v>
      </c>
      <c r="H799" s="37">
        <v>0</v>
      </c>
      <c r="I799" s="37">
        <v>0</v>
      </c>
      <c r="J799" s="37">
        <v>0</v>
      </c>
      <c r="K799" s="77">
        <v>0</v>
      </c>
      <c r="L799" s="37">
        <v>0</v>
      </c>
      <c r="M799" s="31">
        <v>1629.6</v>
      </c>
      <c r="N799" s="31">
        <v>6671549.1699999999</v>
      </c>
      <c r="O799" s="31">
        <v>0</v>
      </c>
      <c r="P799" s="31">
        <v>0</v>
      </c>
      <c r="Q799" s="31">
        <v>0</v>
      </c>
      <c r="R799" s="31">
        <v>0</v>
      </c>
      <c r="S799" s="31">
        <v>0</v>
      </c>
      <c r="T799" s="31">
        <v>0</v>
      </c>
      <c r="U799" s="31">
        <v>0</v>
      </c>
      <c r="V799" s="31">
        <v>0</v>
      </c>
      <c r="W799" s="31">
        <v>0</v>
      </c>
      <c r="X799" s="31">
        <v>0</v>
      </c>
      <c r="Y799" s="31">
        <v>0</v>
      </c>
      <c r="Z799" s="31">
        <v>0</v>
      </c>
      <c r="AA799" s="31">
        <v>0</v>
      </c>
      <c r="AB799" s="31">
        <v>0</v>
      </c>
      <c r="AC799" s="31">
        <f>ROUND(N799*1.5%,2)</f>
        <v>100073.24</v>
      </c>
      <c r="AD799" s="31">
        <v>200000</v>
      </c>
      <c r="AE799" s="31">
        <v>0</v>
      </c>
      <c r="AF799" s="33">
        <v>2021</v>
      </c>
      <c r="AG799" s="33">
        <v>2021</v>
      </c>
      <c r="AH799" s="34">
        <v>2021</v>
      </c>
      <c r="BZ799" s="64"/>
    </row>
    <row r="800" spans="1:82" ht="61.5" x14ac:dyDescent="0.85">
      <c r="B800" s="24" t="s">
        <v>817</v>
      </c>
      <c r="C800" s="24"/>
      <c r="D800" s="199">
        <f t="shared" ref="D800:AE800" si="161">SUM(D801:D806)</f>
        <v>22006421.640000001</v>
      </c>
      <c r="E800" s="31">
        <f t="shared" si="161"/>
        <v>0</v>
      </c>
      <c r="F800" s="31">
        <f t="shared" si="161"/>
        <v>0</v>
      </c>
      <c r="G800" s="31">
        <f t="shared" si="161"/>
        <v>0</v>
      </c>
      <c r="H800" s="31">
        <f t="shared" si="161"/>
        <v>0</v>
      </c>
      <c r="I800" s="31">
        <f t="shared" si="161"/>
        <v>0</v>
      </c>
      <c r="J800" s="31">
        <f t="shared" si="161"/>
        <v>0</v>
      </c>
      <c r="K800" s="67">
        <f t="shared" si="161"/>
        <v>0</v>
      </c>
      <c r="L800" s="31">
        <f t="shared" si="161"/>
        <v>0</v>
      </c>
      <c r="M800" s="31">
        <f t="shared" si="161"/>
        <v>4762.83</v>
      </c>
      <c r="N800" s="31">
        <f t="shared" si="161"/>
        <v>20824060.739999998</v>
      </c>
      <c r="O800" s="31">
        <f t="shared" si="161"/>
        <v>0</v>
      </c>
      <c r="P800" s="31">
        <f t="shared" si="161"/>
        <v>0</v>
      </c>
      <c r="Q800" s="31">
        <f t="shared" si="161"/>
        <v>0</v>
      </c>
      <c r="R800" s="31">
        <f t="shared" si="161"/>
        <v>0</v>
      </c>
      <c r="S800" s="31">
        <f t="shared" si="161"/>
        <v>0</v>
      </c>
      <c r="T800" s="31">
        <f t="shared" si="161"/>
        <v>0</v>
      </c>
      <c r="U800" s="31">
        <f t="shared" si="161"/>
        <v>0</v>
      </c>
      <c r="V800" s="31">
        <f t="shared" si="161"/>
        <v>0</v>
      </c>
      <c r="W800" s="31">
        <f t="shared" si="161"/>
        <v>0</v>
      </c>
      <c r="X800" s="31">
        <f t="shared" si="161"/>
        <v>0</v>
      </c>
      <c r="Y800" s="31">
        <f t="shared" si="161"/>
        <v>0</v>
      </c>
      <c r="Z800" s="31">
        <f t="shared" si="161"/>
        <v>0</v>
      </c>
      <c r="AA800" s="31">
        <f t="shared" si="161"/>
        <v>0</v>
      </c>
      <c r="AB800" s="31">
        <f t="shared" si="161"/>
        <v>0</v>
      </c>
      <c r="AC800" s="31">
        <f t="shared" si="161"/>
        <v>312360.90000000002</v>
      </c>
      <c r="AD800" s="31">
        <f t="shared" si="161"/>
        <v>870000</v>
      </c>
      <c r="AE800" s="31">
        <f t="shared" si="161"/>
        <v>0</v>
      </c>
      <c r="AF800" s="65" t="s">
        <v>751</v>
      </c>
      <c r="AG800" s="65" t="s">
        <v>751</v>
      </c>
      <c r="AH800" s="79" t="s">
        <v>751</v>
      </c>
      <c r="AT800" s="20" t="e">
        <f t="shared" ref="AT800:AT827" si="162">VLOOKUP(C800,AW:AX,2,FALSE)</f>
        <v>#N/A</v>
      </c>
      <c r="BZ800" s="64">
        <v>13069363.829999998</v>
      </c>
      <c r="CD800" s="20" t="e">
        <f t="shared" ref="CD800:CD834" si="163">VLOOKUP(C800,CE:CF,2,FALSE)</f>
        <v>#N/A</v>
      </c>
    </row>
    <row r="801" spans="1:82" ht="61.5" x14ac:dyDescent="0.85">
      <c r="A801" s="20">
        <v>1</v>
      </c>
      <c r="B801" s="60">
        <f>SUBTOTAL(103,$A$558:A801)</f>
        <v>237</v>
      </c>
      <c r="C801" s="24" t="s">
        <v>646</v>
      </c>
      <c r="D801" s="31">
        <f t="shared" ref="D801:D805" si="164">E801+F801+G801+H801+I801+J801+L801+N801+P801+R801+T801+U801+V801+W801+X801+Y801+Z801+AA801+AB801+AC801+AD801+AE801</f>
        <v>2308745</v>
      </c>
      <c r="E801" s="35">
        <v>0</v>
      </c>
      <c r="F801" s="35">
        <v>0</v>
      </c>
      <c r="G801" s="35">
        <v>0</v>
      </c>
      <c r="H801" s="35">
        <v>0</v>
      </c>
      <c r="I801" s="35">
        <v>0</v>
      </c>
      <c r="J801" s="35">
        <v>0</v>
      </c>
      <c r="K801" s="67">
        <v>0</v>
      </c>
      <c r="L801" s="31">
        <v>0</v>
      </c>
      <c r="M801" s="31">
        <v>345</v>
      </c>
      <c r="N801" s="31">
        <v>2156399.0099999998</v>
      </c>
      <c r="O801" s="31">
        <v>0</v>
      </c>
      <c r="P801" s="31">
        <v>0</v>
      </c>
      <c r="Q801" s="31">
        <v>0</v>
      </c>
      <c r="R801" s="31">
        <v>0</v>
      </c>
      <c r="S801" s="31">
        <v>0</v>
      </c>
      <c r="T801" s="31">
        <v>0</v>
      </c>
      <c r="U801" s="31">
        <v>0</v>
      </c>
      <c r="V801" s="31">
        <v>0</v>
      </c>
      <c r="W801" s="31">
        <v>0</v>
      </c>
      <c r="X801" s="31">
        <v>0</v>
      </c>
      <c r="Y801" s="31">
        <v>0</v>
      </c>
      <c r="Z801" s="31">
        <v>0</v>
      </c>
      <c r="AA801" s="31">
        <v>0</v>
      </c>
      <c r="AB801" s="31">
        <v>0</v>
      </c>
      <c r="AC801" s="31">
        <f t="shared" ref="AC801:AC805" si="165">ROUND(N801*1.5%,2)</f>
        <v>32345.99</v>
      </c>
      <c r="AD801" s="31">
        <v>120000</v>
      </c>
      <c r="AE801" s="31">
        <v>0</v>
      </c>
      <c r="AF801" s="33">
        <v>2021</v>
      </c>
      <c r="AG801" s="33">
        <v>2021</v>
      </c>
      <c r="AH801" s="34">
        <v>2021</v>
      </c>
      <c r="AT801" s="20" t="e">
        <f t="shared" si="162"/>
        <v>#N/A</v>
      </c>
      <c r="BZ801" s="64"/>
      <c r="CD801" s="20" t="e">
        <f t="shared" si="163"/>
        <v>#N/A</v>
      </c>
    </row>
    <row r="802" spans="1:82" ht="61.5" x14ac:dyDescent="0.85">
      <c r="A802" s="20">
        <v>1</v>
      </c>
      <c r="B802" s="60">
        <f>SUBTOTAL(103,$A$558:A802)</f>
        <v>238</v>
      </c>
      <c r="C802" s="24" t="s">
        <v>647</v>
      </c>
      <c r="D802" s="31">
        <f t="shared" si="164"/>
        <v>4232403.2300000004</v>
      </c>
      <c r="E802" s="35">
        <v>0</v>
      </c>
      <c r="F802" s="35">
        <v>0</v>
      </c>
      <c r="G802" s="35">
        <v>0</v>
      </c>
      <c r="H802" s="35">
        <v>0</v>
      </c>
      <c r="I802" s="35">
        <v>0</v>
      </c>
      <c r="J802" s="35">
        <v>0</v>
      </c>
      <c r="K802" s="67">
        <v>0</v>
      </c>
      <c r="L802" s="31">
        <v>0</v>
      </c>
      <c r="M802" s="31">
        <v>748</v>
      </c>
      <c r="N802" s="31">
        <f>3999810.84+22261.31</f>
        <v>4022072.15</v>
      </c>
      <c r="O802" s="31">
        <v>0</v>
      </c>
      <c r="P802" s="31">
        <v>0</v>
      </c>
      <c r="Q802" s="31">
        <v>0</v>
      </c>
      <c r="R802" s="31">
        <v>0</v>
      </c>
      <c r="S802" s="31">
        <v>0</v>
      </c>
      <c r="T802" s="31">
        <v>0</v>
      </c>
      <c r="U802" s="31">
        <v>0</v>
      </c>
      <c r="V802" s="31">
        <v>0</v>
      </c>
      <c r="W802" s="31">
        <v>0</v>
      </c>
      <c r="X802" s="31">
        <v>0</v>
      </c>
      <c r="Y802" s="31">
        <v>0</v>
      </c>
      <c r="Z802" s="31">
        <v>0</v>
      </c>
      <c r="AA802" s="31">
        <v>0</v>
      </c>
      <c r="AB802" s="31">
        <v>0</v>
      </c>
      <c r="AC802" s="31">
        <f t="shared" si="165"/>
        <v>60331.08</v>
      </c>
      <c r="AD802" s="31">
        <v>150000</v>
      </c>
      <c r="AE802" s="31">
        <v>0</v>
      </c>
      <c r="AF802" s="33">
        <v>2021</v>
      </c>
      <c r="AG802" s="33">
        <v>2021</v>
      </c>
      <c r="AH802" s="34">
        <v>2021</v>
      </c>
      <c r="AT802" s="20" t="e">
        <f t="shared" si="162"/>
        <v>#N/A</v>
      </c>
      <c r="BZ802" s="64"/>
      <c r="CD802" s="20" t="e">
        <f t="shared" si="163"/>
        <v>#N/A</v>
      </c>
    </row>
    <row r="803" spans="1:82" ht="61.5" x14ac:dyDescent="0.85">
      <c r="A803" s="20">
        <v>1</v>
      </c>
      <c r="B803" s="60">
        <f>SUBTOTAL(103,$A$558:A803)</f>
        <v>239</v>
      </c>
      <c r="C803" s="24" t="s">
        <v>645</v>
      </c>
      <c r="D803" s="31">
        <f t="shared" si="164"/>
        <v>3341865.1999999997</v>
      </c>
      <c r="E803" s="35">
        <v>0</v>
      </c>
      <c r="F803" s="35">
        <v>0</v>
      </c>
      <c r="G803" s="35">
        <v>0</v>
      </c>
      <c r="H803" s="35">
        <v>0</v>
      </c>
      <c r="I803" s="35">
        <v>0</v>
      </c>
      <c r="J803" s="35">
        <v>0</v>
      </c>
      <c r="K803" s="67">
        <v>0</v>
      </c>
      <c r="L803" s="31">
        <v>0</v>
      </c>
      <c r="M803" s="31">
        <v>601.20000000000005</v>
      </c>
      <c r="N803" s="31">
        <v>3144694.78</v>
      </c>
      <c r="O803" s="31">
        <v>0</v>
      </c>
      <c r="P803" s="31">
        <v>0</v>
      </c>
      <c r="Q803" s="31">
        <v>0</v>
      </c>
      <c r="R803" s="31">
        <v>0</v>
      </c>
      <c r="S803" s="31">
        <v>0</v>
      </c>
      <c r="T803" s="31">
        <v>0</v>
      </c>
      <c r="U803" s="31">
        <v>0</v>
      </c>
      <c r="V803" s="31">
        <v>0</v>
      </c>
      <c r="W803" s="31">
        <v>0</v>
      </c>
      <c r="X803" s="31">
        <v>0</v>
      </c>
      <c r="Y803" s="31">
        <v>0</v>
      </c>
      <c r="Z803" s="31">
        <v>0</v>
      </c>
      <c r="AA803" s="31">
        <v>0</v>
      </c>
      <c r="AB803" s="31">
        <v>0</v>
      </c>
      <c r="AC803" s="31">
        <f t="shared" si="165"/>
        <v>47170.42</v>
      </c>
      <c r="AD803" s="31">
        <v>150000</v>
      </c>
      <c r="AE803" s="31">
        <v>0</v>
      </c>
      <c r="AF803" s="33">
        <v>2021</v>
      </c>
      <c r="AG803" s="33">
        <v>2021</v>
      </c>
      <c r="AH803" s="34">
        <v>2021</v>
      </c>
      <c r="AT803" s="20" t="e">
        <f t="shared" si="162"/>
        <v>#N/A</v>
      </c>
      <c r="BZ803" s="64"/>
      <c r="CD803" s="20" t="e">
        <f t="shared" si="163"/>
        <v>#N/A</v>
      </c>
    </row>
    <row r="804" spans="1:82" ht="61.5" x14ac:dyDescent="0.85">
      <c r="A804" s="20">
        <v>1</v>
      </c>
      <c r="B804" s="60">
        <f>SUBTOTAL(103,$A$558:A804)</f>
        <v>240</v>
      </c>
      <c r="C804" s="24" t="s">
        <v>1952</v>
      </c>
      <c r="D804" s="31">
        <f t="shared" si="164"/>
        <v>3823671.0300000003</v>
      </c>
      <c r="E804" s="35">
        <v>0</v>
      </c>
      <c r="F804" s="35">
        <v>0</v>
      </c>
      <c r="G804" s="35">
        <v>0</v>
      </c>
      <c r="H804" s="35">
        <v>0</v>
      </c>
      <c r="I804" s="35">
        <v>0</v>
      </c>
      <c r="J804" s="35">
        <v>0</v>
      </c>
      <c r="K804" s="67">
        <v>0</v>
      </c>
      <c r="L804" s="31">
        <v>0</v>
      </c>
      <c r="M804" s="31">
        <v>703.7</v>
      </c>
      <c r="N804" s="31">
        <f>3570119.24+49261.09</f>
        <v>3619380.33</v>
      </c>
      <c r="O804" s="31">
        <v>0</v>
      </c>
      <c r="P804" s="31">
        <v>0</v>
      </c>
      <c r="Q804" s="31">
        <v>0</v>
      </c>
      <c r="R804" s="31">
        <v>0</v>
      </c>
      <c r="S804" s="31">
        <v>0</v>
      </c>
      <c r="T804" s="31">
        <v>0</v>
      </c>
      <c r="U804" s="31">
        <v>0</v>
      </c>
      <c r="V804" s="31">
        <v>0</v>
      </c>
      <c r="W804" s="31">
        <v>0</v>
      </c>
      <c r="X804" s="31">
        <v>0</v>
      </c>
      <c r="Y804" s="31">
        <v>0</v>
      </c>
      <c r="Z804" s="31">
        <v>0</v>
      </c>
      <c r="AA804" s="31">
        <v>0</v>
      </c>
      <c r="AB804" s="31">
        <v>0</v>
      </c>
      <c r="AC804" s="31">
        <f t="shared" si="165"/>
        <v>54290.7</v>
      </c>
      <c r="AD804" s="31">
        <v>150000</v>
      </c>
      <c r="AE804" s="31">
        <v>0</v>
      </c>
      <c r="AF804" s="33">
        <v>2021</v>
      </c>
      <c r="AG804" s="33">
        <v>2021</v>
      </c>
      <c r="AH804" s="34">
        <v>2021</v>
      </c>
      <c r="AT804" s="20" t="e">
        <f t="shared" si="162"/>
        <v>#N/A</v>
      </c>
      <c r="BZ804" s="64"/>
      <c r="CD804" s="20" t="e">
        <f t="shared" si="163"/>
        <v>#N/A</v>
      </c>
    </row>
    <row r="805" spans="1:82" ht="61.5" x14ac:dyDescent="0.85">
      <c r="A805" s="20">
        <v>1</v>
      </c>
      <c r="B805" s="60">
        <f>SUBTOTAL(103,$A$558:A805)</f>
        <v>241</v>
      </c>
      <c r="C805" s="24" t="s">
        <v>1953</v>
      </c>
      <c r="D805" s="31">
        <f t="shared" si="164"/>
        <v>3256927.5100000002</v>
      </c>
      <c r="E805" s="35">
        <v>0</v>
      </c>
      <c r="F805" s="35">
        <v>0</v>
      </c>
      <c r="G805" s="35">
        <v>0</v>
      </c>
      <c r="H805" s="35">
        <v>0</v>
      </c>
      <c r="I805" s="35">
        <v>0</v>
      </c>
      <c r="J805" s="35">
        <v>0</v>
      </c>
      <c r="K805" s="67">
        <v>0</v>
      </c>
      <c r="L805" s="31">
        <v>0</v>
      </c>
      <c r="M805" s="31">
        <v>710.15</v>
      </c>
      <c r="N805" s="35">
        <v>3061012.33</v>
      </c>
      <c r="O805" s="31">
        <v>0</v>
      </c>
      <c r="P805" s="31">
        <v>0</v>
      </c>
      <c r="Q805" s="31">
        <v>0</v>
      </c>
      <c r="R805" s="31">
        <v>0</v>
      </c>
      <c r="S805" s="31">
        <v>0</v>
      </c>
      <c r="T805" s="31">
        <v>0</v>
      </c>
      <c r="U805" s="31">
        <v>0</v>
      </c>
      <c r="V805" s="31">
        <v>0</v>
      </c>
      <c r="W805" s="31">
        <v>0</v>
      </c>
      <c r="X805" s="31">
        <v>0</v>
      </c>
      <c r="Y805" s="31">
        <v>0</v>
      </c>
      <c r="Z805" s="31">
        <v>0</v>
      </c>
      <c r="AA805" s="31">
        <v>0</v>
      </c>
      <c r="AB805" s="31">
        <v>0</v>
      </c>
      <c r="AC805" s="31">
        <f t="shared" si="165"/>
        <v>45915.18</v>
      </c>
      <c r="AD805" s="31">
        <v>150000</v>
      </c>
      <c r="AE805" s="31">
        <v>0</v>
      </c>
      <c r="AF805" s="33">
        <v>2021</v>
      </c>
      <c r="AG805" s="33">
        <v>2021</v>
      </c>
      <c r="AH805" s="34">
        <v>2021</v>
      </c>
      <c r="AT805" s="20" t="e">
        <f t="shared" si="162"/>
        <v>#N/A</v>
      </c>
      <c r="BZ805" s="64"/>
      <c r="CD805" s="20" t="e">
        <f t="shared" si="163"/>
        <v>#N/A</v>
      </c>
    </row>
    <row r="806" spans="1:82" ht="61.5" x14ac:dyDescent="0.85">
      <c r="A806" s="20">
        <v>1</v>
      </c>
      <c r="B806" s="60">
        <f>SUBTOTAL(103,$A$558:A806)</f>
        <v>242</v>
      </c>
      <c r="C806" s="24" t="s">
        <v>1951</v>
      </c>
      <c r="D806" s="31">
        <f>E806+F806+G806+H806+I806+J806+L806+N806+P806+R806+T806+U806+V806+W806+X806+Y806+Z806+AA806+AB806+AC806+AD806+AE806</f>
        <v>5042809.67</v>
      </c>
      <c r="E806" s="37">
        <v>0</v>
      </c>
      <c r="F806" s="37">
        <v>0</v>
      </c>
      <c r="G806" s="31">
        <v>0</v>
      </c>
      <c r="H806" s="37">
        <v>0</v>
      </c>
      <c r="I806" s="37">
        <v>0</v>
      </c>
      <c r="J806" s="37">
        <v>0</v>
      </c>
      <c r="K806" s="77">
        <v>0</v>
      </c>
      <c r="L806" s="37">
        <v>0</v>
      </c>
      <c r="M806" s="31">
        <v>1654.78</v>
      </c>
      <c r="N806" s="31">
        <v>4820502.1399999997</v>
      </c>
      <c r="O806" s="31">
        <v>0</v>
      </c>
      <c r="P806" s="31">
        <v>0</v>
      </c>
      <c r="Q806" s="31">
        <v>0</v>
      </c>
      <c r="R806" s="31">
        <v>0</v>
      </c>
      <c r="S806" s="31">
        <v>0</v>
      </c>
      <c r="T806" s="31">
        <v>0</v>
      </c>
      <c r="U806" s="31">
        <v>0</v>
      </c>
      <c r="V806" s="31">
        <v>0</v>
      </c>
      <c r="W806" s="31">
        <v>0</v>
      </c>
      <c r="X806" s="31">
        <v>0</v>
      </c>
      <c r="Y806" s="31">
        <v>0</v>
      </c>
      <c r="Z806" s="31">
        <v>0</v>
      </c>
      <c r="AA806" s="31">
        <v>0</v>
      </c>
      <c r="AB806" s="31">
        <v>0</v>
      </c>
      <c r="AC806" s="31">
        <f>ROUND(N806*1.5%,2)</f>
        <v>72307.53</v>
      </c>
      <c r="AD806" s="31">
        <v>150000</v>
      </c>
      <c r="AE806" s="31">
        <v>0</v>
      </c>
      <c r="AF806" s="33">
        <v>2021</v>
      </c>
      <c r="AG806" s="33">
        <v>2021</v>
      </c>
      <c r="AH806" s="34">
        <v>2021</v>
      </c>
      <c r="AT806" s="20" t="e">
        <f t="shared" si="162"/>
        <v>#N/A</v>
      </c>
      <c r="BZ806" s="64"/>
      <c r="CD806" s="20" t="e">
        <f t="shared" si="163"/>
        <v>#N/A</v>
      </c>
    </row>
    <row r="807" spans="1:82" ht="61.5" x14ac:dyDescent="0.85">
      <c r="B807" s="24" t="s">
        <v>818</v>
      </c>
      <c r="C807" s="24"/>
      <c r="D807" s="199">
        <f>SUM(D808:D811)</f>
        <v>13606335.93</v>
      </c>
      <c r="E807" s="31">
        <f t="shared" ref="E807:AE807" si="166">SUM(E808:E811)</f>
        <v>126532.34</v>
      </c>
      <c r="F807" s="31">
        <f t="shared" si="166"/>
        <v>0</v>
      </c>
      <c r="G807" s="31">
        <f t="shared" si="166"/>
        <v>1835434.08</v>
      </c>
      <c r="H807" s="31">
        <f t="shared" si="166"/>
        <v>207872.75</v>
      </c>
      <c r="I807" s="31">
        <f t="shared" si="166"/>
        <v>1860166.6600000001</v>
      </c>
      <c r="J807" s="31">
        <f t="shared" si="166"/>
        <v>0</v>
      </c>
      <c r="K807" s="67">
        <f t="shared" si="166"/>
        <v>0</v>
      </c>
      <c r="L807" s="31">
        <f t="shared" si="166"/>
        <v>0</v>
      </c>
      <c r="M807" s="31">
        <f t="shared" si="166"/>
        <v>1780</v>
      </c>
      <c r="N807" s="31">
        <f t="shared" si="166"/>
        <v>8587073.9000000004</v>
      </c>
      <c r="O807" s="31">
        <f t="shared" si="166"/>
        <v>0</v>
      </c>
      <c r="P807" s="31">
        <f t="shared" si="166"/>
        <v>0</v>
      </c>
      <c r="Q807" s="31">
        <f t="shared" si="166"/>
        <v>0</v>
      </c>
      <c r="R807" s="31">
        <f t="shared" si="166"/>
        <v>0</v>
      </c>
      <c r="S807" s="31">
        <f t="shared" si="166"/>
        <v>0</v>
      </c>
      <c r="T807" s="31">
        <f t="shared" si="166"/>
        <v>0</v>
      </c>
      <c r="U807" s="31">
        <f t="shared" si="166"/>
        <v>0</v>
      </c>
      <c r="V807" s="31">
        <f t="shared" si="166"/>
        <v>0</v>
      </c>
      <c r="W807" s="31">
        <f t="shared" si="166"/>
        <v>0</v>
      </c>
      <c r="X807" s="31">
        <f t="shared" si="166"/>
        <v>0</v>
      </c>
      <c r="Y807" s="31">
        <f t="shared" si="166"/>
        <v>0</v>
      </c>
      <c r="Z807" s="31">
        <f t="shared" si="166"/>
        <v>0</v>
      </c>
      <c r="AA807" s="31">
        <f t="shared" si="166"/>
        <v>0</v>
      </c>
      <c r="AB807" s="31">
        <f t="shared" si="166"/>
        <v>0</v>
      </c>
      <c r="AC807" s="31">
        <f t="shared" si="166"/>
        <v>189256.2</v>
      </c>
      <c r="AD807" s="31">
        <f t="shared" si="166"/>
        <v>800000</v>
      </c>
      <c r="AE807" s="31">
        <f t="shared" si="166"/>
        <v>0</v>
      </c>
      <c r="AF807" s="65" t="s">
        <v>751</v>
      </c>
      <c r="AG807" s="65" t="s">
        <v>751</v>
      </c>
      <c r="AH807" s="79" t="s">
        <v>751</v>
      </c>
      <c r="AT807" s="20" t="e">
        <f t="shared" si="162"/>
        <v>#N/A</v>
      </c>
      <c r="BZ807" s="64">
        <v>9045880.0099999998</v>
      </c>
      <c r="CD807" s="20" t="e">
        <f t="shared" si="163"/>
        <v>#N/A</v>
      </c>
    </row>
    <row r="808" spans="1:82" ht="61.5" x14ac:dyDescent="0.85">
      <c r="A808" s="20">
        <v>1</v>
      </c>
      <c r="B808" s="60">
        <f>SUBTOTAL(103,$A$558:A808)</f>
        <v>243</v>
      </c>
      <c r="C808" s="24" t="s">
        <v>652</v>
      </c>
      <c r="D808" s="31">
        <f>E808+F808+G808+H808+I808+J808+L808+N808+P808+R808+T808+U808+V808+W808+X808+Y808+Z808+AA808+AB808+AC808+AD808+AE808</f>
        <v>3550280</v>
      </c>
      <c r="E808" s="35">
        <v>0</v>
      </c>
      <c r="F808" s="35">
        <v>0</v>
      </c>
      <c r="G808" s="35">
        <v>0</v>
      </c>
      <c r="H808" s="35">
        <v>0</v>
      </c>
      <c r="I808" s="35">
        <v>0</v>
      </c>
      <c r="J808" s="35">
        <v>0</v>
      </c>
      <c r="K808" s="67">
        <v>0</v>
      </c>
      <c r="L808" s="31">
        <v>0</v>
      </c>
      <c r="M808" s="31">
        <v>680</v>
      </c>
      <c r="N808" s="31">
        <v>3350029.56</v>
      </c>
      <c r="O808" s="31">
        <v>0</v>
      </c>
      <c r="P808" s="31">
        <v>0</v>
      </c>
      <c r="Q808" s="31">
        <v>0</v>
      </c>
      <c r="R808" s="31">
        <v>0</v>
      </c>
      <c r="S808" s="31">
        <v>0</v>
      </c>
      <c r="T808" s="31">
        <v>0</v>
      </c>
      <c r="U808" s="31">
        <v>0</v>
      </c>
      <c r="V808" s="31">
        <v>0</v>
      </c>
      <c r="W808" s="31">
        <v>0</v>
      </c>
      <c r="X808" s="31">
        <v>0</v>
      </c>
      <c r="Y808" s="31">
        <v>0</v>
      </c>
      <c r="Z808" s="31">
        <v>0</v>
      </c>
      <c r="AA808" s="31">
        <v>0</v>
      </c>
      <c r="AB808" s="31">
        <v>0</v>
      </c>
      <c r="AC808" s="31">
        <f>ROUND(N808*1.5%,2)</f>
        <v>50250.44</v>
      </c>
      <c r="AD808" s="31">
        <v>150000</v>
      </c>
      <c r="AE808" s="31">
        <v>0</v>
      </c>
      <c r="AF808" s="33">
        <v>2021</v>
      </c>
      <c r="AG808" s="33">
        <v>2021</v>
      </c>
      <c r="AH808" s="34">
        <v>2021</v>
      </c>
      <c r="AT808" s="20" t="e">
        <f t="shared" si="162"/>
        <v>#N/A</v>
      </c>
      <c r="BZ808" s="64"/>
      <c r="CD808" s="20" t="e">
        <f t="shared" si="163"/>
        <v>#N/A</v>
      </c>
    </row>
    <row r="809" spans="1:82" ht="61.5" x14ac:dyDescent="0.85">
      <c r="A809" s="20">
        <v>1</v>
      </c>
      <c r="B809" s="60">
        <f>SUBTOTAL(103,$A$558:A809)</f>
        <v>244</v>
      </c>
      <c r="C809" s="24" t="s">
        <v>655</v>
      </c>
      <c r="D809" s="31">
        <f>E809+F809+G809+H809+I809+J809+L809+N809+P809+R809+T809+U809+V809+W809+X809+Y809+Z809+AA809+AB809+AC809+AD809+AE809</f>
        <v>5495600.0099999998</v>
      </c>
      <c r="E809" s="37">
        <v>0</v>
      </c>
      <c r="F809" s="37">
        <v>0</v>
      </c>
      <c r="G809" s="37">
        <v>0</v>
      </c>
      <c r="H809" s="37">
        <v>0</v>
      </c>
      <c r="I809" s="37">
        <v>0</v>
      </c>
      <c r="J809" s="37">
        <v>0</v>
      </c>
      <c r="K809" s="77">
        <v>0</v>
      </c>
      <c r="L809" s="37">
        <v>0</v>
      </c>
      <c r="M809" s="31">
        <v>1100</v>
      </c>
      <c r="N809" s="31">
        <v>5237044.34</v>
      </c>
      <c r="O809" s="31">
        <v>0</v>
      </c>
      <c r="P809" s="31">
        <v>0</v>
      </c>
      <c r="Q809" s="31">
        <v>0</v>
      </c>
      <c r="R809" s="31">
        <v>0</v>
      </c>
      <c r="S809" s="31">
        <v>0</v>
      </c>
      <c r="T809" s="31">
        <v>0</v>
      </c>
      <c r="U809" s="31">
        <v>0</v>
      </c>
      <c r="V809" s="31">
        <v>0</v>
      </c>
      <c r="W809" s="31">
        <v>0</v>
      </c>
      <c r="X809" s="31">
        <v>0</v>
      </c>
      <c r="Y809" s="31">
        <v>0</v>
      </c>
      <c r="Z809" s="31">
        <v>0</v>
      </c>
      <c r="AA809" s="31">
        <v>0</v>
      </c>
      <c r="AB809" s="31">
        <v>0</v>
      </c>
      <c r="AC809" s="31">
        <f>ROUND(N809*1.5%,2)</f>
        <v>78555.67</v>
      </c>
      <c r="AD809" s="31">
        <v>180000</v>
      </c>
      <c r="AE809" s="31">
        <v>0</v>
      </c>
      <c r="AF809" s="33">
        <v>2021</v>
      </c>
      <c r="AG809" s="33">
        <v>2021</v>
      </c>
      <c r="AH809" s="34">
        <v>2021</v>
      </c>
      <c r="AT809" s="20" t="e">
        <f t="shared" si="162"/>
        <v>#N/A</v>
      </c>
      <c r="BZ809" s="64"/>
      <c r="CD809" s="20" t="e">
        <f t="shared" si="163"/>
        <v>#N/A</v>
      </c>
    </row>
    <row r="810" spans="1:82" ht="61.5" x14ac:dyDescent="0.85">
      <c r="A810" s="20">
        <v>1</v>
      </c>
      <c r="B810" s="60">
        <f>SUBTOTAL(103,$A$558:A810)</f>
        <v>245</v>
      </c>
      <c r="C810" s="24" t="s">
        <v>1910</v>
      </c>
      <c r="D810" s="31">
        <f>E810+F810+G810+H810+I810+J810+L810+N810+P810+R810+T810+U810+V810+W810+X810+Y810+Z810+AA810+AB810+AC810+AD810+AE810</f>
        <v>3582812.32</v>
      </c>
      <c r="E810" s="37">
        <v>126532.34</v>
      </c>
      <c r="F810" s="37">
        <v>0</v>
      </c>
      <c r="G810" s="37">
        <f>2070237.87-234803.79</f>
        <v>1835434.08</v>
      </c>
      <c r="H810" s="37">
        <v>207872.75</v>
      </c>
      <c r="I810" s="37">
        <v>1044754.25</v>
      </c>
      <c r="J810" s="37">
        <v>0</v>
      </c>
      <c r="K810" s="77">
        <v>0</v>
      </c>
      <c r="L810" s="37">
        <v>0</v>
      </c>
      <c r="M810" s="31">
        <v>0</v>
      </c>
      <c r="N810" s="31">
        <v>0</v>
      </c>
      <c r="O810" s="31">
        <v>0</v>
      </c>
      <c r="P810" s="31">
        <v>0</v>
      </c>
      <c r="Q810" s="31">
        <v>0</v>
      </c>
      <c r="R810" s="31">
        <v>0</v>
      </c>
      <c r="S810" s="31">
        <v>0</v>
      </c>
      <c r="T810" s="31">
        <v>0</v>
      </c>
      <c r="U810" s="31">
        <v>0</v>
      </c>
      <c r="V810" s="31">
        <v>0</v>
      </c>
      <c r="W810" s="31">
        <v>0</v>
      </c>
      <c r="X810" s="31">
        <v>0</v>
      </c>
      <c r="Y810" s="31">
        <v>0</v>
      </c>
      <c r="Z810" s="31">
        <v>0</v>
      </c>
      <c r="AA810" s="31">
        <v>0</v>
      </c>
      <c r="AB810" s="31">
        <v>0</v>
      </c>
      <c r="AC810" s="31">
        <f>ROUND((E810+G810+H810+I810)*1.5%,2)</f>
        <v>48218.9</v>
      </c>
      <c r="AD810" s="31">
        <v>320000</v>
      </c>
      <c r="AE810" s="31">
        <v>0</v>
      </c>
      <c r="AF810" s="33">
        <v>2021</v>
      </c>
      <c r="AG810" s="33">
        <v>2021</v>
      </c>
      <c r="AH810" s="34">
        <v>2021</v>
      </c>
      <c r="AT810" s="20" t="e">
        <f t="shared" si="162"/>
        <v>#N/A</v>
      </c>
      <c r="BZ810" s="64"/>
      <c r="CD810" s="20" t="e">
        <f t="shared" si="163"/>
        <v>#N/A</v>
      </c>
    </row>
    <row r="811" spans="1:82" ht="61.5" x14ac:dyDescent="0.85">
      <c r="A811" s="20">
        <v>1</v>
      </c>
      <c r="B811" s="60">
        <f>SUBTOTAL(103,$A$558:A811)</f>
        <v>246</v>
      </c>
      <c r="C811" s="24" t="s">
        <v>1939</v>
      </c>
      <c r="D811" s="31">
        <f>E811+F811+G811+H811+I811+J811+L811+N811+P811+R811+T811+U811+V811+W811+X811+Y811+Z811+AA811+AB811+AC811+AD811+AE811</f>
        <v>977643.6</v>
      </c>
      <c r="E811" s="37">
        <v>0</v>
      </c>
      <c r="F811" s="37">
        <v>0</v>
      </c>
      <c r="G811" s="37">
        <v>0</v>
      </c>
      <c r="H811" s="37">
        <v>0</v>
      </c>
      <c r="I811" s="37">
        <v>815412.41</v>
      </c>
      <c r="J811" s="37">
        <v>0</v>
      </c>
      <c r="K811" s="77">
        <v>0</v>
      </c>
      <c r="L811" s="37">
        <v>0</v>
      </c>
      <c r="M811" s="31">
        <v>0</v>
      </c>
      <c r="N811" s="31">
        <v>0</v>
      </c>
      <c r="O811" s="31">
        <v>0</v>
      </c>
      <c r="P811" s="31">
        <v>0</v>
      </c>
      <c r="Q811" s="31">
        <v>0</v>
      </c>
      <c r="R811" s="31">
        <v>0</v>
      </c>
      <c r="S811" s="31">
        <v>0</v>
      </c>
      <c r="T811" s="31">
        <v>0</v>
      </c>
      <c r="U811" s="31">
        <v>0</v>
      </c>
      <c r="V811" s="31">
        <v>0</v>
      </c>
      <c r="W811" s="31">
        <v>0</v>
      </c>
      <c r="X811" s="31">
        <v>0</v>
      </c>
      <c r="Y811" s="31">
        <v>0</v>
      </c>
      <c r="Z811" s="31">
        <v>0</v>
      </c>
      <c r="AA811" s="31">
        <v>0</v>
      </c>
      <c r="AB811" s="31">
        <v>0</v>
      </c>
      <c r="AC811" s="31">
        <f>ROUND((E811+G811+H811+I811)*1.5%,2)</f>
        <v>12231.19</v>
      </c>
      <c r="AD811" s="31">
        <v>150000</v>
      </c>
      <c r="AE811" s="31">
        <v>0</v>
      </c>
      <c r="AF811" s="33">
        <v>2021</v>
      </c>
      <c r="AG811" s="33">
        <v>2021</v>
      </c>
      <c r="AH811" s="34">
        <v>2021</v>
      </c>
      <c r="AT811" s="20" t="e">
        <f t="shared" si="162"/>
        <v>#N/A</v>
      </c>
      <c r="BZ811" s="64"/>
      <c r="CD811" s="20" t="e">
        <f t="shared" si="163"/>
        <v>#N/A</v>
      </c>
    </row>
    <row r="812" spans="1:82" ht="61.5" x14ac:dyDescent="0.85">
      <c r="B812" s="24" t="s">
        <v>819</v>
      </c>
      <c r="C812" s="198"/>
      <c r="D812" s="199">
        <f t="shared" ref="D812:AE812" si="167">SUM(D813:D813)</f>
        <v>2579501.7000000002</v>
      </c>
      <c r="E812" s="31">
        <f t="shared" si="167"/>
        <v>0</v>
      </c>
      <c r="F812" s="31">
        <f t="shared" si="167"/>
        <v>0</v>
      </c>
      <c r="G812" s="31">
        <f t="shared" si="167"/>
        <v>0</v>
      </c>
      <c r="H812" s="31">
        <f t="shared" si="167"/>
        <v>0</v>
      </c>
      <c r="I812" s="31">
        <f t="shared" si="167"/>
        <v>0</v>
      </c>
      <c r="J812" s="31">
        <f t="shared" si="167"/>
        <v>0</v>
      </c>
      <c r="K812" s="67">
        <f t="shared" si="167"/>
        <v>0</v>
      </c>
      <c r="L812" s="31">
        <f t="shared" si="167"/>
        <v>0</v>
      </c>
      <c r="M812" s="31">
        <f t="shared" si="167"/>
        <v>1040</v>
      </c>
      <c r="N812" s="31">
        <f t="shared" si="167"/>
        <v>2393597.73</v>
      </c>
      <c r="O812" s="31">
        <f t="shared" si="167"/>
        <v>0</v>
      </c>
      <c r="P812" s="31">
        <f t="shared" si="167"/>
        <v>0</v>
      </c>
      <c r="Q812" s="31">
        <f t="shared" si="167"/>
        <v>0</v>
      </c>
      <c r="R812" s="31">
        <f t="shared" si="167"/>
        <v>0</v>
      </c>
      <c r="S812" s="31">
        <f t="shared" si="167"/>
        <v>0</v>
      </c>
      <c r="T812" s="31">
        <f t="shared" si="167"/>
        <v>0</v>
      </c>
      <c r="U812" s="31">
        <f t="shared" si="167"/>
        <v>0</v>
      </c>
      <c r="V812" s="31">
        <f t="shared" si="167"/>
        <v>0</v>
      </c>
      <c r="W812" s="31">
        <f t="shared" si="167"/>
        <v>0</v>
      </c>
      <c r="X812" s="31">
        <f t="shared" si="167"/>
        <v>0</v>
      </c>
      <c r="Y812" s="31">
        <f t="shared" si="167"/>
        <v>0</v>
      </c>
      <c r="Z812" s="31">
        <f t="shared" si="167"/>
        <v>0</v>
      </c>
      <c r="AA812" s="31">
        <f t="shared" si="167"/>
        <v>0</v>
      </c>
      <c r="AB812" s="31">
        <f t="shared" si="167"/>
        <v>0</v>
      </c>
      <c r="AC812" s="31">
        <f t="shared" si="167"/>
        <v>35903.97</v>
      </c>
      <c r="AD812" s="31">
        <f t="shared" si="167"/>
        <v>150000</v>
      </c>
      <c r="AE812" s="31">
        <f t="shared" si="167"/>
        <v>0</v>
      </c>
      <c r="AF812" s="65" t="s">
        <v>751</v>
      </c>
      <c r="AG812" s="65" t="s">
        <v>751</v>
      </c>
      <c r="AH812" s="79" t="s">
        <v>751</v>
      </c>
      <c r="AT812" s="20" t="e">
        <f t="shared" si="162"/>
        <v>#N/A</v>
      </c>
      <c r="BZ812" s="64">
        <v>2579501.7000000002</v>
      </c>
      <c r="CD812" s="20" t="e">
        <f t="shared" si="163"/>
        <v>#N/A</v>
      </c>
    </row>
    <row r="813" spans="1:82" ht="61.5" x14ac:dyDescent="0.85">
      <c r="A813" s="20">
        <v>1</v>
      </c>
      <c r="B813" s="60">
        <f>SUBTOTAL(103,$A$558:A813)</f>
        <v>247</v>
      </c>
      <c r="C813" s="24" t="s">
        <v>759</v>
      </c>
      <c r="D813" s="31">
        <f>E813+F813+G813+H813+I813+J813+L813+N813+P813+R813+T813+U813+V813+W813+X813+Y813+Z813+AA813+AB813+AC813+AD813+AE813</f>
        <v>2579501.7000000002</v>
      </c>
      <c r="E813" s="31">
        <v>0</v>
      </c>
      <c r="F813" s="31">
        <v>0</v>
      </c>
      <c r="G813" s="31">
        <v>0</v>
      </c>
      <c r="H813" s="31">
        <v>0</v>
      </c>
      <c r="I813" s="31">
        <v>0</v>
      </c>
      <c r="J813" s="31">
        <v>0</v>
      </c>
      <c r="K813" s="67">
        <v>0</v>
      </c>
      <c r="L813" s="31">
        <v>0</v>
      </c>
      <c r="M813" s="31">
        <v>1040</v>
      </c>
      <c r="N813" s="31">
        <v>2393597.73</v>
      </c>
      <c r="O813" s="31">
        <v>0</v>
      </c>
      <c r="P813" s="31">
        <v>0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31">
        <v>0</v>
      </c>
      <c r="Y813" s="31">
        <v>0</v>
      </c>
      <c r="Z813" s="31">
        <v>0</v>
      </c>
      <c r="AA813" s="31">
        <v>0</v>
      </c>
      <c r="AB813" s="31">
        <v>0</v>
      </c>
      <c r="AC813" s="31">
        <f>ROUND(N813*1.5%,2)</f>
        <v>35903.97</v>
      </c>
      <c r="AD813" s="31">
        <v>150000</v>
      </c>
      <c r="AE813" s="31">
        <v>0</v>
      </c>
      <c r="AF813" s="33">
        <v>2021</v>
      </c>
      <c r="AG813" s="33">
        <v>2021</v>
      </c>
      <c r="AH813" s="34">
        <v>2021</v>
      </c>
      <c r="AT813" s="20" t="e">
        <f t="shared" si="162"/>
        <v>#N/A</v>
      </c>
      <c r="BZ813" s="64"/>
      <c r="CD813" s="20" t="e">
        <f t="shared" si="163"/>
        <v>#N/A</v>
      </c>
    </row>
    <row r="814" spans="1:82" ht="61.5" x14ac:dyDescent="0.85">
      <c r="B814" s="24" t="s">
        <v>821</v>
      </c>
      <c r="C814" s="24"/>
      <c r="D814" s="199">
        <f t="shared" ref="D814:AE814" si="168">SUM(D815:D816)</f>
        <v>3008567.42</v>
      </c>
      <c r="E814" s="31">
        <f t="shared" si="168"/>
        <v>0</v>
      </c>
      <c r="F814" s="31">
        <f t="shared" si="168"/>
        <v>0</v>
      </c>
      <c r="G814" s="31">
        <f t="shared" si="168"/>
        <v>0</v>
      </c>
      <c r="H814" s="31">
        <f t="shared" si="168"/>
        <v>0</v>
      </c>
      <c r="I814" s="31">
        <f t="shared" si="168"/>
        <v>357402.65</v>
      </c>
      <c r="J814" s="31">
        <f t="shared" si="168"/>
        <v>0</v>
      </c>
      <c r="K814" s="67">
        <f t="shared" si="168"/>
        <v>0</v>
      </c>
      <c r="L814" s="31">
        <f t="shared" si="168"/>
        <v>0</v>
      </c>
      <c r="M814" s="31">
        <f t="shared" si="168"/>
        <v>646</v>
      </c>
      <c r="N814" s="31">
        <f t="shared" si="168"/>
        <v>2419511.06</v>
      </c>
      <c r="O814" s="31">
        <f t="shared" si="168"/>
        <v>0</v>
      </c>
      <c r="P814" s="31">
        <f t="shared" si="168"/>
        <v>0</v>
      </c>
      <c r="Q814" s="31">
        <f t="shared" si="168"/>
        <v>0</v>
      </c>
      <c r="R814" s="31">
        <f t="shared" si="168"/>
        <v>0</v>
      </c>
      <c r="S814" s="31">
        <f t="shared" si="168"/>
        <v>0</v>
      </c>
      <c r="T814" s="31">
        <f t="shared" si="168"/>
        <v>0</v>
      </c>
      <c r="U814" s="31">
        <f t="shared" si="168"/>
        <v>0</v>
      </c>
      <c r="V814" s="31">
        <f t="shared" si="168"/>
        <v>0</v>
      </c>
      <c r="W814" s="31">
        <f t="shared" si="168"/>
        <v>0</v>
      </c>
      <c r="X814" s="31">
        <f t="shared" si="168"/>
        <v>0</v>
      </c>
      <c r="Y814" s="31">
        <f t="shared" si="168"/>
        <v>0</v>
      </c>
      <c r="Z814" s="31">
        <f t="shared" si="168"/>
        <v>0</v>
      </c>
      <c r="AA814" s="31">
        <f t="shared" si="168"/>
        <v>0</v>
      </c>
      <c r="AB814" s="31">
        <f t="shared" si="168"/>
        <v>0</v>
      </c>
      <c r="AC814" s="31">
        <f t="shared" si="168"/>
        <v>41653.71</v>
      </c>
      <c r="AD814" s="31">
        <f t="shared" si="168"/>
        <v>190000</v>
      </c>
      <c r="AE814" s="31">
        <f t="shared" si="168"/>
        <v>0</v>
      </c>
      <c r="AF814" s="65" t="s">
        <v>751</v>
      </c>
      <c r="AG814" s="65" t="s">
        <v>751</v>
      </c>
      <c r="AH814" s="79" t="s">
        <v>751</v>
      </c>
      <c r="AT814" s="20" t="e">
        <f t="shared" si="162"/>
        <v>#N/A</v>
      </c>
      <c r="BZ814" s="64">
        <v>3008567.42</v>
      </c>
      <c r="CD814" s="20" t="e">
        <f t="shared" si="163"/>
        <v>#N/A</v>
      </c>
    </row>
    <row r="815" spans="1:82" ht="61.5" x14ac:dyDescent="0.85">
      <c r="A815" s="20">
        <v>1</v>
      </c>
      <c r="B815" s="60">
        <f>SUBTOTAL(103,$A$558:A815)</f>
        <v>248</v>
      </c>
      <c r="C815" s="24" t="s">
        <v>686</v>
      </c>
      <c r="D815" s="31">
        <f>E815+F815+G815+H815+I815+J815+L815+N815+P815+R815+T815+U815+V815+W815+X815+Y815+Z815+AA815+AB815+AC815+AD815+AE815</f>
        <v>2605803.73</v>
      </c>
      <c r="E815" s="31">
        <v>0</v>
      </c>
      <c r="F815" s="31">
        <v>0</v>
      </c>
      <c r="G815" s="31">
        <v>0</v>
      </c>
      <c r="H815" s="31">
        <v>0</v>
      </c>
      <c r="I815" s="31">
        <v>0</v>
      </c>
      <c r="J815" s="31">
        <v>0</v>
      </c>
      <c r="K815" s="67">
        <v>0</v>
      </c>
      <c r="L815" s="31">
        <v>0</v>
      </c>
      <c r="M815" s="31">
        <v>646</v>
      </c>
      <c r="N815" s="31">
        <v>2419511.06</v>
      </c>
      <c r="O815" s="31">
        <v>0</v>
      </c>
      <c r="P815" s="31">
        <v>0</v>
      </c>
      <c r="Q815" s="31">
        <v>0</v>
      </c>
      <c r="R815" s="31">
        <v>0</v>
      </c>
      <c r="S815" s="31">
        <v>0</v>
      </c>
      <c r="T815" s="31">
        <v>0</v>
      </c>
      <c r="U815" s="31">
        <v>0</v>
      </c>
      <c r="V815" s="31">
        <v>0</v>
      </c>
      <c r="W815" s="31">
        <v>0</v>
      </c>
      <c r="X815" s="31">
        <v>0</v>
      </c>
      <c r="Y815" s="31">
        <v>0</v>
      </c>
      <c r="Z815" s="31">
        <v>0</v>
      </c>
      <c r="AA815" s="31">
        <v>0</v>
      </c>
      <c r="AB815" s="31">
        <v>0</v>
      </c>
      <c r="AC815" s="31">
        <f>ROUND(N815*1.5%,2)</f>
        <v>36292.67</v>
      </c>
      <c r="AD815" s="31">
        <v>150000</v>
      </c>
      <c r="AE815" s="31">
        <v>0</v>
      </c>
      <c r="AF815" s="33">
        <v>2021</v>
      </c>
      <c r="AG815" s="33">
        <v>2021</v>
      </c>
      <c r="AH815" s="34">
        <v>2021</v>
      </c>
      <c r="AT815" s="20" t="e">
        <f t="shared" si="162"/>
        <v>#N/A</v>
      </c>
      <c r="BZ815" s="64"/>
      <c r="CD815" s="20" t="e">
        <f t="shared" si="163"/>
        <v>#N/A</v>
      </c>
    </row>
    <row r="816" spans="1:82" ht="61.5" x14ac:dyDescent="0.85">
      <c r="A816" s="20">
        <v>1</v>
      </c>
      <c r="B816" s="60">
        <f>SUBTOTAL(103,$A$558:A816)</f>
        <v>249</v>
      </c>
      <c r="C816" s="24" t="s">
        <v>678</v>
      </c>
      <c r="D816" s="31">
        <f>E816+F816+G816+H816+I816+J816+L816+N816+P816+R816+T816+U816+V816+W816+X816+Y816+Z816+AA816+AB816+AC816+AD816+AE816</f>
        <v>402763.69</v>
      </c>
      <c r="E816" s="31">
        <v>0</v>
      </c>
      <c r="F816" s="31">
        <v>0</v>
      </c>
      <c r="G816" s="31">
        <v>0</v>
      </c>
      <c r="H816" s="31">
        <v>0</v>
      </c>
      <c r="I816" s="31">
        <v>357402.65</v>
      </c>
      <c r="J816" s="31">
        <v>0</v>
      </c>
      <c r="K816" s="67">
        <v>0</v>
      </c>
      <c r="L816" s="31">
        <v>0</v>
      </c>
      <c r="M816" s="31">
        <v>0</v>
      </c>
      <c r="N816" s="31">
        <v>0</v>
      </c>
      <c r="O816" s="31">
        <v>0</v>
      </c>
      <c r="P816" s="31">
        <v>0</v>
      </c>
      <c r="Q816" s="31">
        <v>0</v>
      </c>
      <c r="R816" s="31">
        <v>0</v>
      </c>
      <c r="S816" s="31">
        <v>0</v>
      </c>
      <c r="T816" s="31">
        <v>0</v>
      </c>
      <c r="U816" s="31">
        <v>0</v>
      </c>
      <c r="V816" s="31">
        <v>0</v>
      </c>
      <c r="W816" s="31">
        <v>0</v>
      </c>
      <c r="X816" s="31">
        <v>0</v>
      </c>
      <c r="Y816" s="31">
        <v>0</v>
      </c>
      <c r="Z816" s="31">
        <v>0</v>
      </c>
      <c r="AA816" s="31">
        <v>0</v>
      </c>
      <c r="AB816" s="31">
        <v>0</v>
      </c>
      <c r="AC816" s="31">
        <f>ROUND((E816+F816+G816+H816+I816+J816)*1.5%,2)</f>
        <v>5361.04</v>
      </c>
      <c r="AD816" s="31">
        <v>40000</v>
      </c>
      <c r="AE816" s="31">
        <v>0</v>
      </c>
      <c r="AF816" s="33">
        <v>2021</v>
      </c>
      <c r="AG816" s="33">
        <v>2021</v>
      </c>
      <c r="AH816" s="34">
        <v>2021</v>
      </c>
      <c r="AT816" s="20" t="e">
        <f t="shared" si="162"/>
        <v>#N/A</v>
      </c>
      <c r="BZ816" s="64"/>
      <c r="CD816" s="20" t="e">
        <f t="shared" si="163"/>
        <v>#N/A</v>
      </c>
    </row>
    <row r="817" spans="1:82" ht="61.5" x14ac:dyDescent="0.85">
      <c r="B817" s="24" t="s">
        <v>866</v>
      </c>
      <c r="C817" s="24"/>
      <c r="D817" s="199">
        <f t="shared" ref="D817:AE817" si="169">D818</f>
        <v>3080948</v>
      </c>
      <c r="E817" s="31">
        <f t="shared" si="169"/>
        <v>0</v>
      </c>
      <c r="F817" s="31">
        <f t="shared" si="169"/>
        <v>0</v>
      </c>
      <c r="G817" s="31">
        <f t="shared" si="169"/>
        <v>0</v>
      </c>
      <c r="H817" s="31">
        <f t="shared" si="169"/>
        <v>0</v>
      </c>
      <c r="I817" s="31">
        <f t="shared" si="169"/>
        <v>0</v>
      </c>
      <c r="J817" s="31">
        <f t="shared" si="169"/>
        <v>0</v>
      </c>
      <c r="K817" s="67">
        <f t="shared" si="169"/>
        <v>0</v>
      </c>
      <c r="L817" s="31">
        <f t="shared" si="169"/>
        <v>0</v>
      </c>
      <c r="M817" s="31">
        <f t="shared" si="169"/>
        <v>520</v>
      </c>
      <c r="N817" s="31">
        <f t="shared" si="169"/>
        <v>2887633.5</v>
      </c>
      <c r="O817" s="31">
        <f t="shared" si="169"/>
        <v>0</v>
      </c>
      <c r="P817" s="31">
        <f t="shared" si="169"/>
        <v>0</v>
      </c>
      <c r="Q817" s="31">
        <f t="shared" si="169"/>
        <v>0</v>
      </c>
      <c r="R817" s="31">
        <f t="shared" si="169"/>
        <v>0</v>
      </c>
      <c r="S817" s="31">
        <f t="shared" si="169"/>
        <v>0</v>
      </c>
      <c r="T817" s="31">
        <f t="shared" si="169"/>
        <v>0</v>
      </c>
      <c r="U817" s="31">
        <f t="shared" si="169"/>
        <v>0</v>
      </c>
      <c r="V817" s="31">
        <f t="shared" si="169"/>
        <v>0</v>
      </c>
      <c r="W817" s="31">
        <f t="shared" si="169"/>
        <v>0</v>
      </c>
      <c r="X817" s="31">
        <f t="shared" si="169"/>
        <v>0</v>
      </c>
      <c r="Y817" s="31">
        <f t="shared" si="169"/>
        <v>0</v>
      </c>
      <c r="Z817" s="31">
        <f t="shared" si="169"/>
        <v>0</v>
      </c>
      <c r="AA817" s="31">
        <f t="shared" si="169"/>
        <v>0</v>
      </c>
      <c r="AB817" s="31">
        <f t="shared" si="169"/>
        <v>0</v>
      </c>
      <c r="AC817" s="31">
        <f t="shared" si="169"/>
        <v>43314.5</v>
      </c>
      <c r="AD817" s="31">
        <f t="shared" si="169"/>
        <v>150000</v>
      </c>
      <c r="AE817" s="31">
        <f t="shared" si="169"/>
        <v>0</v>
      </c>
      <c r="AF817" s="65" t="s">
        <v>751</v>
      </c>
      <c r="AG817" s="65" t="s">
        <v>751</v>
      </c>
      <c r="AH817" s="79" t="s">
        <v>751</v>
      </c>
      <c r="AT817" s="20" t="e">
        <f t="shared" si="162"/>
        <v>#N/A</v>
      </c>
      <c r="BZ817" s="64">
        <v>3080948</v>
      </c>
      <c r="CD817" s="20" t="e">
        <f t="shared" si="163"/>
        <v>#N/A</v>
      </c>
    </row>
    <row r="818" spans="1:82" ht="61.5" x14ac:dyDescent="0.85">
      <c r="A818" s="20">
        <v>1</v>
      </c>
      <c r="B818" s="60">
        <f>SUBTOTAL(103,$A$558:A818)</f>
        <v>250</v>
      </c>
      <c r="C818" s="24" t="s">
        <v>672</v>
      </c>
      <c r="D818" s="31">
        <f>E818+F818+G818+H818+I818+J818+L818+N818+P818+R818+T818+U818+V818+W818+X818+Y818+Z818+AA818+AB818+AC818+AD818+AE818</f>
        <v>3080948</v>
      </c>
      <c r="E818" s="31">
        <v>0</v>
      </c>
      <c r="F818" s="31">
        <v>0</v>
      </c>
      <c r="G818" s="31">
        <v>0</v>
      </c>
      <c r="H818" s="31">
        <v>0</v>
      </c>
      <c r="I818" s="31">
        <v>0</v>
      </c>
      <c r="J818" s="31">
        <v>0</v>
      </c>
      <c r="K818" s="67">
        <v>0</v>
      </c>
      <c r="L818" s="31">
        <v>0</v>
      </c>
      <c r="M818" s="31">
        <v>520</v>
      </c>
      <c r="N818" s="31">
        <v>2887633.5</v>
      </c>
      <c r="O818" s="31">
        <v>0</v>
      </c>
      <c r="P818" s="31">
        <v>0</v>
      </c>
      <c r="Q818" s="31">
        <v>0</v>
      </c>
      <c r="R818" s="31">
        <v>0</v>
      </c>
      <c r="S818" s="31">
        <v>0</v>
      </c>
      <c r="T818" s="31">
        <v>0</v>
      </c>
      <c r="U818" s="31">
        <v>0</v>
      </c>
      <c r="V818" s="31">
        <v>0</v>
      </c>
      <c r="W818" s="31">
        <v>0</v>
      </c>
      <c r="X818" s="31">
        <v>0</v>
      </c>
      <c r="Y818" s="31">
        <v>0</v>
      </c>
      <c r="Z818" s="31">
        <v>0</v>
      </c>
      <c r="AA818" s="31">
        <v>0</v>
      </c>
      <c r="AB818" s="31">
        <v>0</v>
      </c>
      <c r="AC818" s="31">
        <f>ROUND(N818*1.5%,2)</f>
        <v>43314.5</v>
      </c>
      <c r="AD818" s="31">
        <v>150000</v>
      </c>
      <c r="AE818" s="31">
        <v>0</v>
      </c>
      <c r="AF818" s="33">
        <v>2021</v>
      </c>
      <c r="AG818" s="33">
        <v>2021</v>
      </c>
      <c r="AH818" s="34">
        <v>2021</v>
      </c>
      <c r="AT818" s="20" t="e">
        <f t="shared" si="162"/>
        <v>#N/A</v>
      </c>
      <c r="BZ818" s="64"/>
      <c r="CD818" s="20" t="e">
        <f t="shared" si="163"/>
        <v>#N/A</v>
      </c>
    </row>
    <row r="819" spans="1:82" ht="61.5" x14ac:dyDescent="0.85">
      <c r="B819" s="24" t="s">
        <v>822</v>
      </c>
      <c r="C819" s="24"/>
      <c r="D819" s="199">
        <f>D820</f>
        <v>2008998.15</v>
      </c>
      <c r="E819" s="31">
        <f t="shared" ref="E819:AE819" si="170">E820</f>
        <v>0</v>
      </c>
      <c r="F819" s="31">
        <f t="shared" si="170"/>
        <v>0</v>
      </c>
      <c r="G819" s="31">
        <f t="shared" si="170"/>
        <v>0</v>
      </c>
      <c r="H819" s="31">
        <f t="shared" si="170"/>
        <v>0</v>
      </c>
      <c r="I819" s="31">
        <f t="shared" si="170"/>
        <v>0</v>
      </c>
      <c r="J819" s="31">
        <f t="shared" si="170"/>
        <v>0</v>
      </c>
      <c r="K819" s="67">
        <f t="shared" si="170"/>
        <v>0</v>
      </c>
      <c r="L819" s="31">
        <f t="shared" si="170"/>
        <v>0</v>
      </c>
      <c r="M819" s="31">
        <f t="shared" si="170"/>
        <v>812</v>
      </c>
      <c r="N819" s="31">
        <f t="shared" si="170"/>
        <v>1851229.7</v>
      </c>
      <c r="O819" s="31">
        <f t="shared" si="170"/>
        <v>0</v>
      </c>
      <c r="P819" s="31">
        <f t="shared" si="170"/>
        <v>0</v>
      </c>
      <c r="Q819" s="31">
        <f t="shared" si="170"/>
        <v>0</v>
      </c>
      <c r="R819" s="31">
        <f t="shared" si="170"/>
        <v>0</v>
      </c>
      <c r="S819" s="31">
        <f t="shared" si="170"/>
        <v>0</v>
      </c>
      <c r="T819" s="31">
        <f t="shared" si="170"/>
        <v>0</v>
      </c>
      <c r="U819" s="31">
        <f t="shared" si="170"/>
        <v>0</v>
      </c>
      <c r="V819" s="31">
        <f t="shared" si="170"/>
        <v>0</v>
      </c>
      <c r="W819" s="31">
        <f t="shared" si="170"/>
        <v>0</v>
      </c>
      <c r="X819" s="31">
        <f t="shared" si="170"/>
        <v>0</v>
      </c>
      <c r="Y819" s="31">
        <f t="shared" si="170"/>
        <v>0</v>
      </c>
      <c r="Z819" s="31">
        <f t="shared" si="170"/>
        <v>0</v>
      </c>
      <c r="AA819" s="31">
        <f t="shared" si="170"/>
        <v>0</v>
      </c>
      <c r="AB819" s="31">
        <f t="shared" si="170"/>
        <v>0</v>
      </c>
      <c r="AC819" s="31">
        <f t="shared" si="170"/>
        <v>27768.45</v>
      </c>
      <c r="AD819" s="31">
        <f t="shared" si="170"/>
        <v>130000</v>
      </c>
      <c r="AE819" s="31">
        <f t="shared" si="170"/>
        <v>0</v>
      </c>
      <c r="AF819" s="65" t="s">
        <v>751</v>
      </c>
      <c r="AG819" s="65" t="s">
        <v>751</v>
      </c>
      <c r="AH819" s="79" t="s">
        <v>751</v>
      </c>
      <c r="AT819" s="20" t="e">
        <f t="shared" si="162"/>
        <v>#N/A</v>
      </c>
      <c r="BZ819" s="64">
        <v>2000000</v>
      </c>
      <c r="CD819" s="20" t="e">
        <f t="shared" si="163"/>
        <v>#N/A</v>
      </c>
    </row>
    <row r="820" spans="1:82" ht="61.5" x14ac:dyDescent="0.85">
      <c r="A820" s="20">
        <v>1</v>
      </c>
      <c r="B820" s="60">
        <f>SUBTOTAL(103,$A$558:A820)</f>
        <v>251</v>
      </c>
      <c r="C820" s="101" t="s">
        <v>679</v>
      </c>
      <c r="D820" s="31">
        <f>E820+F820+G820+H820+I820+J820+L820+N820+P820+R820+T820+U820+V820+W820+X820+Y820+Z820+AA820+AB820+AC820+AD820+AE820</f>
        <v>2008998.15</v>
      </c>
      <c r="E820" s="31">
        <v>0</v>
      </c>
      <c r="F820" s="31">
        <v>0</v>
      </c>
      <c r="G820" s="31">
        <v>0</v>
      </c>
      <c r="H820" s="31">
        <v>0</v>
      </c>
      <c r="I820" s="31">
        <v>0</v>
      </c>
      <c r="J820" s="31">
        <v>0</v>
      </c>
      <c r="K820" s="67">
        <v>0</v>
      </c>
      <c r="L820" s="31">
        <v>0</v>
      </c>
      <c r="M820" s="31">
        <v>812</v>
      </c>
      <c r="N820" s="31">
        <f>1842364.53+8865.17</f>
        <v>1851229.7</v>
      </c>
      <c r="O820" s="31">
        <v>0</v>
      </c>
      <c r="P820" s="31">
        <v>0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31">
        <v>0</v>
      </c>
      <c r="X820" s="31">
        <v>0</v>
      </c>
      <c r="Y820" s="31">
        <v>0</v>
      </c>
      <c r="Z820" s="31">
        <v>0</v>
      </c>
      <c r="AA820" s="31">
        <v>0</v>
      </c>
      <c r="AB820" s="31">
        <v>0</v>
      </c>
      <c r="AC820" s="31">
        <f>ROUND(N820*1.5%,2)</f>
        <v>27768.45</v>
      </c>
      <c r="AD820" s="31">
        <v>130000</v>
      </c>
      <c r="AE820" s="31">
        <v>0</v>
      </c>
      <c r="AF820" s="33">
        <v>2021</v>
      </c>
      <c r="AG820" s="33">
        <v>2021</v>
      </c>
      <c r="AH820" s="34">
        <v>2021</v>
      </c>
      <c r="AT820" s="20" t="e">
        <f t="shared" si="162"/>
        <v>#N/A</v>
      </c>
      <c r="BZ820" s="64"/>
      <c r="CD820" s="20" t="e">
        <f t="shared" si="163"/>
        <v>#N/A</v>
      </c>
    </row>
    <row r="821" spans="1:82" ht="61.5" x14ac:dyDescent="0.85">
      <c r="B821" s="24" t="s">
        <v>823</v>
      </c>
      <c r="C821" s="24"/>
      <c r="D821" s="199">
        <f t="shared" ref="D821:AE821" si="171">SUM(D822:D837)</f>
        <v>57805232.260000005</v>
      </c>
      <c r="E821" s="31">
        <f t="shared" si="171"/>
        <v>0</v>
      </c>
      <c r="F821" s="31">
        <f t="shared" si="171"/>
        <v>0</v>
      </c>
      <c r="G821" s="31">
        <f t="shared" si="171"/>
        <v>0</v>
      </c>
      <c r="H821" s="31">
        <f t="shared" si="171"/>
        <v>0</v>
      </c>
      <c r="I821" s="31">
        <f t="shared" si="171"/>
        <v>0</v>
      </c>
      <c r="J821" s="31">
        <f t="shared" si="171"/>
        <v>0</v>
      </c>
      <c r="K821" s="67">
        <f t="shared" si="171"/>
        <v>2</v>
      </c>
      <c r="L821" s="31">
        <f t="shared" si="171"/>
        <v>4765600</v>
      </c>
      <c r="M821" s="31">
        <f t="shared" si="171"/>
        <v>9999.4199999999983</v>
      </c>
      <c r="N821" s="31">
        <f t="shared" si="171"/>
        <v>43134306.149999999</v>
      </c>
      <c r="O821" s="31">
        <f t="shared" si="171"/>
        <v>0</v>
      </c>
      <c r="P821" s="31">
        <f t="shared" si="171"/>
        <v>0</v>
      </c>
      <c r="Q821" s="31">
        <f t="shared" si="171"/>
        <v>3354</v>
      </c>
      <c r="R821" s="31">
        <f t="shared" si="171"/>
        <v>5073900.45</v>
      </c>
      <c r="S821" s="31">
        <f t="shared" si="171"/>
        <v>62</v>
      </c>
      <c r="T821" s="31">
        <f t="shared" si="171"/>
        <v>2276041.94</v>
      </c>
      <c r="U821" s="31">
        <f t="shared" si="171"/>
        <v>0</v>
      </c>
      <c r="V821" s="31">
        <f t="shared" si="171"/>
        <v>0</v>
      </c>
      <c r="W821" s="31">
        <f t="shared" si="171"/>
        <v>0</v>
      </c>
      <c r="X821" s="31">
        <f t="shared" si="171"/>
        <v>0</v>
      </c>
      <c r="Y821" s="31">
        <f t="shared" si="171"/>
        <v>0</v>
      </c>
      <c r="Z821" s="31">
        <f t="shared" si="171"/>
        <v>0</v>
      </c>
      <c r="AA821" s="31">
        <f t="shared" si="171"/>
        <v>0</v>
      </c>
      <c r="AB821" s="31">
        <f t="shared" si="171"/>
        <v>0</v>
      </c>
      <c r="AC821" s="31">
        <f t="shared" si="171"/>
        <v>757263.7200000002</v>
      </c>
      <c r="AD821" s="31">
        <f t="shared" si="171"/>
        <v>1438120</v>
      </c>
      <c r="AE821" s="31">
        <f t="shared" si="171"/>
        <v>360000</v>
      </c>
      <c r="AF821" s="65" t="s">
        <v>751</v>
      </c>
      <c r="AG821" s="65" t="s">
        <v>751</v>
      </c>
      <c r="AH821" s="79" t="s">
        <v>751</v>
      </c>
      <c r="AT821" s="20" t="e">
        <f t="shared" si="162"/>
        <v>#N/A</v>
      </c>
      <c r="BZ821" s="64">
        <v>23342012.82</v>
      </c>
      <c r="CD821" s="20" t="e">
        <f t="shared" si="163"/>
        <v>#N/A</v>
      </c>
    </row>
    <row r="822" spans="1:82" ht="61.5" x14ac:dyDescent="0.85">
      <c r="A822" s="20">
        <v>1</v>
      </c>
      <c r="B822" s="60">
        <f>SUBTOTAL(103,$A$558:A822)</f>
        <v>252</v>
      </c>
      <c r="C822" s="24" t="s">
        <v>669</v>
      </c>
      <c r="D822" s="31">
        <f t="shared" ref="D822:D831" si="172">E822+F822+G822+H822+I822+J822+L822+N822+P822+R822+T822+U822+V822+W822+X822+Y822+Z822+AA822+AB822+AC822+AD822+AE822</f>
        <v>2492137.06</v>
      </c>
      <c r="E822" s="31">
        <v>0</v>
      </c>
      <c r="F822" s="31">
        <v>0</v>
      </c>
      <c r="G822" s="31">
        <v>0</v>
      </c>
      <c r="H822" s="31">
        <v>0</v>
      </c>
      <c r="I822" s="31">
        <v>0</v>
      </c>
      <c r="J822" s="31">
        <v>0</v>
      </c>
      <c r="K822" s="67">
        <v>0</v>
      </c>
      <c r="L822" s="31">
        <v>0</v>
      </c>
      <c r="M822" s="31">
        <v>0</v>
      </c>
      <c r="N822" s="31">
        <v>0</v>
      </c>
      <c r="O822" s="31">
        <v>0</v>
      </c>
      <c r="P822" s="31">
        <v>0</v>
      </c>
      <c r="Q822" s="31">
        <v>2768.5</v>
      </c>
      <c r="R822" s="31">
        <v>2307055.62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0</v>
      </c>
      <c r="AC822" s="31">
        <f>ROUND(R822*1.5%,2)</f>
        <v>34605.83</v>
      </c>
      <c r="AD822" s="31">
        <v>150475.60999999999</v>
      </c>
      <c r="AE822" s="31">
        <v>0</v>
      </c>
      <c r="AF822" s="33">
        <v>2021</v>
      </c>
      <c r="AG822" s="33">
        <v>2021</v>
      </c>
      <c r="AH822" s="34">
        <v>2021</v>
      </c>
      <c r="AT822" s="20">
        <f t="shared" si="162"/>
        <v>1</v>
      </c>
      <c r="BZ822" s="64"/>
      <c r="CD822" s="20" t="e">
        <f t="shared" si="163"/>
        <v>#N/A</v>
      </c>
    </row>
    <row r="823" spans="1:82" ht="61.5" x14ac:dyDescent="0.85">
      <c r="A823" s="20">
        <v>1</v>
      </c>
      <c r="B823" s="60">
        <f>SUBTOTAL(103,$A$558:A823)</f>
        <v>253</v>
      </c>
      <c r="C823" s="24" t="s">
        <v>657</v>
      </c>
      <c r="D823" s="31">
        <f t="shared" si="172"/>
        <v>5311274.96</v>
      </c>
      <c r="E823" s="31">
        <v>0</v>
      </c>
      <c r="F823" s="31">
        <v>0</v>
      </c>
      <c r="G823" s="31">
        <v>0</v>
      </c>
      <c r="H823" s="31">
        <v>0</v>
      </c>
      <c r="I823" s="31">
        <v>0</v>
      </c>
      <c r="J823" s="31">
        <v>0</v>
      </c>
      <c r="K823" s="67">
        <v>0</v>
      </c>
      <c r="L823" s="31">
        <v>0</v>
      </c>
      <c r="M823" s="31">
        <v>1323</v>
      </c>
      <c r="N823" s="31">
        <v>5114076.47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31">
        <v>0</v>
      </c>
      <c r="Y823" s="31">
        <v>0</v>
      </c>
      <c r="Z823" s="31">
        <v>0</v>
      </c>
      <c r="AA823" s="31">
        <v>0</v>
      </c>
      <c r="AB823" s="31">
        <v>0</v>
      </c>
      <c r="AC823" s="31">
        <f t="shared" ref="AC823:AC828" si="173">ROUND(N823*1.5%,2)</f>
        <v>76711.149999999994</v>
      </c>
      <c r="AD823" s="31">
        <v>120487.34</v>
      </c>
      <c r="AE823" s="31">
        <v>0</v>
      </c>
      <c r="AF823" s="33">
        <v>2021</v>
      </c>
      <c r="AG823" s="33">
        <v>2021</v>
      </c>
      <c r="AH823" s="34">
        <v>2021</v>
      </c>
      <c r="AT823" s="20" t="e">
        <f t="shared" si="162"/>
        <v>#N/A</v>
      </c>
      <c r="BZ823" s="64"/>
      <c r="CD823" s="20" t="e">
        <f t="shared" si="163"/>
        <v>#N/A</v>
      </c>
    </row>
    <row r="824" spans="1:82" ht="61.5" x14ac:dyDescent="0.85">
      <c r="A824" s="20">
        <v>1</v>
      </c>
      <c r="B824" s="60">
        <f>SUBTOTAL(103,$A$558:A824)</f>
        <v>254</v>
      </c>
      <c r="C824" s="24" t="s">
        <v>685</v>
      </c>
      <c r="D824" s="31">
        <f t="shared" si="172"/>
        <v>4042067.3</v>
      </c>
      <c r="E824" s="31">
        <v>0</v>
      </c>
      <c r="F824" s="31">
        <v>0</v>
      </c>
      <c r="G824" s="31">
        <v>0</v>
      </c>
      <c r="H824" s="31">
        <v>0</v>
      </c>
      <c r="I824" s="31">
        <v>0</v>
      </c>
      <c r="J824" s="31">
        <v>0</v>
      </c>
      <c r="K824" s="67">
        <v>0</v>
      </c>
      <c r="L824" s="31">
        <v>0</v>
      </c>
      <c r="M824" s="31">
        <v>856</v>
      </c>
      <c r="N824" s="31">
        <v>3865028.57</v>
      </c>
      <c r="O824" s="31">
        <v>0</v>
      </c>
      <c r="P824" s="31">
        <v>0</v>
      </c>
      <c r="Q824" s="31">
        <v>0</v>
      </c>
      <c r="R824" s="31">
        <v>0</v>
      </c>
      <c r="S824" s="31">
        <v>0</v>
      </c>
      <c r="T824" s="31">
        <v>0</v>
      </c>
      <c r="U824" s="31">
        <v>0</v>
      </c>
      <c r="V824" s="31">
        <v>0</v>
      </c>
      <c r="W824" s="31">
        <v>0</v>
      </c>
      <c r="X824" s="31">
        <v>0</v>
      </c>
      <c r="Y824" s="31">
        <v>0</v>
      </c>
      <c r="Z824" s="31">
        <v>0</v>
      </c>
      <c r="AA824" s="31">
        <v>0</v>
      </c>
      <c r="AB824" s="31">
        <v>0</v>
      </c>
      <c r="AC824" s="31">
        <f t="shared" si="173"/>
        <v>57975.43</v>
      </c>
      <c r="AD824" s="31">
        <v>119063.3</v>
      </c>
      <c r="AE824" s="31">
        <v>0</v>
      </c>
      <c r="AF824" s="33">
        <v>2021</v>
      </c>
      <c r="AG824" s="33">
        <v>2021</v>
      </c>
      <c r="AH824" s="34">
        <v>2021</v>
      </c>
      <c r="AT824" s="20" t="e">
        <f t="shared" si="162"/>
        <v>#N/A</v>
      </c>
      <c r="BZ824" s="64"/>
      <c r="CD824" s="20" t="e">
        <f t="shared" si="163"/>
        <v>#N/A</v>
      </c>
    </row>
    <row r="825" spans="1:82" ht="61.5" x14ac:dyDescent="0.85">
      <c r="A825" s="20">
        <v>1</v>
      </c>
      <c r="B825" s="60">
        <f>SUBTOTAL(103,$A$558:A825)</f>
        <v>255</v>
      </c>
      <c r="C825" s="24" t="s">
        <v>662</v>
      </c>
      <c r="D825" s="31">
        <f t="shared" si="172"/>
        <v>4517254.16</v>
      </c>
      <c r="E825" s="31">
        <v>0</v>
      </c>
      <c r="F825" s="31">
        <v>0</v>
      </c>
      <c r="G825" s="31">
        <v>0</v>
      </c>
      <c r="H825" s="31">
        <v>0</v>
      </c>
      <c r="I825" s="31">
        <v>0</v>
      </c>
      <c r="J825" s="31">
        <v>0</v>
      </c>
      <c r="K825" s="67">
        <v>0</v>
      </c>
      <c r="L825" s="31">
        <v>0</v>
      </c>
      <c r="M825" s="31">
        <v>1236</v>
      </c>
      <c r="N825" s="31">
        <f>3504904.43+238305.42+589784.98</f>
        <v>4332994.83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0</v>
      </c>
      <c r="AA825" s="31">
        <v>0</v>
      </c>
      <c r="AB825" s="31">
        <v>0</v>
      </c>
      <c r="AC825" s="31">
        <f t="shared" si="173"/>
        <v>64994.92</v>
      </c>
      <c r="AD825" s="31">
        <v>119264.41</v>
      </c>
      <c r="AE825" s="31">
        <v>0</v>
      </c>
      <c r="AF825" s="33">
        <v>2021</v>
      </c>
      <c r="AG825" s="33">
        <v>2021</v>
      </c>
      <c r="AH825" s="34">
        <v>2021</v>
      </c>
      <c r="AT825" s="20" t="e">
        <f t="shared" si="162"/>
        <v>#N/A</v>
      </c>
      <c r="BZ825" s="64"/>
      <c r="CD825" s="20" t="e">
        <f t="shared" si="163"/>
        <v>#N/A</v>
      </c>
    </row>
    <row r="826" spans="1:82" ht="61.5" x14ac:dyDescent="0.85">
      <c r="A826" s="20">
        <v>1</v>
      </c>
      <c r="B826" s="60">
        <f>SUBTOTAL(103,$A$558:A826)</f>
        <v>256</v>
      </c>
      <c r="C826" s="24" t="s">
        <v>667</v>
      </c>
      <c r="D826" s="31">
        <f t="shared" si="172"/>
        <v>4706174.9700000007</v>
      </c>
      <c r="E826" s="31">
        <v>0</v>
      </c>
      <c r="F826" s="31">
        <v>0</v>
      </c>
      <c r="G826" s="31">
        <v>0</v>
      </c>
      <c r="H826" s="31">
        <v>0</v>
      </c>
      <c r="I826" s="31">
        <v>0</v>
      </c>
      <c r="J826" s="31">
        <v>0</v>
      </c>
      <c r="K826" s="67">
        <v>0</v>
      </c>
      <c r="L826" s="31">
        <v>0</v>
      </c>
      <c r="M826" s="31">
        <v>949</v>
      </c>
      <c r="N826" s="31">
        <f>3710689.66+818417.88</f>
        <v>4529107.54</v>
      </c>
      <c r="O826" s="31">
        <v>0</v>
      </c>
      <c r="P826" s="31">
        <v>0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  <c r="AC826" s="31">
        <f t="shared" si="173"/>
        <v>67936.61</v>
      </c>
      <c r="AD826" s="31">
        <v>109130.82</v>
      </c>
      <c r="AE826" s="31">
        <v>0</v>
      </c>
      <c r="AF826" s="33">
        <v>2021</v>
      </c>
      <c r="AG826" s="33">
        <v>2021</v>
      </c>
      <c r="AH826" s="34">
        <v>2021</v>
      </c>
      <c r="AT826" s="20" t="e">
        <f t="shared" si="162"/>
        <v>#N/A</v>
      </c>
      <c r="BZ826" s="64"/>
      <c r="CD826" s="20" t="e">
        <f t="shared" si="163"/>
        <v>#N/A</v>
      </c>
    </row>
    <row r="827" spans="1:82" ht="61.5" x14ac:dyDescent="0.85">
      <c r="A827" s="20">
        <v>1</v>
      </c>
      <c r="B827" s="60">
        <f>SUBTOTAL(103,$A$558:A827)</f>
        <v>257</v>
      </c>
      <c r="C827" s="24" t="s">
        <v>666</v>
      </c>
      <c r="D827" s="31">
        <f t="shared" si="172"/>
        <v>3103798.52</v>
      </c>
      <c r="E827" s="31">
        <v>0</v>
      </c>
      <c r="F827" s="31">
        <v>0</v>
      </c>
      <c r="G827" s="31">
        <v>0</v>
      </c>
      <c r="H827" s="31">
        <v>0</v>
      </c>
      <c r="I827" s="31">
        <v>0</v>
      </c>
      <c r="J827" s="31">
        <v>0</v>
      </c>
      <c r="K827" s="67">
        <v>0</v>
      </c>
      <c r="L827" s="31">
        <v>0</v>
      </c>
      <c r="M827" s="31">
        <v>840</v>
      </c>
      <c r="N827" s="31">
        <v>2940000</v>
      </c>
      <c r="O827" s="31">
        <v>0</v>
      </c>
      <c r="P827" s="31">
        <v>0</v>
      </c>
      <c r="Q827" s="31">
        <v>0</v>
      </c>
      <c r="R827" s="31">
        <v>0</v>
      </c>
      <c r="S827" s="31">
        <v>0</v>
      </c>
      <c r="T827" s="31">
        <v>0</v>
      </c>
      <c r="U827" s="31">
        <v>0</v>
      </c>
      <c r="V827" s="31">
        <v>0</v>
      </c>
      <c r="W827" s="31">
        <v>0</v>
      </c>
      <c r="X827" s="31">
        <v>0</v>
      </c>
      <c r="Y827" s="31">
        <v>0</v>
      </c>
      <c r="Z827" s="31">
        <v>0</v>
      </c>
      <c r="AA827" s="31">
        <v>0</v>
      </c>
      <c r="AB827" s="31">
        <v>0</v>
      </c>
      <c r="AC827" s="31">
        <f t="shared" si="173"/>
        <v>44100</v>
      </c>
      <c r="AD827" s="31">
        <v>119698.52</v>
      </c>
      <c r="AE827" s="31">
        <v>0</v>
      </c>
      <c r="AF827" s="33">
        <v>2021</v>
      </c>
      <c r="AG827" s="33">
        <v>2021</v>
      </c>
      <c r="AH827" s="34">
        <v>2021</v>
      </c>
      <c r="AT827" s="20" t="e">
        <f t="shared" si="162"/>
        <v>#N/A</v>
      </c>
      <c r="BZ827" s="64"/>
      <c r="CD827" s="20" t="e">
        <f t="shared" si="163"/>
        <v>#N/A</v>
      </c>
    </row>
    <row r="828" spans="1:82" ht="61.5" x14ac:dyDescent="0.85">
      <c r="A828" s="20">
        <v>1</v>
      </c>
      <c r="B828" s="60">
        <f>SUBTOTAL(103,$A$558:A828)</f>
        <v>258</v>
      </c>
      <c r="C828" s="24" t="s">
        <v>1197</v>
      </c>
      <c r="D828" s="31">
        <f t="shared" si="172"/>
        <v>1859292.57</v>
      </c>
      <c r="E828" s="37">
        <v>0</v>
      </c>
      <c r="F828" s="37">
        <v>0</v>
      </c>
      <c r="G828" s="31">
        <v>0</v>
      </c>
      <c r="H828" s="37">
        <v>0</v>
      </c>
      <c r="I828" s="37">
        <v>0</v>
      </c>
      <c r="J828" s="37">
        <v>0</v>
      </c>
      <c r="K828" s="67">
        <v>0</v>
      </c>
      <c r="L828" s="31">
        <v>0</v>
      </c>
      <c r="M828" s="31">
        <v>407.8</v>
      </c>
      <c r="N828" s="31">
        <v>1713588.74</v>
      </c>
      <c r="O828" s="37">
        <v>0</v>
      </c>
      <c r="P828" s="37">
        <v>0</v>
      </c>
      <c r="Q828" s="31">
        <v>0</v>
      </c>
      <c r="R828" s="31">
        <v>0</v>
      </c>
      <c r="S828" s="31">
        <v>0</v>
      </c>
      <c r="T828" s="31">
        <v>0</v>
      </c>
      <c r="U828" s="31">
        <v>0</v>
      </c>
      <c r="V828" s="31">
        <v>0</v>
      </c>
      <c r="W828" s="31">
        <v>0</v>
      </c>
      <c r="X828" s="31">
        <v>0</v>
      </c>
      <c r="Y828" s="31">
        <v>0</v>
      </c>
      <c r="Z828" s="31">
        <v>0</v>
      </c>
      <c r="AA828" s="31">
        <v>0</v>
      </c>
      <c r="AB828" s="31">
        <v>0</v>
      </c>
      <c r="AC828" s="31">
        <f t="shared" si="173"/>
        <v>25703.83</v>
      </c>
      <c r="AD828" s="31">
        <v>0</v>
      </c>
      <c r="AE828" s="31">
        <v>120000</v>
      </c>
      <c r="AF828" s="33" t="s">
        <v>268</v>
      </c>
      <c r="AG828" s="33">
        <v>2021</v>
      </c>
      <c r="AH828" s="34">
        <v>2021</v>
      </c>
      <c r="BZ828" s="64"/>
      <c r="CD828" s="20">
        <f t="shared" si="163"/>
        <v>407.8</v>
      </c>
    </row>
    <row r="829" spans="1:82" ht="61.5" x14ac:dyDescent="0.85">
      <c r="A829" s="20">
        <v>1</v>
      </c>
      <c r="B829" s="60">
        <f>SUBTOTAL(103,$A$558:A829)</f>
        <v>259</v>
      </c>
      <c r="C829" s="24" t="s">
        <v>671</v>
      </c>
      <c r="D829" s="31">
        <f t="shared" si="172"/>
        <v>2567424.7199999997</v>
      </c>
      <c r="E829" s="37">
        <v>0</v>
      </c>
      <c r="F829" s="37">
        <v>0</v>
      </c>
      <c r="G829" s="31">
        <v>0</v>
      </c>
      <c r="H829" s="37">
        <v>0</v>
      </c>
      <c r="I829" s="37">
        <v>0</v>
      </c>
      <c r="J829" s="37">
        <v>0</v>
      </c>
      <c r="K829" s="67">
        <v>0</v>
      </c>
      <c r="L829" s="31">
        <v>0</v>
      </c>
      <c r="M829" s="31">
        <v>520.4</v>
      </c>
      <c r="N829" s="31">
        <f>2529482.48-118226.6</f>
        <v>2411255.88</v>
      </c>
      <c r="O829" s="37">
        <v>0</v>
      </c>
      <c r="P829" s="37">
        <v>0</v>
      </c>
      <c r="Q829" s="31">
        <v>0</v>
      </c>
      <c r="R829" s="31">
        <v>0</v>
      </c>
      <c r="S829" s="31">
        <v>0</v>
      </c>
      <c r="T829" s="31">
        <v>0</v>
      </c>
      <c r="U829" s="31">
        <v>0</v>
      </c>
      <c r="V829" s="31">
        <v>0</v>
      </c>
      <c r="W829" s="31">
        <v>0</v>
      </c>
      <c r="X829" s="31">
        <v>0</v>
      </c>
      <c r="Y829" s="31">
        <v>0</v>
      </c>
      <c r="Z829" s="31">
        <v>0</v>
      </c>
      <c r="AA829" s="31">
        <v>0</v>
      </c>
      <c r="AB829" s="31">
        <v>0</v>
      </c>
      <c r="AC829" s="31">
        <f>ROUND(N829*1.5%,2)</f>
        <v>36168.839999999997</v>
      </c>
      <c r="AD829" s="31">
        <v>0</v>
      </c>
      <c r="AE829" s="31">
        <v>120000</v>
      </c>
      <c r="AF829" s="33" t="s">
        <v>268</v>
      </c>
      <c r="AG829" s="33">
        <v>2021</v>
      </c>
      <c r="AH829" s="34">
        <v>2021</v>
      </c>
      <c r="AT829" s="20" t="e">
        <f>VLOOKUP(C829,AW:AX,2,FALSE)</f>
        <v>#N/A</v>
      </c>
      <c r="BZ829" s="64"/>
      <c r="CD829" s="20" t="e">
        <f t="shared" si="163"/>
        <v>#N/A</v>
      </c>
    </row>
    <row r="830" spans="1:82" ht="61.5" x14ac:dyDescent="0.85">
      <c r="A830" s="20">
        <v>1</v>
      </c>
      <c r="B830" s="60">
        <f>SUBTOTAL(103,$A$558:A830)</f>
        <v>260</v>
      </c>
      <c r="C830" s="24" t="s">
        <v>684</v>
      </c>
      <c r="D830" s="31">
        <f t="shared" si="172"/>
        <v>4559283.37</v>
      </c>
      <c r="E830" s="37">
        <v>0</v>
      </c>
      <c r="F830" s="37">
        <v>0</v>
      </c>
      <c r="G830" s="31">
        <v>0</v>
      </c>
      <c r="H830" s="37">
        <v>0</v>
      </c>
      <c r="I830" s="37">
        <v>0</v>
      </c>
      <c r="J830" s="37">
        <v>0</v>
      </c>
      <c r="K830" s="67">
        <v>0</v>
      </c>
      <c r="L830" s="31">
        <v>0</v>
      </c>
      <c r="M830" s="31">
        <v>870</v>
      </c>
      <c r="N830" s="31">
        <v>4491904.8</v>
      </c>
      <c r="O830" s="37">
        <v>0</v>
      </c>
      <c r="P830" s="37">
        <v>0</v>
      </c>
      <c r="Q830" s="31">
        <v>0</v>
      </c>
      <c r="R830" s="31">
        <v>0</v>
      </c>
      <c r="S830" s="31">
        <v>0</v>
      </c>
      <c r="T830" s="31">
        <v>0</v>
      </c>
      <c r="U830" s="31">
        <v>0</v>
      </c>
      <c r="V830" s="31">
        <v>0</v>
      </c>
      <c r="W830" s="31">
        <v>0</v>
      </c>
      <c r="X830" s="31">
        <v>0</v>
      </c>
      <c r="Y830" s="31">
        <v>0</v>
      </c>
      <c r="Z830" s="31">
        <v>0</v>
      </c>
      <c r="AA830" s="31">
        <v>0</v>
      </c>
      <c r="AB830" s="31">
        <v>0</v>
      </c>
      <c r="AC830" s="31">
        <f>ROUND(N830*1.5%,2)</f>
        <v>67378.570000000007</v>
      </c>
      <c r="AD830" s="31">
        <v>0</v>
      </c>
      <c r="AE830" s="31">
        <v>0</v>
      </c>
      <c r="AF830" s="33" t="s">
        <v>268</v>
      </c>
      <c r="AG830" s="33">
        <v>2021</v>
      </c>
      <c r="AH830" s="34">
        <v>2021</v>
      </c>
      <c r="AT830" s="20" t="e">
        <f>VLOOKUP(C830,AW:AX,2,FALSE)</f>
        <v>#N/A</v>
      </c>
      <c r="BZ830" s="64"/>
      <c r="CD830" s="20" t="e">
        <f t="shared" si="163"/>
        <v>#N/A</v>
      </c>
    </row>
    <row r="831" spans="1:82" ht="61.5" x14ac:dyDescent="0.85">
      <c r="A831" s="20">
        <v>1</v>
      </c>
      <c r="B831" s="60">
        <f>SUBTOTAL(103,$A$558:A831)</f>
        <v>261</v>
      </c>
      <c r="C831" s="24" t="s">
        <v>659</v>
      </c>
      <c r="D831" s="31">
        <f t="shared" si="172"/>
        <v>5405855.4900000002</v>
      </c>
      <c r="E831" s="37">
        <v>0</v>
      </c>
      <c r="F831" s="37">
        <v>0</v>
      </c>
      <c r="G831" s="31">
        <v>0</v>
      </c>
      <c r="H831" s="37">
        <v>0</v>
      </c>
      <c r="I831" s="37">
        <v>0</v>
      </c>
      <c r="J831" s="37">
        <v>0</v>
      </c>
      <c r="K831" s="67">
        <v>0</v>
      </c>
      <c r="L831" s="31">
        <v>0</v>
      </c>
      <c r="M831" s="31">
        <v>991.5</v>
      </c>
      <c r="N831" s="31">
        <v>5325966</v>
      </c>
      <c r="O831" s="37">
        <v>0</v>
      </c>
      <c r="P831" s="37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0</v>
      </c>
      <c r="X831" s="31">
        <v>0</v>
      </c>
      <c r="Y831" s="31">
        <v>0</v>
      </c>
      <c r="Z831" s="31">
        <v>0</v>
      </c>
      <c r="AA831" s="31">
        <v>0</v>
      </c>
      <c r="AB831" s="31">
        <v>0</v>
      </c>
      <c r="AC831" s="31">
        <f>ROUND(N831*1.5%,2)</f>
        <v>79889.490000000005</v>
      </c>
      <c r="AD831" s="31">
        <v>0</v>
      </c>
      <c r="AE831" s="31">
        <v>0</v>
      </c>
      <c r="AF831" s="33" t="s">
        <v>268</v>
      </c>
      <c r="AG831" s="33">
        <v>2021</v>
      </c>
      <c r="AH831" s="34">
        <v>2021</v>
      </c>
      <c r="AT831" s="20" t="e">
        <f>VLOOKUP(C831,AW:AX,2,FALSE)</f>
        <v>#N/A</v>
      </c>
      <c r="BZ831" s="64"/>
      <c r="CD831" s="20" t="e">
        <f t="shared" si="163"/>
        <v>#N/A</v>
      </c>
    </row>
    <row r="832" spans="1:82" ht="61.5" x14ac:dyDescent="0.85">
      <c r="A832" s="20">
        <v>1</v>
      </c>
      <c r="B832" s="60">
        <f>SUBTOTAL(103,$A$558:A832)</f>
        <v>262</v>
      </c>
      <c r="C832" s="24" t="s">
        <v>1206</v>
      </c>
      <c r="D832" s="31">
        <f>E832+F832+G832+H832+I832+J832+L832+N832+P832+R832+T832+U832+V832+W832+X832+Y832+Z832+AA832+AB832+AC832+AD832+AE832</f>
        <v>3122749.9699999997</v>
      </c>
      <c r="E832" s="37">
        <v>0</v>
      </c>
      <c r="F832" s="37">
        <v>0</v>
      </c>
      <c r="G832" s="31">
        <v>0</v>
      </c>
      <c r="H832" s="37">
        <v>0</v>
      </c>
      <c r="I832" s="37">
        <v>0</v>
      </c>
      <c r="J832" s="37">
        <v>0</v>
      </c>
      <c r="K832" s="67">
        <v>0</v>
      </c>
      <c r="L832" s="31">
        <v>0</v>
      </c>
      <c r="M832" s="31">
        <v>738.92</v>
      </c>
      <c r="N832" s="31">
        <f>3507338.79-430737.83</f>
        <v>3076600.96</v>
      </c>
      <c r="O832" s="37">
        <v>0</v>
      </c>
      <c r="P832" s="37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0</v>
      </c>
      <c r="Z832" s="31">
        <v>0</v>
      </c>
      <c r="AA832" s="31">
        <v>0</v>
      </c>
      <c r="AB832" s="31">
        <v>0</v>
      </c>
      <c r="AC832" s="31">
        <f>ROUND(N832*1.5%,2)</f>
        <v>46149.01</v>
      </c>
      <c r="AD832" s="31">
        <v>0</v>
      </c>
      <c r="AE832" s="31">
        <v>0</v>
      </c>
      <c r="AF832" s="33" t="s">
        <v>268</v>
      </c>
      <c r="AG832" s="33">
        <v>2021</v>
      </c>
      <c r="AH832" s="34">
        <v>2021</v>
      </c>
      <c r="BZ832" s="64"/>
      <c r="CD832" s="20">
        <f t="shared" si="163"/>
        <v>738.92</v>
      </c>
    </row>
    <row r="833" spans="1:82" s="168" customFormat="1" ht="61.5" x14ac:dyDescent="0.85">
      <c r="A833" s="168">
        <v>1</v>
      </c>
      <c r="B833" s="60">
        <f>SUBTOTAL(103,$A$558:A833)</f>
        <v>263</v>
      </c>
      <c r="C833" s="204" t="s">
        <v>1947</v>
      </c>
      <c r="D833" s="31">
        <f>E833+F833+G833+H833+I833+J833+L833+N833+P833+R833+T833+U833+V833+W833+X833+Y833+Z833+AA833+AB833+AC833+AD833+AE833</f>
        <v>2259579.75</v>
      </c>
      <c r="E833" s="169">
        <v>0</v>
      </c>
      <c r="F833" s="169">
        <v>0</v>
      </c>
      <c r="G833" s="169">
        <v>0</v>
      </c>
      <c r="H833" s="169">
        <v>0</v>
      </c>
      <c r="I833" s="169">
        <v>0</v>
      </c>
      <c r="J833" s="169">
        <v>0</v>
      </c>
      <c r="K833" s="196">
        <v>0</v>
      </c>
      <c r="L833" s="86">
        <v>0</v>
      </c>
      <c r="M833" s="86">
        <v>476.8</v>
      </c>
      <c r="N833" s="86">
        <f>2046196.68+32207.01</f>
        <v>2078403.69</v>
      </c>
      <c r="O833" s="86">
        <v>0</v>
      </c>
      <c r="P833" s="86">
        <v>0</v>
      </c>
      <c r="Q833" s="86">
        <v>0</v>
      </c>
      <c r="R833" s="86">
        <v>0</v>
      </c>
      <c r="S833" s="86">
        <v>0</v>
      </c>
      <c r="T833" s="86">
        <v>0</v>
      </c>
      <c r="U833" s="86">
        <v>0</v>
      </c>
      <c r="V833" s="86">
        <v>0</v>
      </c>
      <c r="W833" s="86">
        <v>0</v>
      </c>
      <c r="X833" s="86">
        <v>0</v>
      </c>
      <c r="Y833" s="86">
        <v>0</v>
      </c>
      <c r="Z833" s="86">
        <v>0</v>
      </c>
      <c r="AA833" s="86">
        <v>0</v>
      </c>
      <c r="AB833" s="86">
        <v>0</v>
      </c>
      <c r="AC833" s="86">
        <f>ROUND(N833*1.5%,2)</f>
        <v>31176.06</v>
      </c>
      <c r="AD833" s="86">
        <v>150000</v>
      </c>
      <c r="AE833" s="86">
        <v>0</v>
      </c>
      <c r="AF833" s="170">
        <v>2021</v>
      </c>
      <c r="AG833" s="170">
        <v>2021</v>
      </c>
      <c r="AH833" s="171">
        <v>2021</v>
      </c>
      <c r="AT833" s="168" t="e">
        <f t="shared" ref="AT833:AT840" si="174">VLOOKUP(C833,AW:AX,2,FALSE)</f>
        <v>#N/A</v>
      </c>
      <c r="BZ833" s="172"/>
      <c r="CD833" s="168" t="e">
        <f t="shared" si="163"/>
        <v>#N/A</v>
      </c>
    </row>
    <row r="834" spans="1:82" s="168" customFormat="1" ht="61.5" x14ac:dyDescent="0.85">
      <c r="A834" s="168">
        <v>1</v>
      </c>
      <c r="B834" s="60">
        <f>SUBTOTAL(103,$A$558:A834)</f>
        <v>264</v>
      </c>
      <c r="C834" s="204" t="s">
        <v>1948</v>
      </c>
      <c r="D834" s="31">
        <f>E834+F834+G834+H834+I834+J834+L834+N834+P834+R834+T834+U834+V834+W834+X834+Y834+Z834+AA834+AB834+AC834+AD834+AE834</f>
        <v>2460182.5699999998</v>
      </c>
      <c r="E834" s="169">
        <v>0</v>
      </c>
      <c r="F834" s="169">
        <v>0</v>
      </c>
      <c r="G834" s="169">
        <v>0</v>
      </c>
      <c r="H834" s="169">
        <v>0</v>
      </c>
      <c r="I834" s="169">
        <v>0</v>
      </c>
      <c r="J834" s="169">
        <v>0</v>
      </c>
      <c r="K834" s="196">
        <v>0</v>
      </c>
      <c r="L834" s="86">
        <v>0</v>
      </c>
      <c r="M834" s="86">
        <v>0</v>
      </c>
      <c r="N834" s="86">
        <v>0</v>
      </c>
      <c r="O834" s="86">
        <v>0</v>
      </c>
      <c r="P834" s="86">
        <v>0</v>
      </c>
      <c r="Q834" s="86">
        <v>0</v>
      </c>
      <c r="R834" s="86">
        <v>0</v>
      </c>
      <c r="S834" s="86">
        <v>62</v>
      </c>
      <c r="T834" s="86">
        <f>1919206.85+356835.09</f>
        <v>2276041.94</v>
      </c>
      <c r="U834" s="86">
        <v>0</v>
      </c>
      <c r="V834" s="86">
        <v>0</v>
      </c>
      <c r="W834" s="86">
        <v>0</v>
      </c>
      <c r="X834" s="86">
        <v>0</v>
      </c>
      <c r="Y834" s="86">
        <v>0</v>
      </c>
      <c r="Z834" s="86">
        <v>0</v>
      </c>
      <c r="AA834" s="86">
        <v>0</v>
      </c>
      <c r="AB834" s="86">
        <v>0</v>
      </c>
      <c r="AC834" s="86">
        <f>ROUND(T834*1.5%,2)</f>
        <v>34140.629999999997</v>
      </c>
      <c r="AD834" s="86">
        <v>150000</v>
      </c>
      <c r="AE834" s="86">
        <v>0</v>
      </c>
      <c r="AF834" s="170">
        <v>2021</v>
      </c>
      <c r="AG834" s="170">
        <v>2021</v>
      </c>
      <c r="AH834" s="171">
        <v>2021</v>
      </c>
      <c r="AT834" s="168" t="e">
        <f t="shared" si="174"/>
        <v>#N/A</v>
      </c>
      <c r="BZ834" s="172"/>
      <c r="CD834" s="168" t="e">
        <f t="shared" si="163"/>
        <v>#N/A</v>
      </c>
    </row>
    <row r="835" spans="1:82" ht="61.5" x14ac:dyDescent="0.85">
      <c r="A835" s="20">
        <v>1</v>
      </c>
      <c r="B835" s="60">
        <f>SUBTOTAL(103,$A$558:A835)</f>
        <v>265</v>
      </c>
      <c r="C835" s="101" t="s">
        <v>670</v>
      </c>
      <c r="D835" s="31">
        <f t="shared" ref="D835:D837" si="175">E835+F835+G835+H835+I835+J835+L835+N835+P835+R835+T835+U835+V835+W835+X835+Y835+Z835+AA835+AB835+AC835+AD835+AE835</f>
        <v>3058347.5</v>
      </c>
      <c r="E835" s="31">
        <v>0</v>
      </c>
      <c r="F835" s="31">
        <v>0</v>
      </c>
      <c r="G835" s="31">
        <v>0</v>
      </c>
      <c r="H835" s="31">
        <v>0</v>
      </c>
      <c r="I835" s="31">
        <v>0</v>
      </c>
      <c r="J835" s="31">
        <v>0</v>
      </c>
      <c r="K835" s="67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585.5</v>
      </c>
      <c r="R835" s="31">
        <f>2885071.43-118226.6</f>
        <v>2766844.83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31">
        <v>0</v>
      </c>
      <c r="AC835" s="31">
        <f>ROUND(R835*1.5%,2)</f>
        <v>41502.67</v>
      </c>
      <c r="AD835" s="31">
        <v>130000</v>
      </c>
      <c r="AE835" s="31">
        <v>120000</v>
      </c>
      <c r="AF835" s="33">
        <v>2021</v>
      </c>
      <c r="AG835" s="33">
        <v>2021</v>
      </c>
      <c r="AH835" s="34">
        <v>2021</v>
      </c>
      <c r="AT835" s="20" t="e">
        <f t="shared" si="174"/>
        <v>#N/A</v>
      </c>
      <c r="BZ835" s="64"/>
    </row>
    <row r="836" spans="1:82" ht="61.5" x14ac:dyDescent="0.85">
      <c r="A836" s="20">
        <v>1</v>
      </c>
      <c r="B836" s="60">
        <f>SUBTOTAL(103,$A$558:A836)</f>
        <v>266</v>
      </c>
      <c r="C836" s="24" t="s">
        <v>2309</v>
      </c>
      <c r="D836" s="31">
        <f t="shared" si="175"/>
        <v>3424209.35</v>
      </c>
      <c r="E836" s="35">
        <v>0</v>
      </c>
      <c r="F836" s="35">
        <v>0</v>
      </c>
      <c r="G836" s="35">
        <v>0</v>
      </c>
      <c r="H836" s="35">
        <v>0</v>
      </c>
      <c r="I836" s="35">
        <v>0</v>
      </c>
      <c r="J836" s="35">
        <v>0</v>
      </c>
      <c r="K836" s="67">
        <v>0</v>
      </c>
      <c r="L836" s="31">
        <v>0</v>
      </c>
      <c r="M836" s="31">
        <v>790</v>
      </c>
      <c r="N836" s="31">
        <f>3255378.67</f>
        <v>3255378.67</v>
      </c>
      <c r="O836" s="31">
        <v>0</v>
      </c>
      <c r="P836" s="31">
        <v>0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1">
        <v>0</v>
      </c>
      <c r="X836" s="31">
        <v>0</v>
      </c>
      <c r="Y836" s="31">
        <v>0</v>
      </c>
      <c r="Z836" s="31">
        <v>0</v>
      </c>
      <c r="AA836" s="31">
        <v>0</v>
      </c>
      <c r="AB836" s="31">
        <v>0</v>
      </c>
      <c r="AC836" s="31">
        <f t="shared" ref="AC836:AC837" si="176">ROUND(N836*1.5%,2)</f>
        <v>48830.68</v>
      </c>
      <c r="AD836" s="31">
        <v>120000</v>
      </c>
      <c r="AE836" s="31">
        <v>0</v>
      </c>
      <c r="AF836" s="33">
        <v>2021</v>
      </c>
      <c r="AG836" s="33">
        <v>2021</v>
      </c>
      <c r="AH836" s="34">
        <v>2021</v>
      </c>
      <c r="AT836" s="20" t="e">
        <f t="shared" si="174"/>
        <v>#N/A</v>
      </c>
      <c r="BZ836" s="64"/>
      <c r="CD836" s="20" t="e">
        <f t="shared" ref="CD836:CD867" si="177">VLOOKUP(C836,CE:CF,2,FALSE)</f>
        <v>#N/A</v>
      </c>
    </row>
    <row r="837" spans="1:82" ht="61.5" x14ac:dyDescent="0.85">
      <c r="A837" s="20">
        <v>1</v>
      </c>
      <c r="B837" s="60">
        <f>SUBTOTAL(103,$A$558:A837)</f>
        <v>267</v>
      </c>
      <c r="C837" s="24" t="s">
        <v>656</v>
      </c>
      <c r="D837" s="31">
        <f t="shared" si="175"/>
        <v>4915600</v>
      </c>
      <c r="E837" s="35">
        <v>0</v>
      </c>
      <c r="F837" s="35">
        <v>0</v>
      </c>
      <c r="G837" s="35">
        <v>0</v>
      </c>
      <c r="H837" s="35">
        <v>0</v>
      </c>
      <c r="I837" s="35">
        <v>0</v>
      </c>
      <c r="J837" s="35">
        <v>0</v>
      </c>
      <c r="K837" s="67">
        <v>2</v>
      </c>
      <c r="L837" s="31">
        <v>4765600</v>
      </c>
      <c r="M837" s="31">
        <v>0</v>
      </c>
      <c r="N837" s="31">
        <v>0</v>
      </c>
      <c r="O837" s="31">
        <v>0</v>
      </c>
      <c r="P837" s="31">
        <v>0</v>
      </c>
      <c r="Q837" s="31">
        <v>0</v>
      </c>
      <c r="R837" s="31">
        <v>0</v>
      </c>
      <c r="S837" s="31">
        <v>0</v>
      </c>
      <c r="T837" s="31">
        <v>0</v>
      </c>
      <c r="U837" s="31">
        <v>0</v>
      </c>
      <c r="V837" s="31">
        <v>0</v>
      </c>
      <c r="W837" s="31">
        <v>0</v>
      </c>
      <c r="X837" s="31">
        <v>0</v>
      </c>
      <c r="Y837" s="31">
        <v>0</v>
      </c>
      <c r="Z837" s="31">
        <v>0</v>
      </c>
      <c r="AA837" s="31">
        <v>0</v>
      </c>
      <c r="AB837" s="31">
        <v>0</v>
      </c>
      <c r="AC837" s="31">
        <f t="shared" si="176"/>
        <v>0</v>
      </c>
      <c r="AD837" s="31">
        <v>150000</v>
      </c>
      <c r="AE837" s="31">
        <v>0</v>
      </c>
      <c r="AF837" s="33">
        <v>2021</v>
      </c>
      <c r="AG837" s="33">
        <v>2021</v>
      </c>
      <c r="AH837" s="33" t="s">
        <v>268</v>
      </c>
      <c r="AT837" s="20" t="e">
        <f t="shared" si="174"/>
        <v>#N/A</v>
      </c>
      <c r="BZ837" s="64"/>
      <c r="CD837" s="20" t="e">
        <f t="shared" si="177"/>
        <v>#N/A</v>
      </c>
    </row>
    <row r="838" spans="1:82" ht="61.5" x14ac:dyDescent="0.85">
      <c r="B838" s="24" t="s">
        <v>824</v>
      </c>
      <c r="C838" s="198"/>
      <c r="D838" s="199">
        <f t="shared" ref="D838:AE838" si="178">SUM(D839:D848)</f>
        <v>26896985.909999996</v>
      </c>
      <c r="E838" s="31">
        <f t="shared" si="178"/>
        <v>315048.13</v>
      </c>
      <c r="F838" s="31">
        <f t="shared" si="178"/>
        <v>0</v>
      </c>
      <c r="G838" s="31">
        <f t="shared" si="178"/>
        <v>0</v>
      </c>
      <c r="H838" s="31">
        <f t="shared" si="178"/>
        <v>540227.06000000006</v>
      </c>
      <c r="I838" s="31">
        <f t="shared" si="178"/>
        <v>0</v>
      </c>
      <c r="J838" s="31">
        <f t="shared" si="178"/>
        <v>0</v>
      </c>
      <c r="K838" s="67">
        <f t="shared" si="178"/>
        <v>0</v>
      </c>
      <c r="L838" s="31">
        <f t="shared" si="178"/>
        <v>0</v>
      </c>
      <c r="M838" s="31">
        <f t="shared" si="178"/>
        <v>3264.4</v>
      </c>
      <c r="N838" s="31">
        <f t="shared" si="178"/>
        <v>15493566.23</v>
      </c>
      <c r="O838" s="31">
        <f t="shared" si="178"/>
        <v>0</v>
      </c>
      <c r="P838" s="31">
        <f t="shared" si="178"/>
        <v>0</v>
      </c>
      <c r="Q838" s="31">
        <f t="shared" si="178"/>
        <v>827.7</v>
      </c>
      <c r="R838" s="31">
        <f t="shared" si="178"/>
        <v>4143766</v>
      </c>
      <c r="S838" s="31">
        <f t="shared" si="178"/>
        <v>84.3</v>
      </c>
      <c r="T838" s="31">
        <f t="shared" si="178"/>
        <v>1784615.64</v>
      </c>
      <c r="U838" s="31">
        <f t="shared" si="178"/>
        <v>4066158.53</v>
      </c>
      <c r="V838" s="31">
        <f t="shared" si="178"/>
        <v>0</v>
      </c>
      <c r="W838" s="31">
        <f t="shared" si="178"/>
        <v>0</v>
      </c>
      <c r="X838" s="31">
        <f t="shared" si="178"/>
        <v>0</v>
      </c>
      <c r="Y838" s="31">
        <f t="shared" si="178"/>
        <v>0</v>
      </c>
      <c r="Z838" s="31">
        <f t="shared" si="178"/>
        <v>0</v>
      </c>
      <c r="AA838" s="31">
        <f t="shared" si="178"/>
        <v>0</v>
      </c>
      <c r="AB838" s="31">
        <f t="shared" si="178"/>
        <v>0</v>
      </c>
      <c r="AC838" s="31">
        <f t="shared" si="178"/>
        <v>307505.06</v>
      </c>
      <c r="AD838" s="31">
        <f t="shared" si="178"/>
        <v>246099.26</v>
      </c>
      <c r="AE838" s="31">
        <f t="shared" si="178"/>
        <v>0</v>
      </c>
      <c r="AF838" s="65" t="s">
        <v>751</v>
      </c>
      <c r="AG838" s="65" t="s">
        <v>751</v>
      </c>
      <c r="AH838" s="79" t="s">
        <v>751</v>
      </c>
      <c r="AT838" s="20" t="e">
        <f t="shared" si="174"/>
        <v>#N/A</v>
      </c>
      <c r="BZ838" s="64">
        <v>11973050.91</v>
      </c>
      <c r="CB838" s="64">
        <f>BZ838-D838</f>
        <v>-14923934.999999996</v>
      </c>
      <c r="CD838" s="20" t="e">
        <f t="shared" si="177"/>
        <v>#N/A</v>
      </c>
    </row>
    <row r="839" spans="1:82" ht="61.5" x14ac:dyDescent="0.85">
      <c r="A839" s="20">
        <v>1</v>
      </c>
      <c r="B839" s="60">
        <f>SUBTOTAL(103,$A$558:A839)</f>
        <v>268</v>
      </c>
      <c r="C839" s="24" t="s">
        <v>235</v>
      </c>
      <c r="D839" s="31">
        <f>E839+F839+G839+H839+I839+J839+L839+N839+P839+R839+T839+U839+V839+W839+X839+Y839+Z839+AA839+AB839+AC839+AD839+AE839</f>
        <v>7344840.7800000003</v>
      </c>
      <c r="E839" s="31">
        <v>0</v>
      </c>
      <c r="F839" s="31">
        <v>0</v>
      </c>
      <c r="G839" s="31">
        <v>0</v>
      </c>
      <c r="H839" s="31">
        <v>0</v>
      </c>
      <c r="I839" s="31">
        <v>0</v>
      </c>
      <c r="J839" s="31">
        <v>0</v>
      </c>
      <c r="K839" s="67">
        <v>0</v>
      </c>
      <c r="L839" s="31">
        <v>0</v>
      </c>
      <c r="M839" s="31">
        <v>1509</v>
      </c>
      <c r="N839" s="31">
        <f>7404827.59-237942.47-7322.63-10599.59</f>
        <v>7148962.9000000004</v>
      </c>
      <c r="O839" s="31">
        <v>0</v>
      </c>
      <c r="P839" s="31">
        <v>0</v>
      </c>
      <c r="Q839" s="31">
        <v>0</v>
      </c>
      <c r="R839" s="31">
        <v>0</v>
      </c>
      <c r="S839" s="31">
        <v>0</v>
      </c>
      <c r="T839" s="31">
        <v>0</v>
      </c>
      <c r="U839" s="31">
        <v>0</v>
      </c>
      <c r="V839" s="31">
        <v>0</v>
      </c>
      <c r="W839" s="31">
        <v>0</v>
      </c>
      <c r="X839" s="31">
        <v>0</v>
      </c>
      <c r="Y839" s="31">
        <v>0</v>
      </c>
      <c r="Z839" s="31">
        <v>0</v>
      </c>
      <c r="AA839" s="31">
        <v>0</v>
      </c>
      <c r="AB839" s="31">
        <v>0</v>
      </c>
      <c r="AC839" s="31">
        <f>ROUND(N839*1.26%,2)</f>
        <v>90076.93</v>
      </c>
      <c r="AD839" s="31">
        <v>105800.95</v>
      </c>
      <c r="AE839" s="31">
        <v>0</v>
      </c>
      <c r="AF839" s="33">
        <v>2021</v>
      </c>
      <c r="AG839" s="33">
        <v>2021</v>
      </c>
      <c r="AH839" s="34">
        <v>2021</v>
      </c>
      <c r="AT839" s="20">
        <f t="shared" si="174"/>
        <v>1</v>
      </c>
      <c r="BZ839" s="64"/>
      <c r="CD839" s="20" t="e">
        <f t="shared" si="177"/>
        <v>#N/A</v>
      </c>
    </row>
    <row r="840" spans="1:82" ht="61.5" x14ac:dyDescent="0.85">
      <c r="A840" s="20">
        <v>1</v>
      </c>
      <c r="B840" s="60">
        <f>SUBTOTAL(103,$A$558:A840)</f>
        <v>269</v>
      </c>
      <c r="C840" s="24" t="s">
        <v>240</v>
      </c>
      <c r="D840" s="31">
        <f>E840+F840+G840+H840+I840+J840+L840+N840+P840+R840+T840+U840+V840+W840+X840+Y840+Z840+AA840+AB840+AC840+AD840+AE840</f>
        <v>4207919.8999999994</v>
      </c>
      <c r="E840" s="31">
        <v>0</v>
      </c>
      <c r="F840" s="31">
        <v>0</v>
      </c>
      <c r="G840" s="31">
        <v>0</v>
      </c>
      <c r="H840" s="31">
        <v>0</v>
      </c>
      <c r="I840" s="31">
        <v>0</v>
      </c>
      <c r="J840" s="31">
        <v>0</v>
      </c>
      <c r="K840" s="67">
        <v>0</v>
      </c>
      <c r="L840" s="31">
        <v>0</v>
      </c>
      <c r="M840" s="31">
        <v>0</v>
      </c>
      <c r="N840" s="31">
        <v>0</v>
      </c>
      <c r="O840" s="31">
        <v>0</v>
      </c>
      <c r="P840" s="31">
        <v>0</v>
      </c>
      <c r="Q840" s="31">
        <v>0</v>
      </c>
      <c r="R840" s="31">
        <v>0</v>
      </c>
      <c r="S840" s="31">
        <v>0</v>
      </c>
      <c r="T840" s="31">
        <v>0</v>
      </c>
      <c r="U840" s="31">
        <v>4066158.53</v>
      </c>
      <c r="V840" s="31">
        <v>0</v>
      </c>
      <c r="W840" s="31">
        <v>0</v>
      </c>
      <c r="X840" s="31">
        <v>0</v>
      </c>
      <c r="Y840" s="31">
        <v>0</v>
      </c>
      <c r="Z840" s="31">
        <v>0</v>
      </c>
      <c r="AA840" s="31">
        <v>0</v>
      </c>
      <c r="AB840" s="31">
        <v>0</v>
      </c>
      <c r="AC840" s="31">
        <f>ROUND(U840*1.26%,2)</f>
        <v>51233.599999999999</v>
      </c>
      <c r="AD840" s="31">
        <v>90527.77</v>
      </c>
      <c r="AE840" s="31">
        <v>0</v>
      </c>
      <c r="AF840" s="33">
        <v>2021</v>
      </c>
      <c r="AG840" s="33">
        <v>2021</v>
      </c>
      <c r="AH840" s="34">
        <v>2021</v>
      </c>
      <c r="AT840" s="20" t="e">
        <f t="shared" si="174"/>
        <v>#N/A</v>
      </c>
      <c r="BZ840" s="64"/>
      <c r="CD840" s="20" t="e">
        <f t="shared" si="177"/>
        <v>#N/A</v>
      </c>
    </row>
    <row r="841" spans="1:82" ht="61.5" x14ac:dyDescent="0.85">
      <c r="A841" s="20">
        <v>1</v>
      </c>
      <c r="B841" s="60">
        <f>SUBTOTAL(103,$A$558:A841)</f>
        <v>270</v>
      </c>
      <c r="C841" s="24" t="s">
        <v>1605</v>
      </c>
      <c r="D841" s="31">
        <f>E841+F841+G841+H841+I841+J841+L841+N841+P841+R841+T841+U841+V841+W841+X841+Y841+Z841+AA841+AB841+AC841+AD841+AE841</f>
        <v>1428606.51</v>
      </c>
      <c r="E841" s="31">
        <v>0</v>
      </c>
      <c r="F841" s="31">
        <v>0</v>
      </c>
      <c r="G841" s="31">
        <v>0</v>
      </c>
      <c r="H841" s="31">
        <v>0</v>
      </c>
      <c r="I841" s="31">
        <v>0</v>
      </c>
      <c r="J841" s="31">
        <v>0</v>
      </c>
      <c r="K841" s="67">
        <v>0</v>
      </c>
      <c r="L841" s="31">
        <v>0</v>
      </c>
      <c r="M841" s="31">
        <v>280</v>
      </c>
      <c r="N841" s="31">
        <v>1361678.82</v>
      </c>
      <c r="O841" s="31">
        <v>0</v>
      </c>
      <c r="P841" s="31">
        <v>0</v>
      </c>
      <c r="Q841" s="31">
        <v>0</v>
      </c>
      <c r="R841" s="31">
        <v>0</v>
      </c>
      <c r="S841" s="31">
        <v>0</v>
      </c>
      <c r="T841" s="31">
        <v>0</v>
      </c>
      <c r="U841" s="31">
        <v>0</v>
      </c>
      <c r="V841" s="31">
        <v>0</v>
      </c>
      <c r="W841" s="31">
        <v>0</v>
      </c>
      <c r="X841" s="31">
        <v>0</v>
      </c>
      <c r="Y841" s="31">
        <v>0</v>
      </c>
      <c r="Z841" s="31">
        <v>0</v>
      </c>
      <c r="AA841" s="31">
        <v>0</v>
      </c>
      <c r="AB841" s="31">
        <v>0</v>
      </c>
      <c r="AC841" s="31">
        <f>ROUND(N841*1.26%,2)</f>
        <v>17157.150000000001</v>
      </c>
      <c r="AD841" s="31">
        <v>49770.54</v>
      </c>
      <c r="AE841" s="31">
        <v>0</v>
      </c>
      <c r="AF841" s="33">
        <v>2021</v>
      </c>
      <c r="AG841" s="33">
        <v>2021</v>
      </c>
      <c r="AH841" s="34">
        <v>2021</v>
      </c>
      <c r="BZ841" s="64"/>
      <c r="CD841" s="20" t="e">
        <f t="shared" si="177"/>
        <v>#N/A</v>
      </c>
    </row>
    <row r="842" spans="1:82" ht="61.5" x14ac:dyDescent="0.85">
      <c r="A842" s="20">
        <v>1</v>
      </c>
      <c r="B842" s="60">
        <f>SUBTOTAL(103,$A$558:A842)</f>
        <v>271</v>
      </c>
      <c r="C842" s="24" t="s">
        <v>1212</v>
      </c>
      <c r="D842" s="31">
        <f>E842+F842+G842+H842+I842+J842+L842+N842+P842+R842+T842+U842+V842+W842+X842+Y842+Z842+AA842+AB842+AC842+AD842+AE842</f>
        <v>2297318.9499999997</v>
      </c>
      <c r="E842" s="37">
        <v>0</v>
      </c>
      <c r="F842" s="37">
        <v>0</v>
      </c>
      <c r="G842" s="31">
        <v>0</v>
      </c>
      <c r="H842" s="37">
        <v>0</v>
      </c>
      <c r="I842" s="37">
        <v>0</v>
      </c>
      <c r="J842" s="37">
        <v>0</v>
      </c>
      <c r="K842" s="67">
        <v>0</v>
      </c>
      <c r="L842" s="31">
        <v>0</v>
      </c>
      <c r="M842" s="31">
        <v>665</v>
      </c>
      <c r="N842" s="31">
        <v>2268732.92</v>
      </c>
      <c r="O842" s="37">
        <v>0</v>
      </c>
      <c r="P842" s="37">
        <v>0</v>
      </c>
      <c r="Q842" s="31">
        <v>0</v>
      </c>
      <c r="R842" s="31">
        <v>0</v>
      </c>
      <c r="S842" s="31">
        <v>0</v>
      </c>
      <c r="T842" s="31">
        <v>0</v>
      </c>
      <c r="U842" s="31">
        <v>0</v>
      </c>
      <c r="V842" s="31">
        <v>0</v>
      </c>
      <c r="W842" s="31">
        <v>0</v>
      </c>
      <c r="X842" s="31">
        <v>0</v>
      </c>
      <c r="Y842" s="31">
        <v>0</v>
      </c>
      <c r="Z842" s="31">
        <v>0</v>
      </c>
      <c r="AA842" s="31">
        <v>0</v>
      </c>
      <c r="AB842" s="31">
        <v>0</v>
      </c>
      <c r="AC842" s="31">
        <f>ROUND(N842*1.26%,2)</f>
        <v>28586.03</v>
      </c>
      <c r="AD842" s="31">
        <v>0</v>
      </c>
      <c r="AE842" s="31">
        <v>0</v>
      </c>
      <c r="AF842" s="33" t="s">
        <v>268</v>
      </c>
      <c r="AG842" s="33">
        <v>2021</v>
      </c>
      <c r="AH842" s="34">
        <v>2021</v>
      </c>
      <c r="BZ842" s="64"/>
      <c r="CD842" s="20" t="e">
        <f t="shared" si="177"/>
        <v>#N/A</v>
      </c>
    </row>
    <row r="843" spans="1:82" ht="61.5" x14ac:dyDescent="0.85">
      <c r="A843" s="20">
        <v>1</v>
      </c>
      <c r="B843" s="60">
        <f>SUBTOTAL(103,$A$558:A843)</f>
        <v>272</v>
      </c>
      <c r="C843" s="24" t="s">
        <v>233</v>
      </c>
      <c r="D843" s="31">
        <f t="shared" ref="D843:D848" si="179">E843+F843+G843+H843+I843+J843+L843+N843+P843+R843+T843+U843+V843+W843+X843+Y843+Z843+AA843+AB843+AC843+AD843+AE843</f>
        <v>2793160.28</v>
      </c>
      <c r="E843" s="31">
        <v>0</v>
      </c>
      <c r="F843" s="31">
        <v>0</v>
      </c>
      <c r="G843" s="31">
        <v>0</v>
      </c>
      <c r="H843" s="31">
        <v>0</v>
      </c>
      <c r="I843" s="31">
        <v>0</v>
      </c>
      <c r="J843" s="31">
        <v>0</v>
      </c>
      <c r="K843" s="67">
        <v>0</v>
      </c>
      <c r="L843" s="31">
        <v>0</v>
      </c>
      <c r="M843" s="31">
        <v>0</v>
      </c>
      <c r="N843" s="31">
        <v>0</v>
      </c>
      <c r="O843" s="31">
        <v>0</v>
      </c>
      <c r="P843" s="31">
        <v>0</v>
      </c>
      <c r="Q843" s="31">
        <v>449.8</v>
      </c>
      <c r="R843" s="31">
        <v>2765163</v>
      </c>
      <c r="S843" s="31">
        <v>0</v>
      </c>
      <c r="T843" s="31">
        <v>0</v>
      </c>
      <c r="U843" s="31">
        <v>0</v>
      </c>
      <c r="V843" s="31">
        <v>0</v>
      </c>
      <c r="W843" s="31">
        <v>0</v>
      </c>
      <c r="X843" s="31">
        <v>0</v>
      </c>
      <c r="Y843" s="31">
        <v>0</v>
      </c>
      <c r="Z843" s="31">
        <v>0</v>
      </c>
      <c r="AA843" s="31">
        <v>0</v>
      </c>
      <c r="AB843" s="31">
        <v>0</v>
      </c>
      <c r="AC843" s="31">
        <f>ROUND(R843*1.0125%,2)</f>
        <v>27997.279999999999</v>
      </c>
      <c r="AD843" s="31">
        <v>0</v>
      </c>
      <c r="AE843" s="31">
        <v>0</v>
      </c>
      <c r="AF843" s="33" t="s">
        <v>268</v>
      </c>
      <c r="AG843" s="33">
        <v>2021</v>
      </c>
      <c r="AH843" s="34">
        <v>2021</v>
      </c>
      <c r="AT843" s="20" t="e">
        <f>VLOOKUP(C843,AW:AX,2,FALSE)</f>
        <v>#N/A</v>
      </c>
      <c r="BZ843" s="64"/>
      <c r="CD843" s="20" t="e">
        <f t="shared" si="177"/>
        <v>#N/A</v>
      </c>
    </row>
    <row r="844" spans="1:82" ht="61.5" x14ac:dyDescent="0.85">
      <c r="A844" s="20">
        <v>1</v>
      </c>
      <c r="B844" s="60">
        <f>SUBTOTAL(103,$A$558:A844)</f>
        <v>273</v>
      </c>
      <c r="C844" s="24" t="s">
        <v>237</v>
      </c>
      <c r="D844" s="31">
        <f t="shared" si="179"/>
        <v>1306200.72</v>
      </c>
      <c r="E844" s="31">
        <v>0</v>
      </c>
      <c r="F844" s="31">
        <v>0</v>
      </c>
      <c r="G844" s="31">
        <v>0</v>
      </c>
      <c r="H844" s="31">
        <v>0</v>
      </c>
      <c r="I844" s="31">
        <v>0</v>
      </c>
      <c r="J844" s="31">
        <v>0</v>
      </c>
      <c r="K844" s="67">
        <v>0</v>
      </c>
      <c r="L844" s="31">
        <v>0</v>
      </c>
      <c r="M844" s="31">
        <v>271</v>
      </c>
      <c r="N844" s="31">
        <v>1293108</v>
      </c>
      <c r="O844" s="31">
        <v>0</v>
      </c>
      <c r="P844" s="31">
        <v>0</v>
      </c>
      <c r="Q844" s="31">
        <v>0</v>
      </c>
      <c r="R844" s="31">
        <v>0</v>
      </c>
      <c r="S844" s="31">
        <v>0</v>
      </c>
      <c r="T844" s="31">
        <v>0</v>
      </c>
      <c r="U844" s="31">
        <v>0</v>
      </c>
      <c r="V844" s="31">
        <v>0</v>
      </c>
      <c r="W844" s="31">
        <v>0</v>
      </c>
      <c r="X844" s="31">
        <v>0</v>
      </c>
      <c r="Y844" s="31">
        <v>0</v>
      </c>
      <c r="Z844" s="31">
        <v>0</v>
      </c>
      <c r="AA844" s="31">
        <v>0</v>
      </c>
      <c r="AB844" s="31">
        <v>0</v>
      </c>
      <c r="AC844" s="31">
        <f>ROUND(N844*1.0125%,2)</f>
        <v>13092.72</v>
      </c>
      <c r="AD844" s="31">
        <v>0</v>
      </c>
      <c r="AE844" s="31">
        <v>0</v>
      </c>
      <c r="AF844" s="33" t="s">
        <v>268</v>
      </c>
      <c r="AG844" s="33">
        <v>2021</v>
      </c>
      <c r="AH844" s="34">
        <v>2021</v>
      </c>
      <c r="AT844" s="20" t="e">
        <f>VLOOKUP(C844,AW:AX,2,FALSE)</f>
        <v>#N/A</v>
      </c>
      <c r="BZ844" s="64"/>
      <c r="CD844" s="20" t="e">
        <f t="shared" si="177"/>
        <v>#N/A</v>
      </c>
    </row>
    <row r="845" spans="1:82" ht="61.5" x14ac:dyDescent="0.85">
      <c r="A845" s="20">
        <v>1</v>
      </c>
      <c r="B845" s="60">
        <f>SUBTOTAL(103,$A$558:A845)</f>
        <v>274</v>
      </c>
      <c r="C845" s="24" t="s">
        <v>239</v>
      </c>
      <c r="D845" s="31">
        <f t="shared" si="179"/>
        <v>3455722.06</v>
      </c>
      <c r="E845" s="31">
        <v>0</v>
      </c>
      <c r="F845" s="31">
        <v>0</v>
      </c>
      <c r="G845" s="31">
        <v>0</v>
      </c>
      <c r="H845" s="31">
        <v>0</v>
      </c>
      <c r="I845" s="31">
        <v>0</v>
      </c>
      <c r="J845" s="31">
        <v>0</v>
      </c>
      <c r="K845" s="67">
        <v>0</v>
      </c>
      <c r="L845" s="31">
        <v>0</v>
      </c>
      <c r="M845" s="31">
        <v>539.4</v>
      </c>
      <c r="N845" s="31">
        <f>4012011-590927.41</f>
        <v>3421083.59</v>
      </c>
      <c r="O845" s="31">
        <v>0</v>
      </c>
      <c r="P845" s="31">
        <v>0</v>
      </c>
      <c r="Q845" s="31">
        <v>0</v>
      </c>
      <c r="R845" s="31">
        <v>0</v>
      </c>
      <c r="S845" s="31">
        <v>0</v>
      </c>
      <c r="T845" s="31">
        <v>0</v>
      </c>
      <c r="U845" s="31">
        <v>0</v>
      </c>
      <c r="V845" s="31">
        <v>0</v>
      </c>
      <c r="W845" s="31">
        <v>0</v>
      </c>
      <c r="X845" s="31">
        <v>0</v>
      </c>
      <c r="Y845" s="31">
        <v>0</v>
      </c>
      <c r="Z845" s="31">
        <v>0</v>
      </c>
      <c r="AA845" s="31">
        <v>0</v>
      </c>
      <c r="AB845" s="31">
        <v>0</v>
      </c>
      <c r="AC845" s="31">
        <f>ROUND(N845*1.0125%,2)</f>
        <v>34638.47</v>
      </c>
      <c r="AD845" s="31">
        <v>0</v>
      </c>
      <c r="AE845" s="31">
        <v>0</v>
      </c>
      <c r="AF845" s="33" t="s">
        <v>268</v>
      </c>
      <c r="AG845" s="33">
        <v>2021</v>
      </c>
      <c r="AH845" s="34">
        <v>2021</v>
      </c>
      <c r="AT845" s="20" t="e">
        <f>VLOOKUP(C845,AW:AX,2,FALSE)</f>
        <v>#N/A</v>
      </c>
      <c r="BZ845" s="64"/>
      <c r="CD845" s="20" t="e">
        <f t="shared" si="177"/>
        <v>#N/A</v>
      </c>
    </row>
    <row r="846" spans="1:82" ht="61.5" x14ac:dyDescent="0.85">
      <c r="A846" s="20">
        <v>1</v>
      </c>
      <c r="B846" s="60">
        <f>SUBTOTAL(103,$A$558:A846)</f>
        <v>275</v>
      </c>
      <c r="C846" s="24" t="s">
        <v>1210</v>
      </c>
      <c r="D846" s="31">
        <f t="shared" si="179"/>
        <v>868104.32000000007</v>
      </c>
      <c r="E846" s="37">
        <v>315048.13</v>
      </c>
      <c r="F846" s="37">
        <v>0</v>
      </c>
      <c r="G846" s="31">
        <v>0</v>
      </c>
      <c r="H846" s="37">
        <v>540227.06000000006</v>
      </c>
      <c r="I846" s="37">
        <v>0</v>
      </c>
      <c r="J846" s="37">
        <v>0</v>
      </c>
      <c r="K846" s="67">
        <v>0</v>
      </c>
      <c r="L846" s="31">
        <v>0</v>
      </c>
      <c r="M846" s="31">
        <v>0</v>
      </c>
      <c r="N846" s="31">
        <v>0</v>
      </c>
      <c r="O846" s="37">
        <v>0</v>
      </c>
      <c r="P846" s="37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  <c r="AC846" s="31">
        <f>ROUND((E846+F846+G846+H846+I846+J846)*1.5%,2)</f>
        <v>12829.13</v>
      </c>
      <c r="AD846" s="31">
        <v>0</v>
      </c>
      <c r="AE846" s="31">
        <v>0</v>
      </c>
      <c r="AF846" s="33" t="s">
        <v>268</v>
      </c>
      <c r="AG846" s="33">
        <v>2021</v>
      </c>
      <c r="AH846" s="34">
        <v>2021</v>
      </c>
      <c r="BZ846" s="64"/>
      <c r="CD846" s="20" t="e">
        <f t="shared" si="177"/>
        <v>#N/A</v>
      </c>
    </row>
    <row r="847" spans="1:82" ht="61.5" x14ac:dyDescent="0.85">
      <c r="A847" s="20">
        <v>1</v>
      </c>
      <c r="B847" s="60">
        <f>SUBTOTAL(103,$A$558:A847)</f>
        <v>276</v>
      </c>
      <c r="C847" s="24" t="s">
        <v>1213</v>
      </c>
      <c r="D847" s="31">
        <f t="shared" si="179"/>
        <v>1802551.0299999998</v>
      </c>
      <c r="E847" s="37">
        <v>0</v>
      </c>
      <c r="F847" s="37">
        <v>0</v>
      </c>
      <c r="G847" s="31">
        <v>0</v>
      </c>
      <c r="H847" s="37">
        <v>0</v>
      </c>
      <c r="I847" s="37">
        <v>0</v>
      </c>
      <c r="J847" s="37">
        <v>0</v>
      </c>
      <c r="K847" s="67">
        <v>0</v>
      </c>
      <c r="L847" s="31">
        <v>0</v>
      </c>
      <c r="M847" s="31">
        <v>0</v>
      </c>
      <c r="N847" s="31">
        <v>0</v>
      </c>
      <c r="O847" s="37">
        <v>0</v>
      </c>
      <c r="P847" s="37">
        <v>0</v>
      </c>
      <c r="Q847" s="31">
        <v>0</v>
      </c>
      <c r="R847" s="31">
        <v>0</v>
      </c>
      <c r="S847" s="31">
        <v>84.3</v>
      </c>
      <c r="T847" s="31">
        <v>1784615.64</v>
      </c>
      <c r="U847" s="31">
        <v>0</v>
      </c>
      <c r="V847" s="31">
        <v>0</v>
      </c>
      <c r="W847" s="31">
        <v>0</v>
      </c>
      <c r="X847" s="31">
        <v>0</v>
      </c>
      <c r="Y847" s="31">
        <v>0</v>
      </c>
      <c r="Z847" s="31">
        <v>0</v>
      </c>
      <c r="AA847" s="31">
        <v>0</v>
      </c>
      <c r="AB847" s="31">
        <v>0</v>
      </c>
      <c r="AC847" s="31">
        <f>ROUND(T847*1.005%,2)</f>
        <v>17935.39</v>
      </c>
      <c r="AD847" s="31">
        <v>0</v>
      </c>
      <c r="AE847" s="31">
        <v>0</v>
      </c>
      <c r="AF847" s="33" t="s">
        <v>268</v>
      </c>
      <c r="AG847" s="33">
        <v>2021</v>
      </c>
      <c r="AH847" s="34">
        <v>2021</v>
      </c>
      <c r="BZ847" s="64"/>
      <c r="CD847" s="20" t="e">
        <f t="shared" si="177"/>
        <v>#N/A</v>
      </c>
    </row>
    <row r="848" spans="1:82" ht="61.5" x14ac:dyDescent="0.85">
      <c r="A848" s="20">
        <v>1</v>
      </c>
      <c r="B848" s="60">
        <f>SUBTOTAL(103,$A$558:A848)</f>
        <v>277</v>
      </c>
      <c r="C848" s="24" t="s">
        <v>1580</v>
      </c>
      <c r="D848" s="31">
        <f t="shared" si="179"/>
        <v>1392561.36</v>
      </c>
      <c r="E848" s="37">
        <v>0</v>
      </c>
      <c r="F848" s="37">
        <v>0</v>
      </c>
      <c r="G848" s="31">
        <v>0</v>
      </c>
      <c r="H848" s="37">
        <v>0</v>
      </c>
      <c r="I848" s="37">
        <v>0</v>
      </c>
      <c r="J848" s="37">
        <v>0</v>
      </c>
      <c r="K848" s="67">
        <v>0</v>
      </c>
      <c r="L848" s="31">
        <v>0</v>
      </c>
      <c r="M848" s="31">
        <v>0</v>
      </c>
      <c r="N848" s="31">
        <v>0</v>
      </c>
      <c r="O848" s="37">
        <v>0</v>
      </c>
      <c r="P848" s="37">
        <v>0</v>
      </c>
      <c r="Q848" s="31">
        <v>377.9</v>
      </c>
      <c r="R848" s="31">
        <v>1378603</v>
      </c>
      <c r="S848" s="31">
        <v>0</v>
      </c>
      <c r="T848" s="31">
        <v>0</v>
      </c>
      <c r="U848" s="31">
        <v>0</v>
      </c>
      <c r="V848" s="31">
        <v>0</v>
      </c>
      <c r="W848" s="31">
        <v>0</v>
      </c>
      <c r="X848" s="31">
        <v>0</v>
      </c>
      <c r="Y848" s="31">
        <v>0</v>
      </c>
      <c r="Z848" s="31">
        <v>0</v>
      </c>
      <c r="AA848" s="31">
        <v>0</v>
      </c>
      <c r="AB848" s="31">
        <v>0</v>
      </c>
      <c r="AC848" s="31">
        <f>ROUND(R848*1.0125%,2)</f>
        <v>13958.36</v>
      </c>
      <c r="AD848" s="31">
        <v>0</v>
      </c>
      <c r="AE848" s="31">
        <v>0</v>
      </c>
      <c r="AF848" s="33" t="s">
        <v>268</v>
      </c>
      <c r="AG848" s="33">
        <v>2021</v>
      </c>
      <c r="AH848" s="34">
        <v>2021</v>
      </c>
      <c r="BZ848" s="64"/>
      <c r="CD848" s="20" t="e">
        <f t="shared" si="177"/>
        <v>#N/A</v>
      </c>
    </row>
    <row r="849" spans="1:82" ht="61.5" x14ac:dyDescent="0.85">
      <c r="B849" s="24" t="s">
        <v>1278</v>
      </c>
      <c r="C849" s="24"/>
      <c r="D849" s="199">
        <f t="shared" ref="D849:AE849" si="180">SUM(D850:D851)</f>
        <v>5767392.7699999996</v>
      </c>
      <c r="E849" s="31">
        <f t="shared" si="180"/>
        <v>0</v>
      </c>
      <c r="F849" s="31">
        <f t="shared" si="180"/>
        <v>0</v>
      </c>
      <c r="G849" s="31">
        <f t="shared" si="180"/>
        <v>0</v>
      </c>
      <c r="H849" s="31">
        <f t="shared" si="180"/>
        <v>0</v>
      </c>
      <c r="I849" s="31">
        <f t="shared" si="180"/>
        <v>0</v>
      </c>
      <c r="J849" s="31">
        <f t="shared" si="180"/>
        <v>0</v>
      </c>
      <c r="K849" s="67">
        <f t="shared" si="180"/>
        <v>0</v>
      </c>
      <c r="L849" s="31">
        <f t="shared" si="180"/>
        <v>0</v>
      </c>
      <c r="M849" s="31">
        <f t="shared" si="180"/>
        <v>0</v>
      </c>
      <c r="N849" s="31">
        <f t="shared" si="180"/>
        <v>0</v>
      </c>
      <c r="O849" s="31">
        <f t="shared" si="180"/>
        <v>0</v>
      </c>
      <c r="P849" s="31">
        <f t="shared" si="180"/>
        <v>0</v>
      </c>
      <c r="Q849" s="31">
        <f t="shared" si="180"/>
        <v>1339.37</v>
      </c>
      <c r="R849" s="31">
        <f t="shared" si="180"/>
        <v>5585225.3700000001</v>
      </c>
      <c r="S849" s="31">
        <f t="shared" si="180"/>
        <v>0</v>
      </c>
      <c r="T849" s="31">
        <f t="shared" si="180"/>
        <v>0</v>
      </c>
      <c r="U849" s="31">
        <f t="shared" si="180"/>
        <v>0</v>
      </c>
      <c r="V849" s="31">
        <f t="shared" si="180"/>
        <v>0</v>
      </c>
      <c r="W849" s="31">
        <f t="shared" si="180"/>
        <v>0</v>
      </c>
      <c r="X849" s="31">
        <f t="shared" si="180"/>
        <v>0</v>
      </c>
      <c r="Y849" s="31">
        <f t="shared" si="180"/>
        <v>0</v>
      </c>
      <c r="Z849" s="31">
        <f t="shared" si="180"/>
        <v>0</v>
      </c>
      <c r="AA849" s="31">
        <f t="shared" si="180"/>
        <v>0</v>
      </c>
      <c r="AB849" s="31">
        <f t="shared" si="180"/>
        <v>0</v>
      </c>
      <c r="AC849" s="31">
        <f t="shared" si="180"/>
        <v>76366.45</v>
      </c>
      <c r="AD849" s="31">
        <f t="shared" si="180"/>
        <v>105800.95</v>
      </c>
      <c r="AE849" s="31">
        <f t="shared" si="180"/>
        <v>0</v>
      </c>
      <c r="AF849" s="65" t="s">
        <v>751</v>
      </c>
      <c r="AG849" s="65" t="s">
        <v>751</v>
      </c>
      <c r="AH849" s="79" t="s">
        <v>751</v>
      </c>
      <c r="AT849" s="20" t="e">
        <f>VLOOKUP(C849,AW:AX,2,FALSE)</f>
        <v>#N/A</v>
      </c>
      <c r="BZ849" s="64">
        <v>3284631.43</v>
      </c>
      <c r="CD849" s="20" t="e">
        <f t="shared" si="177"/>
        <v>#N/A</v>
      </c>
    </row>
    <row r="850" spans="1:82" ht="61.5" x14ac:dyDescent="0.85">
      <c r="A850" s="20">
        <v>1</v>
      </c>
      <c r="B850" s="60">
        <f>SUBTOTAL(103,$A$558:A850)</f>
        <v>278</v>
      </c>
      <c r="C850" s="24" t="s">
        <v>1279</v>
      </c>
      <c r="D850" s="31">
        <f>E850+F850+G850+H850+I850+J850+L850+N850+P850+R850+T850+U850+V850+W850+X850+Y850+Z850+AA850+AB850+AC850+AD850+AE850</f>
        <v>3233020.45</v>
      </c>
      <c r="E850" s="31">
        <v>0</v>
      </c>
      <c r="F850" s="31">
        <v>0</v>
      </c>
      <c r="G850" s="31">
        <v>0</v>
      </c>
      <c r="H850" s="31">
        <v>0</v>
      </c>
      <c r="I850" s="31">
        <v>0</v>
      </c>
      <c r="J850" s="31">
        <v>0</v>
      </c>
      <c r="K850" s="67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842.36</v>
      </c>
      <c r="R850" s="31">
        <v>3088306.83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0</v>
      </c>
      <c r="AC850" s="31">
        <f>ROUND(R850*1.26%,2)</f>
        <v>38912.67</v>
      </c>
      <c r="AD850" s="31">
        <v>105800.95</v>
      </c>
      <c r="AE850" s="31">
        <v>0</v>
      </c>
      <c r="AF850" s="33">
        <v>2021</v>
      </c>
      <c r="AG850" s="33">
        <v>2021</v>
      </c>
      <c r="AH850" s="34">
        <v>2021</v>
      </c>
      <c r="BZ850" s="64"/>
      <c r="CD850" s="20" t="e">
        <f t="shared" si="177"/>
        <v>#N/A</v>
      </c>
    </row>
    <row r="851" spans="1:82" ht="61.5" x14ac:dyDescent="0.85">
      <c r="A851" s="20">
        <v>1</v>
      </c>
      <c r="B851" s="60">
        <f>SUBTOTAL(103,$A$558:A851)</f>
        <v>279</v>
      </c>
      <c r="C851" s="24" t="s">
        <v>1216</v>
      </c>
      <c r="D851" s="31">
        <f>E851+F851+G851+H851+I851+J851+L851+N851+P851+R851+T851+U851+V851+W851+X851+Y851+Z851+AA851+AB851+AC851+AD851+AE851</f>
        <v>2534372.3199999998</v>
      </c>
      <c r="E851" s="37">
        <v>0</v>
      </c>
      <c r="F851" s="37">
        <v>0</v>
      </c>
      <c r="G851" s="31">
        <v>0</v>
      </c>
      <c r="H851" s="37">
        <v>0</v>
      </c>
      <c r="I851" s="37">
        <v>0</v>
      </c>
      <c r="J851" s="37">
        <v>0</v>
      </c>
      <c r="K851" s="67">
        <v>0</v>
      </c>
      <c r="L851" s="31">
        <v>0</v>
      </c>
      <c r="M851" s="31">
        <v>0</v>
      </c>
      <c r="N851" s="31">
        <v>0</v>
      </c>
      <c r="O851" s="37">
        <v>0</v>
      </c>
      <c r="P851" s="37">
        <v>0</v>
      </c>
      <c r="Q851" s="31">
        <v>497.01</v>
      </c>
      <c r="R851" s="31">
        <f>2550000-53081.46</f>
        <v>2496918.54</v>
      </c>
      <c r="S851" s="31">
        <v>0</v>
      </c>
      <c r="T851" s="31">
        <v>0</v>
      </c>
      <c r="U851" s="31">
        <v>0</v>
      </c>
      <c r="V851" s="31">
        <v>0</v>
      </c>
      <c r="W851" s="31">
        <v>0</v>
      </c>
      <c r="X851" s="31">
        <v>0</v>
      </c>
      <c r="Y851" s="31">
        <v>0</v>
      </c>
      <c r="Z851" s="31">
        <v>0</v>
      </c>
      <c r="AA851" s="31">
        <v>0</v>
      </c>
      <c r="AB851" s="31">
        <v>0</v>
      </c>
      <c r="AC851" s="31">
        <f>ROUND(R851*1.5%,2)</f>
        <v>37453.78</v>
      </c>
      <c r="AD851" s="31">
        <v>0</v>
      </c>
      <c r="AE851" s="31">
        <v>0</v>
      </c>
      <c r="AF851" s="33" t="s">
        <v>268</v>
      </c>
      <c r="AG851" s="33">
        <v>2021</v>
      </c>
      <c r="AH851" s="34">
        <v>2021</v>
      </c>
      <c r="BZ851" s="64"/>
      <c r="CD851" s="20" t="e">
        <f t="shared" si="177"/>
        <v>#N/A</v>
      </c>
    </row>
    <row r="852" spans="1:82" ht="61.5" x14ac:dyDescent="0.85">
      <c r="B852" s="24" t="s">
        <v>825</v>
      </c>
      <c r="C852" s="24"/>
      <c r="D852" s="199">
        <f t="shared" ref="D852:AE852" si="181">SUM(D853:D854)</f>
        <v>1924810.92</v>
      </c>
      <c r="E852" s="31">
        <f t="shared" si="181"/>
        <v>0</v>
      </c>
      <c r="F852" s="31">
        <f t="shared" si="181"/>
        <v>0</v>
      </c>
      <c r="G852" s="31">
        <f t="shared" si="181"/>
        <v>0</v>
      </c>
      <c r="H852" s="31">
        <f t="shared" si="181"/>
        <v>0</v>
      </c>
      <c r="I852" s="31">
        <f t="shared" si="181"/>
        <v>0</v>
      </c>
      <c r="J852" s="31">
        <f t="shared" si="181"/>
        <v>0</v>
      </c>
      <c r="K852" s="67">
        <f t="shared" si="181"/>
        <v>0</v>
      </c>
      <c r="L852" s="31">
        <f t="shared" si="181"/>
        <v>0</v>
      </c>
      <c r="M852" s="31">
        <f t="shared" si="181"/>
        <v>0</v>
      </c>
      <c r="N852" s="31">
        <f t="shared" si="181"/>
        <v>0</v>
      </c>
      <c r="O852" s="31">
        <f t="shared" si="181"/>
        <v>0</v>
      </c>
      <c r="P852" s="31">
        <f t="shared" si="181"/>
        <v>0</v>
      </c>
      <c r="Q852" s="31">
        <f t="shared" si="181"/>
        <v>369.1</v>
      </c>
      <c r="R852" s="31">
        <f t="shared" si="181"/>
        <v>1525546</v>
      </c>
      <c r="S852" s="31">
        <f t="shared" si="181"/>
        <v>41.6</v>
      </c>
      <c r="T852" s="31">
        <f t="shared" si="181"/>
        <v>378146.57</v>
      </c>
      <c r="U852" s="31">
        <f t="shared" si="181"/>
        <v>0</v>
      </c>
      <c r="V852" s="31">
        <f t="shared" si="181"/>
        <v>0</v>
      </c>
      <c r="W852" s="31">
        <f t="shared" si="181"/>
        <v>0</v>
      </c>
      <c r="X852" s="31">
        <f t="shared" si="181"/>
        <v>0</v>
      </c>
      <c r="Y852" s="31">
        <f t="shared" si="181"/>
        <v>0</v>
      </c>
      <c r="Z852" s="31">
        <f t="shared" si="181"/>
        <v>0</v>
      </c>
      <c r="AA852" s="31">
        <f t="shared" si="181"/>
        <v>0</v>
      </c>
      <c r="AB852" s="31">
        <f t="shared" si="181"/>
        <v>0</v>
      </c>
      <c r="AC852" s="31">
        <f t="shared" si="181"/>
        <v>21118.35</v>
      </c>
      <c r="AD852" s="31">
        <f t="shared" si="181"/>
        <v>0</v>
      </c>
      <c r="AE852" s="31">
        <f t="shared" si="181"/>
        <v>0</v>
      </c>
      <c r="AF852" s="65" t="s">
        <v>751</v>
      </c>
      <c r="AG852" s="65" t="s">
        <v>751</v>
      </c>
      <c r="AH852" s="79" t="s">
        <v>751</v>
      </c>
      <c r="AT852" s="20" t="e">
        <f>VLOOKUP(C852,AW:AX,2,FALSE)</f>
        <v>#N/A</v>
      </c>
      <c r="BZ852" s="64">
        <v>3284631.43</v>
      </c>
      <c r="CD852" s="20" t="e">
        <f t="shared" si="177"/>
        <v>#N/A</v>
      </c>
    </row>
    <row r="853" spans="1:82" ht="61.5" x14ac:dyDescent="0.85">
      <c r="A853" s="20">
        <v>1</v>
      </c>
      <c r="B853" s="60">
        <f>SUBTOTAL(103,$A$558:A853)</f>
        <v>280</v>
      </c>
      <c r="C853" s="24" t="s">
        <v>1217</v>
      </c>
      <c r="D853" s="31">
        <f>E853+F853+G853+H853+I853+J853+L853+N853+P853+R853+T853+U853+V853+W853+X853+Y853+Z853+AA853+AB853+AC853+AD853+AE853</f>
        <v>383818.77</v>
      </c>
      <c r="E853" s="31">
        <v>0</v>
      </c>
      <c r="F853" s="31">
        <v>0</v>
      </c>
      <c r="G853" s="31">
        <v>0</v>
      </c>
      <c r="H853" s="31">
        <v>0</v>
      </c>
      <c r="I853" s="31">
        <v>0</v>
      </c>
      <c r="J853" s="31">
        <v>0</v>
      </c>
      <c r="K853" s="67">
        <v>0</v>
      </c>
      <c r="L853" s="31">
        <v>0</v>
      </c>
      <c r="M853" s="31">
        <v>0</v>
      </c>
      <c r="N853" s="31">
        <v>0</v>
      </c>
      <c r="O853" s="31">
        <v>0</v>
      </c>
      <c r="P853" s="31">
        <v>0</v>
      </c>
      <c r="Q853" s="31">
        <v>0</v>
      </c>
      <c r="R853" s="31">
        <v>0</v>
      </c>
      <c r="S853" s="31">
        <v>41.6</v>
      </c>
      <c r="T853" s="31">
        <v>378146.57</v>
      </c>
      <c r="U853" s="31">
        <v>0</v>
      </c>
      <c r="V853" s="31">
        <v>0</v>
      </c>
      <c r="W853" s="31">
        <v>0</v>
      </c>
      <c r="X853" s="31">
        <v>0</v>
      </c>
      <c r="Y853" s="31">
        <v>0</v>
      </c>
      <c r="Z853" s="31">
        <v>0</v>
      </c>
      <c r="AA853" s="31">
        <v>0</v>
      </c>
      <c r="AB853" s="31">
        <v>0</v>
      </c>
      <c r="AC853" s="31">
        <f>ROUND(T853*1.5%,2)</f>
        <v>5672.2</v>
      </c>
      <c r="AD853" s="31">
        <v>0</v>
      </c>
      <c r="AE853" s="31">
        <v>0</v>
      </c>
      <c r="AF853" s="33" t="s">
        <v>268</v>
      </c>
      <c r="AG853" s="33">
        <v>2021</v>
      </c>
      <c r="AH853" s="34">
        <v>2021</v>
      </c>
      <c r="BZ853" s="64"/>
      <c r="CD853" s="20" t="e">
        <f t="shared" si="177"/>
        <v>#N/A</v>
      </c>
    </row>
    <row r="854" spans="1:82" ht="61.5" x14ac:dyDescent="0.85">
      <c r="A854" s="20">
        <v>1</v>
      </c>
      <c r="B854" s="60">
        <f>SUBTOTAL(103,$A$558:A854)</f>
        <v>281</v>
      </c>
      <c r="C854" s="24" t="s">
        <v>244</v>
      </c>
      <c r="D854" s="31">
        <f>E854+F854+G854+H854+I854+J854+L854+N854+P854+R854+T854+U854+V854+W854+X854+Y854+Z854+AA854+AB854+AC854+AD854+AE854</f>
        <v>1540992.15</v>
      </c>
      <c r="E854" s="31">
        <v>0</v>
      </c>
      <c r="F854" s="31">
        <v>0</v>
      </c>
      <c r="G854" s="31">
        <v>0</v>
      </c>
      <c r="H854" s="31">
        <v>0</v>
      </c>
      <c r="I854" s="31">
        <v>0</v>
      </c>
      <c r="J854" s="31">
        <v>0</v>
      </c>
      <c r="K854" s="67">
        <v>0</v>
      </c>
      <c r="L854" s="31">
        <v>0</v>
      </c>
      <c r="M854" s="31">
        <v>0</v>
      </c>
      <c r="N854" s="31">
        <v>0</v>
      </c>
      <c r="O854" s="31">
        <v>0</v>
      </c>
      <c r="P854" s="31">
        <v>0</v>
      </c>
      <c r="Q854" s="31">
        <v>369.1</v>
      </c>
      <c r="R854" s="31">
        <f>1525546</f>
        <v>1525546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  <c r="AA854" s="31">
        <v>0</v>
      </c>
      <c r="AB854" s="31">
        <v>0</v>
      </c>
      <c r="AC854" s="31">
        <f>ROUND(R854*1.0125%,2)</f>
        <v>15446.15</v>
      </c>
      <c r="AD854" s="31">
        <v>0</v>
      </c>
      <c r="AE854" s="31">
        <v>0</v>
      </c>
      <c r="AF854" s="33" t="s">
        <v>268</v>
      </c>
      <c r="AG854" s="33">
        <v>2021</v>
      </c>
      <c r="AH854" s="34">
        <v>2021</v>
      </c>
      <c r="AT854" s="20" t="e">
        <f t="shared" ref="AT854:AT868" si="182">VLOOKUP(C854,AW:AX,2,FALSE)</f>
        <v>#N/A</v>
      </c>
      <c r="BZ854" s="64"/>
      <c r="CD854" s="20" t="e">
        <f t="shared" si="177"/>
        <v>#N/A</v>
      </c>
    </row>
    <row r="855" spans="1:82" ht="61.5" x14ac:dyDescent="0.85">
      <c r="B855" s="24" t="s">
        <v>867</v>
      </c>
      <c r="C855" s="24"/>
      <c r="D855" s="199">
        <f t="shared" ref="D855:AE855" si="183">SUM(D856)</f>
        <v>2192210.02</v>
      </c>
      <c r="E855" s="31">
        <f t="shared" si="183"/>
        <v>0</v>
      </c>
      <c r="F855" s="31">
        <f t="shared" si="183"/>
        <v>0</v>
      </c>
      <c r="G855" s="31">
        <f t="shared" si="183"/>
        <v>0</v>
      </c>
      <c r="H855" s="31">
        <f t="shared" si="183"/>
        <v>0</v>
      </c>
      <c r="I855" s="31">
        <f t="shared" si="183"/>
        <v>0</v>
      </c>
      <c r="J855" s="31">
        <f t="shared" si="183"/>
        <v>0</v>
      </c>
      <c r="K855" s="67">
        <f t="shared" si="183"/>
        <v>0</v>
      </c>
      <c r="L855" s="31">
        <f t="shared" si="183"/>
        <v>0</v>
      </c>
      <c r="M855" s="31">
        <f t="shared" si="183"/>
        <v>442.2</v>
      </c>
      <c r="N855" s="31">
        <f t="shared" si="183"/>
        <v>2103665.02</v>
      </c>
      <c r="O855" s="31">
        <f t="shared" si="183"/>
        <v>0</v>
      </c>
      <c r="P855" s="31">
        <f t="shared" si="183"/>
        <v>0</v>
      </c>
      <c r="Q855" s="31">
        <f t="shared" si="183"/>
        <v>0</v>
      </c>
      <c r="R855" s="31">
        <f t="shared" si="183"/>
        <v>0</v>
      </c>
      <c r="S855" s="31">
        <f t="shared" si="183"/>
        <v>0</v>
      </c>
      <c r="T855" s="31">
        <f t="shared" si="183"/>
        <v>0</v>
      </c>
      <c r="U855" s="31">
        <f t="shared" si="183"/>
        <v>0</v>
      </c>
      <c r="V855" s="31">
        <f t="shared" si="183"/>
        <v>0</v>
      </c>
      <c r="W855" s="31">
        <f t="shared" si="183"/>
        <v>0</v>
      </c>
      <c r="X855" s="31">
        <f t="shared" si="183"/>
        <v>0</v>
      </c>
      <c r="Y855" s="31">
        <f t="shared" si="183"/>
        <v>0</v>
      </c>
      <c r="Z855" s="31">
        <f t="shared" si="183"/>
        <v>0</v>
      </c>
      <c r="AA855" s="31">
        <f t="shared" si="183"/>
        <v>0</v>
      </c>
      <c r="AB855" s="31">
        <f t="shared" si="183"/>
        <v>0</v>
      </c>
      <c r="AC855" s="31">
        <f t="shared" si="183"/>
        <v>26506.18</v>
      </c>
      <c r="AD855" s="31">
        <f t="shared" si="183"/>
        <v>62038.82</v>
      </c>
      <c r="AE855" s="31">
        <f t="shared" si="183"/>
        <v>0</v>
      </c>
      <c r="AF855" s="65" t="s">
        <v>751</v>
      </c>
      <c r="AG855" s="65" t="s">
        <v>751</v>
      </c>
      <c r="AH855" s="79" t="s">
        <v>751</v>
      </c>
      <c r="AT855" s="20" t="e">
        <f t="shared" si="182"/>
        <v>#N/A</v>
      </c>
      <c r="BZ855" s="64">
        <v>2255220</v>
      </c>
      <c r="CD855" s="20" t="e">
        <f t="shared" si="177"/>
        <v>#N/A</v>
      </c>
    </row>
    <row r="856" spans="1:82" ht="61.5" x14ac:dyDescent="0.85">
      <c r="A856" s="20">
        <v>1</v>
      </c>
      <c r="B856" s="60">
        <f>SUBTOTAL(103,$A$558:A856)</f>
        <v>282</v>
      </c>
      <c r="C856" s="24" t="s">
        <v>242</v>
      </c>
      <c r="D856" s="31">
        <f>E856+F856+G856+H856+I856+J856+L856+N856+P856+R856+T856+U856+V856+W856+X856+Y856+Z856+AA856+AB856+AC856+AD856+AE856</f>
        <v>2192210.02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67">
        <v>0</v>
      </c>
      <c r="L856" s="31">
        <v>0</v>
      </c>
      <c r="M856" s="31">
        <v>442.2</v>
      </c>
      <c r="N856" s="31">
        <v>2103665.02</v>
      </c>
      <c r="O856" s="31">
        <v>0</v>
      </c>
      <c r="P856" s="31">
        <v>0</v>
      </c>
      <c r="Q856" s="31">
        <v>0</v>
      </c>
      <c r="R856" s="31">
        <v>0</v>
      </c>
      <c r="S856" s="31">
        <v>0</v>
      </c>
      <c r="T856" s="31">
        <v>0</v>
      </c>
      <c r="U856" s="31">
        <v>0</v>
      </c>
      <c r="V856" s="31">
        <v>0</v>
      </c>
      <c r="W856" s="31">
        <v>0</v>
      </c>
      <c r="X856" s="31">
        <v>0</v>
      </c>
      <c r="Y856" s="31">
        <v>0</v>
      </c>
      <c r="Z856" s="31">
        <v>0</v>
      </c>
      <c r="AA856" s="31">
        <v>0</v>
      </c>
      <c r="AB856" s="31">
        <v>0</v>
      </c>
      <c r="AC856" s="31">
        <f>ROUND(N856*1.26%,2)</f>
        <v>26506.18</v>
      </c>
      <c r="AD856" s="31">
        <v>62038.82</v>
      </c>
      <c r="AE856" s="31">
        <v>0</v>
      </c>
      <c r="AF856" s="33">
        <v>2021</v>
      </c>
      <c r="AG856" s="33">
        <v>2021</v>
      </c>
      <c r="AH856" s="34">
        <v>2021</v>
      </c>
      <c r="AT856" s="20" t="e">
        <f t="shared" si="182"/>
        <v>#N/A</v>
      </c>
      <c r="BZ856" s="64"/>
      <c r="CD856" s="20" t="e">
        <f t="shared" si="177"/>
        <v>#N/A</v>
      </c>
    </row>
    <row r="857" spans="1:82" ht="61.5" x14ac:dyDescent="0.85">
      <c r="B857" s="24" t="s">
        <v>827</v>
      </c>
      <c r="C857" s="203"/>
      <c r="D857" s="199">
        <f t="shared" ref="D857:AE859" si="184">D858</f>
        <v>2662852.27</v>
      </c>
      <c r="E857" s="31">
        <f t="shared" si="184"/>
        <v>0</v>
      </c>
      <c r="F857" s="31">
        <f t="shared" si="184"/>
        <v>0</v>
      </c>
      <c r="G857" s="31">
        <f t="shared" si="184"/>
        <v>0</v>
      </c>
      <c r="H857" s="31">
        <f t="shared" si="184"/>
        <v>0</v>
      </c>
      <c r="I857" s="31">
        <f t="shared" si="184"/>
        <v>0</v>
      </c>
      <c r="J857" s="31">
        <f t="shared" si="184"/>
        <v>0</v>
      </c>
      <c r="K857" s="67">
        <f t="shared" si="184"/>
        <v>0</v>
      </c>
      <c r="L857" s="31">
        <f t="shared" si="184"/>
        <v>0</v>
      </c>
      <c r="M857" s="31">
        <f t="shared" si="184"/>
        <v>423</v>
      </c>
      <c r="N857" s="31">
        <f t="shared" si="184"/>
        <v>2505273.17</v>
      </c>
      <c r="O857" s="31">
        <f t="shared" si="184"/>
        <v>0</v>
      </c>
      <c r="P857" s="31">
        <f t="shared" si="184"/>
        <v>0</v>
      </c>
      <c r="Q857" s="31">
        <f t="shared" si="184"/>
        <v>0</v>
      </c>
      <c r="R857" s="31">
        <f t="shared" si="184"/>
        <v>0</v>
      </c>
      <c r="S857" s="31">
        <f t="shared" si="184"/>
        <v>0</v>
      </c>
      <c r="T857" s="31">
        <f t="shared" si="184"/>
        <v>0</v>
      </c>
      <c r="U857" s="31">
        <f t="shared" si="184"/>
        <v>0</v>
      </c>
      <c r="V857" s="31">
        <f t="shared" si="184"/>
        <v>0</v>
      </c>
      <c r="W857" s="31">
        <f t="shared" si="184"/>
        <v>0</v>
      </c>
      <c r="X857" s="31">
        <f t="shared" si="184"/>
        <v>0</v>
      </c>
      <c r="Y857" s="31">
        <f t="shared" si="184"/>
        <v>0</v>
      </c>
      <c r="Z857" s="31">
        <f t="shared" si="184"/>
        <v>0</v>
      </c>
      <c r="AA857" s="31">
        <f t="shared" si="184"/>
        <v>0</v>
      </c>
      <c r="AB857" s="31">
        <f t="shared" si="184"/>
        <v>0</v>
      </c>
      <c r="AC857" s="31">
        <f t="shared" si="184"/>
        <v>37579.1</v>
      </c>
      <c r="AD857" s="31">
        <f t="shared" si="184"/>
        <v>120000</v>
      </c>
      <c r="AE857" s="31">
        <f t="shared" si="184"/>
        <v>0</v>
      </c>
      <c r="AF857" s="65" t="s">
        <v>751</v>
      </c>
      <c r="AG857" s="65" t="s">
        <v>751</v>
      </c>
      <c r="AH857" s="79" t="s">
        <v>751</v>
      </c>
      <c r="AT857" s="20" t="e">
        <f t="shared" si="182"/>
        <v>#N/A</v>
      </c>
      <c r="BZ857" s="64">
        <v>2610900</v>
      </c>
      <c r="CD857" s="20" t="e">
        <f t="shared" si="177"/>
        <v>#N/A</v>
      </c>
    </row>
    <row r="858" spans="1:82" ht="61.5" x14ac:dyDescent="0.85">
      <c r="A858" s="20">
        <v>1</v>
      </c>
      <c r="B858" s="60">
        <f>SUBTOTAL(103,$A$558:A858)</f>
        <v>283</v>
      </c>
      <c r="C858" s="25" t="s">
        <v>2287</v>
      </c>
      <c r="D858" s="31">
        <f>E858+F858+G858+H858+I858+J858+L858+N858+P858+R858+T858+U858+V858+W858+X858+Y858+Z858+AA858+AB858+AC858+AD858+AE858</f>
        <v>2662852.27</v>
      </c>
      <c r="E858" s="31">
        <v>0</v>
      </c>
      <c r="F858" s="31">
        <v>0</v>
      </c>
      <c r="G858" s="31">
        <v>0</v>
      </c>
      <c r="H858" s="31">
        <v>0</v>
      </c>
      <c r="I858" s="31">
        <v>0</v>
      </c>
      <c r="J858" s="31">
        <v>0</v>
      </c>
      <c r="K858" s="67">
        <v>0</v>
      </c>
      <c r="L858" s="31">
        <v>0</v>
      </c>
      <c r="M858" s="31">
        <v>423</v>
      </c>
      <c r="N858" s="31">
        <v>2505273.17</v>
      </c>
      <c r="O858" s="31">
        <v>0</v>
      </c>
      <c r="P858" s="31">
        <v>0</v>
      </c>
      <c r="Q858" s="31">
        <v>0</v>
      </c>
      <c r="R858" s="31">
        <v>0</v>
      </c>
      <c r="S858" s="31">
        <v>0</v>
      </c>
      <c r="T858" s="31">
        <v>0</v>
      </c>
      <c r="U858" s="31">
        <v>0</v>
      </c>
      <c r="V858" s="31">
        <v>0</v>
      </c>
      <c r="W858" s="31">
        <v>0</v>
      </c>
      <c r="X858" s="31">
        <v>0</v>
      </c>
      <c r="Y858" s="31">
        <v>0</v>
      </c>
      <c r="Z858" s="31">
        <v>0</v>
      </c>
      <c r="AA858" s="31">
        <v>0</v>
      </c>
      <c r="AB858" s="31">
        <v>0</v>
      </c>
      <c r="AC858" s="31">
        <f>ROUND(N858*1.5%,2)</f>
        <v>37579.1</v>
      </c>
      <c r="AD858" s="31">
        <v>120000</v>
      </c>
      <c r="AE858" s="31">
        <v>0</v>
      </c>
      <c r="AF858" s="33">
        <v>2021</v>
      </c>
      <c r="AG858" s="33">
        <v>2021</v>
      </c>
      <c r="AH858" s="34">
        <v>2021</v>
      </c>
      <c r="AT858" s="20" t="e">
        <f t="shared" si="182"/>
        <v>#N/A</v>
      </c>
      <c r="BZ858" s="64"/>
      <c r="CD858" s="20" t="e">
        <f t="shared" si="177"/>
        <v>#N/A</v>
      </c>
    </row>
    <row r="859" spans="1:82" ht="61.5" x14ac:dyDescent="0.85">
      <c r="B859" s="24" t="s">
        <v>868</v>
      </c>
      <c r="C859" s="203"/>
      <c r="D859" s="199">
        <f t="shared" si="184"/>
        <v>2610900</v>
      </c>
      <c r="E859" s="31">
        <f t="shared" si="184"/>
        <v>0</v>
      </c>
      <c r="F859" s="31">
        <f t="shared" si="184"/>
        <v>0</v>
      </c>
      <c r="G859" s="31">
        <f t="shared" si="184"/>
        <v>0</v>
      </c>
      <c r="H859" s="31">
        <f t="shared" si="184"/>
        <v>0</v>
      </c>
      <c r="I859" s="31">
        <f t="shared" si="184"/>
        <v>0</v>
      </c>
      <c r="J859" s="31">
        <f t="shared" si="184"/>
        <v>0</v>
      </c>
      <c r="K859" s="67">
        <f t="shared" si="184"/>
        <v>0</v>
      </c>
      <c r="L859" s="31">
        <f t="shared" si="184"/>
        <v>0</v>
      </c>
      <c r="M859" s="31">
        <f t="shared" si="184"/>
        <v>500</v>
      </c>
      <c r="N859" s="31">
        <f t="shared" si="184"/>
        <v>2454088.67</v>
      </c>
      <c r="O859" s="31">
        <f t="shared" si="184"/>
        <v>0</v>
      </c>
      <c r="P859" s="31">
        <f t="shared" si="184"/>
        <v>0</v>
      </c>
      <c r="Q859" s="31">
        <f t="shared" si="184"/>
        <v>0</v>
      </c>
      <c r="R859" s="31">
        <f t="shared" si="184"/>
        <v>0</v>
      </c>
      <c r="S859" s="31">
        <f t="shared" si="184"/>
        <v>0</v>
      </c>
      <c r="T859" s="31">
        <f t="shared" si="184"/>
        <v>0</v>
      </c>
      <c r="U859" s="31">
        <f t="shared" si="184"/>
        <v>0</v>
      </c>
      <c r="V859" s="31">
        <f t="shared" si="184"/>
        <v>0</v>
      </c>
      <c r="W859" s="31">
        <f t="shared" si="184"/>
        <v>0</v>
      </c>
      <c r="X859" s="31">
        <f t="shared" si="184"/>
        <v>0</v>
      </c>
      <c r="Y859" s="31">
        <f t="shared" si="184"/>
        <v>0</v>
      </c>
      <c r="Z859" s="31">
        <f t="shared" si="184"/>
        <v>0</v>
      </c>
      <c r="AA859" s="31">
        <f t="shared" si="184"/>
        <v>0</v>
      </c>
      <c r="AB859" s="31">
        <f t="shared" si="184"/>
        <v>0</v>
      </c>
      <c r="AC859" s="31">
        <f t="shared" si="184"/>
        <v>36811.33</v>
      </c>
      <c r="AD859" s="31">
        <f t="shared" si="184"/>
        <v>120000</v>
      </c>
      <c r="AE859" s="31">
        <f t="shared" si="184"/>
        <v>0</v>
      </c>
      <c r="AF859" s="65" t="s">
        <v>751</v>
      </c>
      <c r="AG859" s="65" t="s">
        <v>751</v>
      </c>
      <c r="AH859" s="79" t="s">
        <v>751</v>
      </c>
      <c r="AT859" s="20" t="e">
        <f t="shared" si="182"/>
        <v>#N/A</v>
      </c>
      <c r="BZ859" s="64">
        <v>2610900</v>
      </c>
      <c r="CD859" s="20" t="e">
        <f t="shared" si="177"/>
        <v>#N/A</v>
      </c>
    </row>
    <row r="860" spans="1:82" ht="61.5" x14ac:dyDescent="0.85">
      <c r="A860" s="20">
        <v>1</v>
      </c>
      <c r="B860" s="60">
        <f>SUBTOTAL(103,$A$558:A860)</f>
        <v>284</v>
      </c>
      <c r="C860" s="25" t="s">
        <v>2</v>
      </c>
      <c r="D860" s="31">
        <f>E860+F860+G860+H860+I860+J860+L860+N860+P860+R860+T860+U860+V860+W860+X860+Y860+Z860+AA860+AB860+AC860+AD860+AE860</f>
        <v>2610900</v>
      </c>
      <c r="E860" s="31">
        <v>0</v>
      </c>
      <c r="F860" s="31">
        <v>0</v>
      </c>
      <c r="G860" s="31">
        <v>0</v>
      </c>
      <c r="H860" s="31">
        <v>0</v>
      </c>
      <c r="I860" s="31">
        <v>0</v>
      </c>
      <c r="J860" s="31">
        <v>0</v>
      </c>
      <c r="K860" s="67">
        <v>0</v>
      </c>
      <c r="L860" s="31">
        <v>0</v>
      </c>
      <c r="M860" s="31">
        <v>500</v>
      </c>
      <c r="N860" s="31">
        <v>2454088.67</v>
      </c>
      <c r="O860" s="31">
        <v>0</v>
      </c>
      <c r="P860" s="31">
        <v>0</v>
      </c>
      <c r="Q860" s="31">
        <v>0</v>
      </c>
      <c r="R860" s="31">
        <v>0</v>
      </c>
      <c r="S860" s="31">
        <v>0</v>
      </c>
      <c r="T860" s="31">
        <v>0</v>
      </c>
      <c r="U860" s="31">
        <v>0</v>
      </c>
      <c r="V860" s="31">
        <v>0</v>
      </c>
      <c r="W860" s="31">
        <v>0</v>
      </c>
      <c r="X860" s="31">
        <v>0</v>
      </c>
      <c r="Y860" s="31">
        <v>0</v>
      </c>
      <c r="Z860" s="31">
        <v>0</v>
      </c>
      <c r="AA860" s="31">
        <v>0</v>
      </c>
      <c r="AB860" s="31">
        <v>0</v>
      </c>
      <c r="AC860" s="31">
        <f>ROUND(N860*1.5%,2)</f>
        <v>36811.33</v>
      </c>
      <c r="AD860" s="31">
        <v>120000</v>
      </c>
      <c r="AE860" s="31">
        <v>0</v>
      </c>
      <c r="AF860" s="33">
        <v>2021</v>
      </c>
      <c r="AG860" s="33">
        <v>2021</v>
      </c>
      <c r="AH860" s="34">
        <v>2021</v>
      </c>
      <c r="AT860" s="20" t="e">
        <f t="shared" si="182"/>
        <v>#N/A</v>
      </c>
      <c r="BZ860" s="64"/>
      <c r="CD860" s="20" t="e">
        <f t="shared" si="177"/>
        <v>#N/A</v>
      </c>
    </row>
    <row r="861" spans="1:82" ht="61.5" x14ac:dyDescent="0.85">
      <c r="B861" s="24" t="s">
        <v>869</v>
      </c>
      <c r="C861" s="25"/>
      <c r="D861" s="199">
        <f t="shared" ref="D861:AE861" si="185">D862</f>
        <v>3133080</v>
      </c>
      <c r="E861" s="31">
        <f t="shared" si="185"/>
        <v>0</v>
      </c>
      <c r="F861" s="31">
        <f t="shared" si="185"/>
        <v>0</v>
      </c>
      <c r="G861" s="31">
        <f t="shared" si="185"/>
        <v>0</v>
      </c>
      <c r="H861" s="31">
        <f t="shared" si="185"/>
        <v>0</v>
      </c>
      <c r="I861" s="31">
        <f t="shared" si="185"/>
        <v>0</v>
      </c>
      <c r="J861" s="31">
        <f t="shared" si="185"/>
        <v>0</v>
      </c>
      <c r="K861" s="67">
        <f t="shared" si="185"/>
        <v>0</v>
      </c>
      <c r="L861" s="31">
        <f t="shared" si="185"/>
        <v>0</v>
      </c>
      <c r="M861" s="31">
        <f t="shared" si="185"/>
        <v>600</v>
      </c>
      <c r="N861" s="31">
        <f t="shared" si="185"/>
        <v>2938995.07</v>
      </c>
      <c r="O861" s="31">
        <f t="shared" si="185"/>
        <v>0</v>
      </c>
      <c r="P861" s="31">
        <f t="shared" si="185"/>
        <v>0</v>
      </c>
      <c r="Q861" s="31">
        <f t="shared" si="185"/>
        <v>0</v>
      </c>
      <c r="R861" s="31">
        <f t="shared" si="185"/>
        <v>0</v>
      </c>
      <c r="S861" s="31">
        <f t="shared" si="185"/>
        <v>0</v>
      </c>
      <c r="T861" s="31">
        <f t="shared" si="185"/>
        <v>0</v>
      </c>
      <c r="U861" s="31">
        <f t="shared" si="185"/>
        <v>0</v>
      </c>
      <c r="V861" s="31">
        <f t="shared" si="185"/>
        <v>0</v>
      </c>
      <c r="W861" s="31">
        <f t="shared" si="185"/>
        <v>0</v>
      </c>
      <c r="X861" s="31">
        <f t="shared" si="185"/>
        <v>0</v>
      </c>
      <c r="Y861" s="31">
        <f t="shared" si="185"/>
        <v>0</v>
      </c>
      <c r="Z861" s="31">
        <f t="shared" si="185"/>
        <v>0</v>
      </c>
      <c r="AA861" s="31">
        <f t="shared" si="185"/>
        <v>0</v>
      </c>
      <c r="AB861" s="31">
        <f t="shared" si="185"/>
        <v>0</v>
      </c>
      <c r="AC861" s="31">
        <f t="shared" si="185"/>
        <v>44084.93</v>
      </c>
      <c r="AD861" s="31">
        <f t="shared" si="185"/>
        <v>150000</v>
      </c>
      <c r="AE861" s="31">
        <f t="shared" si="185"/>
        <v>0</v>
      </c>
      <c r="AF861" s="65" t="s">
        <v>751</v>
      </c>
      <c r="AG861" s="65" t="s">
        <v>751</v>
      </c>
      <c r="AH861" s="79" t="s">
        <v>751</v>
      </c>
      <c r="AT861" s="20" t="e">
        <f t="shared" si="182"/>
        <v>#N/A</v>
      </c>
      <c r="BZ861" s="64">
        <v>3133080</v>
      </c>
      <c r="CB861" s="64">
        <f>BZ861-D861</f>
        <v>0</v>
      </c>
      <c r="CD861" s="20" t="e">
        <f t="shared" si="177"/>
        <v>#N/A</v>
      </c>
    </row>
    <row r="862" spans="1:82" ht="61.5" x14ac:dyDescent="0.85">
      <c r="A862" s="20">
        <v>1</v>
      </c>
      <c r="B862" s="60">
        <f>SUBTOTAL(103,$A$558:A862)</f>
        <v>285</v>
      </c>
      <c r="C862" s="25" t="s">
        <v>1</v>
      </c>
      <c r="D862" s="31">
        <f>E862+F862+G862+H862+I862+J862+L862+N862+P862+R862+T862+U862+V862+W862+X862+Y862+Z862+AA862+AB862+AC862+AD862+AE862</f>
        <v>3133080</v>
      </c>
      <c r="E862" s="31">
        <v>0</v>
      </c>
      <c r="F862" s="31">
        <v>0</v>
      </c>
      <c r="G862" s="31">
        <v>0</v>
      </c>
      <c r="H862" s="31">
        <v>0</v>
      </c>
      <c r="I862" s="31">
        <v>0</v>
      </c>
      <c r="J862" s="31">
        <v>0</v>
      </c>
      <c r="K862" s="67">
        <v>0</v>
      </c>
      <c r="L862" s="31">
        <v>0</v>
      </c>
      <c r="M862" s="31">
        <v>600</v>
      </c>
      <c r="N862" s="31">
        <v>2938995.07</v>
      </c>
      <c r="O862" s="31">
        <v>0</v>
      </c>
      <c r="P862" s="31">
        <v>0</v>
      </c>
      <c r="Q862" s="31">
        <v>0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31">
        <v>0</v>
      </c>
      <c r="X862" s="31">
        <v>0</v>
      </c>
      <c r="Y862" s="31">
        <v>0</v>
      </c>
      <c r="Z862" s="31">
        <v>0</v>
      </c>
      <c r="AA862" s="31">
        <v>0</v>
      </c>
      <c r="AB862" s="31">
        <v>0</v>
      </c>
      <c r="AC862" s="31">
        <f>ROUND(N862*1.5%,2)</f>
        <v>44084.93</v>
      </c>
      <c r="AD862" s="31">
        <v>150000</v>
      </c>
      <c r="AE862" s="31">
        <v>0</v>
      </c>
      <c r="AF862" s="33">
        <v>2021</v>
      </c>
      <c r="AG862" s="33">
        <v>2021</v>
      </c>
      <c r="AH862" s="34">
        <v>2021</v>
      </c>
      <c r="AT862" s="20" t="e">
        <f t="shared" si="182"/>
        <v>#N/A</v>
      </c>
      <c r="BZ862" s="64"/>
      <c r="CD862" s="20" t="e">
        <f t="shared" si="177"/>
        <v>#N/A</v>
      </c>
    </row>
    <row r="863" spans="1:82" ht="61.5" x14ac:dyDescent="0.85">
      <c r="B863" s="24" t="s">
        <v>828</v>
      </c>
      <c r="C863" s="198"/>
      <c r="D863" s="199">
        <f t="shared" ref="D863:AE863" si="186">D864</f>
        <v>9833014.4500000011</v>
      </c>
      <c r="E863" s="31">
        <f t="shared" si="186"/>
        <v>0</v>
      </c>
      <c r="F863" s="31">
        <f t="shared" si="186"/>
        <v>0</v>
      </c>
      <c r="G863" s="31">
        <f t="shared" si="186"/>
        <v>0</v>
      </c>
      <c r="H863" s="31">
        <f t="shared" si="186"/>
        <v>0</v>
      </c>
      <c r="I863" s="31">
        <f t="shared" si="186"/>
        <v>0</v>
      </c>
      <c r="J863" s="31">
        <f t="shared" si="186"/>
        <v>0</v>
      </c>
      <c r="K863" s="67">
        <f t="shared" si="186"/>
        <v>0</v>
      </c>
      <c r="L863" s="31">
        <f t="shared" si="186"/>
        <v>0</v>
      </c>
      <c r="M863" s="31">
        <f t="shared" si="186"/>
        <v>2000</v>
      </c>
      <c r="N863" s="31">
        <f t="shared" si="186"/>
        <v>9539915.7100000009</v>
      </c>
      <c r="O863" s="31">
        <f t="shared" si="186"/>
        <v>0</v>
      </c>
      <c r="P863" s="31">
        <f t="shared" si="186"/>
        <v>0</v>
      </c>
      <c r="Q863" s="31">
        <f t="shared" si="186"/>
        <v>0</v>
      </c>
      <c r="R863" s="31">
        <f t="shared" si="186"/>
        <v>0</v>
      </c>
      <c r="S863" s="31">
        <f t="shared" si="186"/>
        <v>0</v>
      </c>
      <c r="T863" s="31">
        <f t="shared" si="186"/>
        <v>0</v>
      </c>
      <c r="U863" s="31">
        <f t="shared" si="186"/>
        <v>0</v>
      </c>
      <c r="V863" s="31">
        <f t="shared" si="186"/>
        <v>0</v>
      </c>
      <c r="W863" s="31">
        <f t="shared" si="186"/>
        <v>0</v>
      </c>
      <c r="X863" s="31">
        <f t="shared" si="186"/>
        <v>0</v>
      </c>
      <c r="Y863" s="31">
        <f t="shared" si="186"/>
        <v>0</v>
      </c>
      <c r="Z863" s="31">
        <f t="shared" si="186"/>
        <v>0</v>
      </c>
      <c r="AA863" s="31">
        <f t="shared" si="186"/>
        <v>0</v>
      </c>
      <c r="AB863" s="31">
        <f t="shared" si="186"/>
        <v>0</v>
      </c>
      <c r="AC863" s="31">
        <f t="shared" si="186"/>
        <v>143098.74</v>
      </c>
      <c r="AD863" s="31">
        <f t="shared" si="186"/>
        <v>150000</v>
      </c>
      <c r="AE863" s="31">
        <f t="shared" si="186"/>
        <v>0</v>
      </c>
      <c r="AF863" s="65" t="s">
        <v>751</v>
      </c>
      <c r="AG863" s="65" t="s">
        <v>751</v>
      </c>
      <c r="AH863" s="79" t="s">
        <v>751</v>
      </c>
      <c r="AT863" s="20" t="e">
        <f t="shared" si="182"/>
        <v>#N/A</v>
      </c>
      <c r="BZ863" s="64">
        <v>7250046.1200000001</v>
      </c>
      <c r="CB863" s="64">
        <f>BZ863-D863</f>
        <v>-2582968.330000001</v>
      </c>
      <c r="CD863" s="20" t="e">
        <f t="shared" si="177"/>
        <v>#N/A</v>
      </c>
    </row>
    <row r="864" spans="1:82" ht="61.5" x14ac:dyDescent="0.85">
      <c r="A864" s="20">
        <v>1</v>
      </c>
      <c r="B864" s="60">
        <f>SUBTOTAL(103,$A$558:A864)</f>
        <v>286</v>
      </c>
      <c r="C864" s="24" t="s">
        <v>694</v>
      </c>
      <c r="D864" s="31">
        <f>E864+F864+G864+H864+I864+J864+L864+N864+P864+R864+T864+U864+V864+W864+X864+Y864+Z864+AA864+AB864+AC864+AD864+AE864</f>
        <v>9833014.4500000011</v>
      </c>
      <c r="E864" s="31">
        <v>0</v>
      </c>
      <c r="F864" s="31">
        <v>0</v>
      </c>
      <c r="G864" s="31">
        <v>0</v>
      </c>
      <c r="H864" s="31">
        <v>0</v>
      </c>
      <c r="I864" s="31">
        <v>0</v>
      </c>
      <c r="J864" s="31">
        <v>0</v>
      </c>
      <c r="K864" s="67">
        <v>0</v>
      </c>
      <c r="L864" s="31">
        <v>0</v>
      </c>
      <c r="M864" s="31">
        <v>2000</v>
      </c>
      <c r="N864" s="31">
        <f>8185339.9+1354575.81</f>
        <v>9539915.7100000009</v>
      </c>
      <c r="O864" s="31">
        <v>0</v>
      </c>
      <c r="P864" s="31">
        <v>0</v>
      </c>
      <c r="Q864" s="31">
        <v>0</v>
      </c>
      <c r="R864" s="31">
        <v>0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f>ROUND(N864*1.5%,2)</f>
        <v>143098.74</v>
      </c>
      <c r="AD864" s="31">
        <v>150000</v>
      </c>
      <c r="AE864" s="31">
        <v>0</v>
      </c>
      <c r="AF864" s="33">
        <v>2021</v>
      </c>
      <c r="AG864" s="33">
        <v>2021</v>
      </c>
      <c r="AH864" s="34">
        <v>2021</v>
      </c>
      <c r="AT864" s="20" t="e">
        <f t="shared" si="182"/>
        <v>#N/A</v>
      </c>
      <c r="BZ864" s="64"/>
      <c r="CD864" s="20" t="e">
        <f t="shared" si="177"/>
        <v>#N/A</v>
      </c>
    </row>
    <row r="865" spans="1:82" ht="61.5" x14ac:dyDescent="0.85">
      <c r="B865" s="24" t="s">
        <v>870</v>
      </c>
      <c r="C865" s="24"/>
      <c r="D865" s="199">
        <f t="shared" ref="D865:AE865" si="187">D866</f>
        <v>2537436</v>
      </c>
      <c r="E865" s="31">
        <f t="shared" si="187"/>
        <v>0</v>
      </c>
      <c r="F865" s="31">
        <f t="shared" si="187"/>
        <v>0</v>
      </c>
      <c r="G865" s="31">
        <f t="shared" si="187"/>
        <v>0</v>
      </c>
      <c r="H865" s="31">
        <f t="shared" si="187"/>
        <v>0</v>
      </c>
      <c r="I865" s="31">
        <f t="shared" si="187"/>
        <v>0</v>
      </c>
      <c r="J865" s="31">
        <f t="shared" si="187"/>
        <v>0</v>
      </c>
      <c r="K865" s="67">
        <f t="shared" si="187"/>
        <v>0</v>
      </c>
      <c r="L865" s="31">
        <f t="shared" si="187"/>
        <v>0</v>
      </c>
      <c r="M865" s="31">
        <f t="shared" si="187"/>
        <v>600</v>
      </c>
      <c r="N865" s="31">
        <f t="shared" si="187"/>
        <v>2371858.13</v>
      </c>
      <c r="O865" s="31">
        <f t="shared" si="187"/>
        <v>0</v>
      </c>
      <c r="P865" s="31">
        <f t="shared" si="187"/>
        <v>0</v>
      </c>
      <c r="Q865" s="31">
        <f t="shared" si="187"/>
        <v>0</v>
      </c>
      <c r="R865" s="31">
        <f t="shared" si="187"/>
        <v>0</v>
      </c>
      <c r="S865" s="31">
        <f t="shared" si="187"/>
        <v>0</v>
      </c>
      <c r="T865" s="31">
        <f t="shared" si="187"/>
        <v>0</v>
      </c>
      <c r="U865" s="31">
        <f t="shared" si="187"/>
        <v>0</v>
      </c>
      <c r="V865" s="31">
        <f t="shared" si="187"/>
        <v>0</v>
      </c>
      <c r="W865" s="31">
        <f t="shared" si="187"/>
        <v>0</v>
      </c>
      <c r="X865" s="31">
        <f t="shared" si="187"/>
        <v>0</v>
      </c>
      <c r="Y865" s="31">
        <f t="shared" si="187"/>
        <v>0</v>
      </c>
      <c r="Z865" s="31">
        <f t="shared" si="187"/>
        <v>0</v>
      </c>
      <c r="AA865" s="31">
        <f t="shared" si="187"/>
        <v>0</v>
      </c>
      <c r="AB865" s="31">
        <f t="shared" si="187"/>
        <v>0</v>
      </c>
      <c r="AC865" s="31">
        <f t="shared" si="187"/>
        <v>35577.870000000003</v>
      </c>
      <c r="AD865" s="31">
        <f t="shared" si="187"/>
        <v>130000</v>
      </c>
      <c r="AE865" s="31">
        <f t="shared" si="187"/>
        <v>0</v>
      </c>
      <c r="AF865" s="65" t="s">
        <v>751</v>
      </c>
      <c r="AG865" s="65" t="s">
        <v>751</v>
      </c>
      <c r="AH865" s="79" t="s">
        <v>751</v>
      </c>
      <c r="AT865" s="20" t="e">
        <f t="shared" si="182"/>
        <v>#N/A</v>
      </c>
      <c r="BZ865" s="64">
        <v>2473090.71</v>
      </c>
      <c r="CB865" s="64">
        <f>BZ865-D865</f>
        <v>-64345.290000000037</v>
      </c>
      <c r="CD865" s="20" t="e">
        <f t="shared" si="177"/>
        <v>#N/A</v>
      </c>
    </row>
    <row r="866" spans="1:82" ht="61.5" x14ac:dyDescent="0.85">
      <c r="A866" s="20">
        <v>1</v>
      </c>
      <c r="B866" s="60">
        <f>SUBTOTAL(103,$A$558:A866)</f>
        <v>287</v>
      </c>
      <c r="C866" s="24" t="s">
        <v>700</v>
      </c>
      <c r="D866" s="31">
        <f>E866+F866+G866+H866+I866+J866+L866+N866+P866+R866+T866+U866+V866+W866+X866+Y866+Z866+AA866+AB866+AC866+AD866+AE866</f>
        <v>2537436</v>
      </c>
      <c r="E866" s="31">
        <v>0</v>
      </c>
      <c r="F866" s="31">
        <v>0</v>
      </c>
      <c r="G866" s="31">
        <v>0</v>
      </c>
      <c r="H866" s="31">
        <v>0</v>
      </c>
      <c r="I866" s="31">
        <v>0</v>
      </c>
      <c r="J866" s="31">
        <v>0</v>
      </c>
      <c r="K866" s="67">
        <v>0</v>
      </c>
      <c r="L866" s="31">
        <v>0</v>
      </c>
      <c r="M866" s="31">
        <v>600</v>
      </c>
      <c r="N866" s="31">
        <v>2371858.13</v>
      </c>
      <c r="O866" s="31">
        <v>0</v>
      </c>
      <c r="P866" s="31">
        <v>0</v>
      </c>
      <c r="Q866" s="31">
        <v>0</v>
      </c>
      <c r="R866" s="31">
        <v>0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f>ROUND(N866*1.5%,2)</f>
        <v>35577.870000000003</v>
      </c>
      <c r="AD866" s="31">
        <v>130000</v>
      </c>
      <c r="AE866" s="31">
        <v>0</v>
      </c>
      <c r="AF866" s="33">
        <v>2021</v>
      </c>
      <c r="AG866" s="33">
        <v>2021</v>
      </c>
      <c r="AH866" s="34">
        <v>2021</v>
      </c>
      <c r="AT866" s="20" t="e">
        <f t="shared" si="182"/>
        <v>#N/A</v>
      </c>
      <c r="BZ866" s="64"/>
      <c r="CD866" s="20" t="e">
        <f t="shared" si="177"/>
        <v>#N/A</v>
      </c>
    </row>
    <row r="867" spans="1:82" ht="61.5" x14ac:dyDescent="0.85">
      <c r="B867" s="24" t="s">
        <v>829</v>
      </c>
      <c r="C867" s="24"/>
      <c r="D867" s="199">
        <f t="shared" ref="D867:AE867" si="188">SUM(D868:D871)</f>
        <v>7294072.0299999993</v>
      </c>
      <c r="E867" s="31">
        <f t="shared" si="188"/>
        <v>350000</v>
      </c>
      <c r="F867" s="31">
        <f t="shared" si="188"/>
        <v>0</v>
      </c>
      <c r="G867" s="31">
        <f t="shared" si="188"/>
        <v>0</v>
      </c>
      <c r="H867" s="31">
        <f t="shared" si="188"/>
        <v>0</v>
      </c>
      <c r="I867" s="31">
        <f t="shared" si="188"/>
        <v>0</v>
      </c>
      <c r="J867" s="31">
        <f t="shared" si="188"/>
        <v>0</v>
      </c>
      <c r="K867" s="67">
        <f t="shared" si="188"/>
        <v>0</v>
      </c>
      <c r="L867" s="31">
        <f t="shared" si="188"/>
        <v>0</v>
      </c>
      <c r="M867" s="31">
        <f t="shared" si="188"/>
        <v>1464.8</v>
      </c>
      <c r="N867" s="31">
        <f t="shared" si="188"/>
        <v>5822136.9900000002</v>
      </c>
      <c r="O867" s="31">
        <f t="shared" si="188"/>
        <v>0</v>
      </c>
      <c r="P867" s="31">
        <f t="shared" si="188"/>
        <v>0</v>
      </c>
      <c r="Q867" s="31">
        <f t="shared" si="188"/>
        <v>1040</v>
      </c>
      <c r="R867" s="31">
        <f t="shared" si="188"/>
        <v>629919.39</v>
      </c>
      <c r="S867" s="31">
        <f t="shared" si="188"/>
        <v>0</v>
      </c>
      <c r="T867" s="31">
        <f t="shared" si="188"/>
        <v>0</v>
      </c>
      <c r="U867" s="31">
        <f t="shared" si="188"/>
        <v>0</v>
      </c>
      <c r="V867" s="31">
        <f t="shared" si="188"/>
        <v>0</v>
      </c>
      <c r="W867" s="31">
        <f t="shared" si="188"/>
        <v>0</v>
      </c>
      <c r="X867" s="31">
        <f t="shared" si="188"/>
        <v>0</v>
      </c>
      <c r="Y867" s="31">
        <f t="shared" si="188"/>
        <v>0</v>
      </c>
      <c r="Z867" s="31">
        <f t="shared" si="188"/>
        <v>0</v>
      </c>
      <c r="AA867" s="31">
        <f t="shared" si="188"/>
        <v>0</v>
      </c>
      <c r="AB867" s="31">
        <f t="shared" si="188"/>
        <v>0</v>
      </c>
      <c r="AC867" s="31">
        <f t="shared" si="188"/>
        <v>102030.85</v>
      </c>
      <c r="AD867" s="31">
        <f t="shared" si="188"/>
        <v>389984.8</v>
      </c>
      <c r="AE867" s="31">
        <f t="shared" si="188"/>
        <v>0</v>
      </c>
      <c r="AF867" s="65" t="s">
        <v>751</v>
      </c>
      <c r="AG867" s="65" t="s">
        <v>751</v>
      </c>
      <c r="AH867" s="79" t="s">
        <v>751</v>
      </c>
      <c r="AT867" s="20" t="e">
        <f t="shared" si="182"/>
        <v>#N/A</v>
      </c>
      <c r="BZ867" s="64">
        <v>2622646.19</v>
      </c>
      <c r="CB867" s="64">
        <f>BZ867-D867</f>
        <v>-4671425.84</v>
      </c>
      <c r="CD867" s="20" t="e">
        <f t="shared" si="177"/>
        <v>#N/A</v>
      </c>
    </row>
    <row r="868" spans="1:82" ht="61.5" x14ac:dyDescent="0.85">
      <c r="A868" s="20">
        <v>1</v>
      </c>
      <c r="B868" s="60">
        <f>SUBTOTAL(103,$A$558:A868)</f>
        <v>288</v>
      </c>
      <c r="C868" s="24" t="s">
        <v>697</v>
      </c>
      <c r="D868" s="31">
        <f>E868+F868+G868+H868+I868+J868+L868+N868+P868+R868+T868+U868+V868+W868+X868+Y868+Z868+AA868+AB868+AC868+AD868+AE868</f>
        <v>2999229.4099999997</v>
      </c>
      <c r="E868" s="31">
        <v>0</v>
      </c>
      <c r="F868" s="31">
        <v>0</v>
      </c>
      <c r="G868" s="31">
        <v>0</v>
      </c>
      <c r="H868" s="31">
        <v>0</v>
      </c>
      <c r="I868" s="31">
        <v>0</v>
      </c>
      <c r="J868" s="31">
        <v>0</v>
      </c>
      <c r="K868" s="67">
        <v>0</v>
      </c>
      <c r="L868" s="31">
        <v>0</v>
      </c>
      <c r="M868" s="31">
        <v>702</v>
      </c>
      <c r="N868" s="31">
        <f>2796847.41+6325.26+23669.31</f>
        <v>2826841.98</v>
      </c>
      <c r="O868" s="31">
        <v>0</v>
      </c>
      <c r="P868" s="31">
        <v>0</v>
      </c>
      <c r="Q868" s="31">
        <v>0</v>
      </c>
      <c r="R868" s="31">
        <v>0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f>ROUND(N868*1.5%,2)</f>
        <v>42402.63</v>
      </c>
      <c r="AD868" s="31">
        <f>130000.8-16</f>
        <v>129984.8</v>
      </c>
      <c r="AE868" s="31">
        <v>0</v>
      </c>
      <c r="AF868" s="33">
        <v>2021</v>
      </c>
      <c r="AG868" s="33">
        <v>2021</v>
      </c>
      <c r="AH868" s="34">
        <v>2021</v>
      </c>
      <c r="AT868" s="20" t="e">
        <f t="shared" si="182"/>
        <v>#N/A</v>
      </c>
      <c r="BZ868" s="64"/>
      <c r="CD868" s="20" t="e">
        <f t="shared" ref="CD868:CD899" si="189">VLOOKUP(C868,CE:CF,2,FALSE)</f>
        <v>#N/A</v>
      </c>
    </row>
    <row r="869" spans="1:82" ht="61.5" x14ac:dyDescent="0.85">
      <c r="A869" s="20">
        <v>1</v>
      </c>
      <c r="B869" s="60">
        <f>SUBTOTAL(103,$A$558:A869)</f>
        <v>289</v>
      </c>
      <c r="C869" s="24" t="s">
        <v>1550</v>
      </c>
      <c r="D869" s="31">
        <f>E869+F869+G869+H869+I869+J869+L869+N869+P869+R869+T869+U869+V869+W869+X869+Y869+Z869+AA869+AB869+AC869+AD869+AE869</f>
        <v>3040224.4400000004</v>
      </c>
      <c r="E869" s="31">
        <v>0</v>
      </c>
      <c r="F869" s="31">
        <v>0</v>
      </c>
      <c r="G869" s="31">
        <v>0</v>
      </c>
      <c r="H869" s="31">
        <v>0</v>
      </c>
      <c r="I869" s="31">
        <v>0</v>
      </c>
      <c r="J869" s="31">
        <v>0</v>
      </c>
      <c r="K869" s="67">
        <v>0</v>
      </c>
      <c r="L869" s="31">
        <v>0</v>
      </c>
      <c r="M869" s="31">
        <v>762.8</v>
      </c>
      <c r="N869" s="31">
        <f>3130467.24-135172.23</f>
        <v>2995295.0100000002</v>
      </c>
      <c r="O869" s="31">
        <v>0</v>
      </c>
      <c r="P869" s="31">
        <v>0</v>
      </c>
      <c r="Q869" s="31">
        <v>0</v>
      </c>
      <c r="R869" s="31">
        <v>0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f>ROUND(N869*1.5%,2)</f>
        <v>44929.43</v>
      </c>
      <c r="AD869" s="31">
        <v>0</v>
      </c>
      <c r="AE869" s="31">
        <v>0</v>
      </c>
      <c r="AF869" s="33" t="s">
        <v>268</v>
      </c>
      <c r="AG869" s="33">
        <v>2021</v>
      </c>
      <c r="AH869" s="34">
        <v>2021</v>
      </c>
      <c r="BZ869" s="64"/>
      <c r="CD869" s="20">
        <f t="shared" si="189"/>
        <v>762.8</v>
      </c>
    </row>
    <row r="870" spans="1:82" ht="61.5" x14ac:dyDescent="0.85">
      <c r="A870" s="20">
        <v>1</v>
      </c>
      <c r="B870" s="60">
        <f>SUBTOTAL(103,$A$558:A870)</f>
        <v>290</v>
      </c>
      <c r="C870" s="24" t="s">
        <v>1219</v>
      </c>
      <c r="D870" s="31">
        <f>E870+F870+G870+H870+I870+J870+L870+N870+P870+R870+T870+U870+V870+W870+X870+Y870+Z870+AA870+AB870+AC870+AD870+AE870</f>
        <v>485250</v>
      </c>
      <c r="E870" s="31">
        <v>350000</v>
      </c>
      <c r="F870" s="31">
        <v>0</v>
      </c>
      <c r="G870" s="31">
        <v>0</v>
      </c>
      <c r="H870" s="31">
        <v>0</v>
      </c>
      <c r="I870" s="31">
        <v>0</v>
      </c>
      <c r="J870" s="31">
        <v>0</v>
      </c>
      <c r="K870" s="67">
        <v>0</v>
      </c>
      <c r="L870" s="31">
        <v>0</v>
      </c>
      <c r="M870" s="31">
        <v>0</v>
      </c>
      <c r="N870" s="31">
        <v>0</v>
      </c>
      <c r="O870" s="31">
        <v>0</v>
      </c>
      <c r="P870" s="31">
        <v>0</v>
      </c>
      <c r="Q870" s="31">
        <v>0</v>
      </c>
      <c r="R870" s="31">
        <v>0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f>ROUND((E870+F870+G870+H870+I870+J870)*1.5%,2)</f>
        <v>5250</v>
      </c>
      <c r="AD870" s="31">
        <v>130000</v>
      </c>
      <c r="AE870" s="31">
        <v>0</v>
      </c>
      <c r="AF870" s="33">
        <v>2021</v>
      </c>
      <c r="AG870" s="33">
        <v>2021</v>
      </c>
      <c r="AH870" s="34">
        <v>2021</v>
      </c>
      <c r="BZ870" s="64"/>
      <c r="CD870" s="20" t="e">
        <f t="shared" si="189"/>
        <v>#N/A</v>
      </c>
    </row>
    <row r="871" spans="1:82" ht="61.5" x14ac:dyDescent="0.85">
      <c r="A871" s="20">
        <v>1</v>
      </c>
      <c r="B871" s="60">
        <f>SUBTOTAL(103,$A$558:A871)</f>
        <v>291</v>
      </c>
      <c r="C871" s="24" t="s">
        <v>1954</v>
      </c>
      <c r="D871" s="31">
        <f>E871+F871+G871+H871+I871+J871+L871+N871+P871+R871+T871+U871+V871+W871+X871+Y871+Z871+AA871+AB871+AC871+AD871+AE871</f>
        <v>769368.18</v>
      </c>
      <c r="E871" s="31">
        <v>0</v>
      </c>
      <c r="F871" s="31">
        <v>0</v>
      </c>
      <c r="G871" s="31">
        <v>0</v>
      </c>
      <c r="H871" s="31">
        <v>0</v>
      </c>
      <c r="I871" s="31">
        <v>0</v>
      </c>
      <c r="J871" s="31">
        <v>0</v>
      </c>
      <c r="K871" s="67">
        <v>0</v>
      </c>
      <c r="L871" s="31">
        <v>0</v>
      </c>
      <c r="M871" s="31">
        <v>0</v>
      </c>
      <c r="N871" s="31">
        <v>0</v>
      </c>
      <c r="O871" s="31">
        <v>0</v>
      </c>
      <c r="P871" s="31">
        <v>0</v>
      </c>
      <c r="Q871" s="31">
        <v>1040</v>
      </c>
      <c r="R871" s="31">
        <v>629919.39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f>ROUND(R871*1.5%,2)</f>
        <v>9448.7900000000009</v>
      </c>
      <c r="AD871" s="31">
        <v>130000</v>
      </c>
      <c r="AE871" s="31">
        <v>0</v>
      </c>
      <c r="AF871" s="33">
        <v>2021</v>
      </c>
      <c r="AG871" s="33">
        <v>2021</v>
      </c>
      <c r="AH871" s="34">
        <v>2021</v>
      </c>
      <c r="BZ871" s="64"/>
      <c r="CD871" s="20" t="e">
        <f t="shared" si="189"/>
        <v>#N/A</v>
      </c>
    </row>
    <row r="872" spans="1:82" ht="61.5" x14ac:dyDescent="0.85">
      <c r="B872" s="24" t="s">
        <v>830</v>
      </c>
      <c r="C872" s="24"/>
      <c r="D872" s="199">
        <f t="shared" ref="D872:AE872" si="190">D873</f>
        <v>4024889.9</v>
      </c>
      <c r="E872" s="31">
        <f t="shared" si="190"/>
        <v>0</v>
      </c>
      <c r="F872" s="31">
        <f t="shared" si="190"/>
        <v>0</v>
      </c>
      <c r="G872" s="31">
        <f t="shared" si="190"/>
        <v>0</v>
      </c>
      <c r="H872" s="31">
        <f t="shared" si="190"/>
        <v>0</v>
      </c>
      <c r="I872" s="31">
        <f t="shared" si="190"/>
        <v>0</v>
      </c>
      <c r="J872" s="31">
        <f t="shared" si="190"/>
        <v>0</v>
      </c>
      <c r="K872" s="67">
        <f t="shared" si="190"/>
        <v>0</v>
      </c>
      <c r="L872" s="31">
        <f t="shared" si="190"/>
        <v>0</v>
      </c>
      <c r="M872" s="31">
        <f t="shared" si="190"/>
        <v>0</v>
      </c>
      <c r="N872" s="31">
        <f t="shared" si="190"/>
        <v>0</v>
      </c>
      <c r="O872" s="31">
        <f t="shared" si="190"/>
        <v>0</v>
      </c>
      <c r="P872" s="31">
        <f t="shared" si="190"/>
        <v>0</v>
      </c>
      <c r="Q872" s="31">
        <f t="shared" si="190"/>
        <v>716.49</v>
      </c>
      <c r="R872" s="31">
        <f t="shared" si="190"/>
        <v>3965408.77</v>
      </c>
      <c r="S872" s="31">
        <f t="shared" si="190"/>
        <v>0</v>
      </c>
      <c r="T872" s="31">
        <f t="shared" si="190"/>
        <v>0</v>
      </c>
      <c r="U872" s="31">
        <f t="shared" si="190"/>
        <v>0</v>
      </c>
      <c r="V872" s="31">
        <f t="shared" si="190"/>
        <v>0</v>
      </c>
      <c r="W872" s="31">
        <f t="shared" si="190"/>
        <v>0</v>
      </c>
      <c r="X872" s="31">
        <f t="shared" si="190"/>
        <v>0</v>
      </c>
      <c r="Y872" s="31">
        <f t="shared" si="190"/>
        <v>0</v>
      </c>
      <c r="Z872" s="31">
        <f t="shared" si="190"/>
        <v>0</v>
      </c>
      <c r="AA872" s="31">
        <f t="shared" si="190"/>
        <v>0</v>
      </c>
      <c r="AB872" s="31">
        <f t="shared" si="190"/>
        <v>0</v>
      </c>
      <c r="AC872" s="31">
        <f t="shared" si="190"/>
        <v>59481.13</v>
      </c>
      <c r="AD872" s="31">
        <f t="shared" si="190"/>
        <v>0</v>
      </c>
      <c r="AE872" s="31">
        <f t="shared" si="190"/>
        <v>0</v>
      </c>
      <c r="AF872" s="65" t="s">
        <v>751</v>
      </c>
      <c r="AG872" s="65" t="s">
        <v>751</v>
      </c>
      <c r="AH872" s="79" t="s">
        <v>751</v>
      </c>
      <c r="AT872" s="20" t="e">
        <f t="shared" ref="AT872:AT883" si="191">VLOOKUP(C872,AW:AX,2,FALSE)</f>
        <v>#N/A</v>
      </c>
      <c r="BZ872" s="64">
        <v>2473090.71</v>
      </c>
      <c r="CB872" s="64">
        <f>BZ872-D872</f>
        <v>-1551799.19</v>
      </c>
      <c r="CD872" s="20" t="e">
        <f t="shared" si="189"/>
        <v>#N/A</v>
      </c>
    </row>
    <row r="873" spans="1:82" ht="61.5" x14ac:dyDescent="0.85">
      <c r="A873" s="20">
        <v>1</v>
      </c>
      <c r="B873" s="60">
        <f>SUBTOTAL(103,$A$558:A873)</f>
        <v>292</v>
      </c>
      <c r="C873" s="24" t="s">
        <v>795</v>
      </c>
      <c r="D873" s="31">
        <f>E873+F873+G873+H873+I873+J873+L873+N873+P873+R873+T873+U873+V873+W873+X873+Y873+Z873+AA873+AB873+AC873+AD873+AE873</f>
        <v>4024889.9</v>
      </c>
      <c r="E873" s="31">
        <v>0</v>
      </c>
      <c r="F873" s="31">
        <v>0</v>
      </c>
      <c r="G873" s="31">
        <v>0</v>
      </c>
      <c r="H873" s="31">
        <v>0</v>
      </c>
      <c r="I873" s="31">
        <v>0</v>
      </c>
      <c r="J873" s="31">
        <v>0</v>
      </c>
      <c r="K873" s="67">
        <v>0</v>
      </c>
      <c r="L873" s="31">
        <v>0</v>
      </c>
      <c r="M873" s="31">
        <v>0</v>
      </c>
      <c r="N873" s="31">
        <v>0</v>
      </c>
      <c r="O873" s="31">
        <v>0</v>
      </c>
      <c r="P873" s="31">
        <v>0</v>
      </c>
      <c r="Q873" s="38">
        <v>716.49</v>
      </c>
      <c r="R873" s="38">
        <v>3965408.77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f>ROUND((N873+R873)*1.5%,2)</f>
        <v>59481.13</v>
      </c>
      <c r="AD873" s="31">
        <v>0</v>
      </c>
      <c r="AE873" s="31">
        <v>0</v>
      </c>
      <c r="AF873" s="33" t="s">
        <v>268</v>
      </c>
      <c r="AG873" s="33">
        <v>2021</v>
      </c>
      <c r="AH873" s="34">
        <v>2021</v>
      </c>
      <c r="AT873" s="20" t="e">
        <f t="shared" si="191"/>
        <v>#N/A</v>
      </c>
      <c r="BZ873" s="64"/>
      <c r="CD873" s="20" t="e">
        <f t="shared" si="189"/>
        <v>#N/A</v>
      </c>
    </row>
    <row r="874" spans="1:82" ht="61.5" x14ac:dyDescent="0.85">
      <c r="B874" s="24" t="s">
        <v>831</v>
      </c>
      <c r="C874" s="198"/>
      <c r="D874" s="199">
        <f t="shared" ref="D874:AE874" si="192">SUM(D875:D886)</f>
        <v>42452497.159999996</v>
      </c>
      <c r="E874" s="31">
        <f t="shared" si="192"/>
        <v>427797.72</v>
      </c>
      <c r="F874" s="31">
        <f t="shared" si="192"/>
        <v>0</v>
      </c>
      <c r="G874" s="31">
        <f t="shared" si="192"/>
        <v>2312364.87</v>
      </c>
      <c r="H874" s="31">
        <f t="shared" si="192"/>
        <v>629225.18000000005</v>
      </c>
      <c r="I874" s="31">
        <f t="shared" si="192"/>
        <v>0</v>
      </c>
      <c r="J874" s="31">
        <f t="shared" si="192"/>
        <v>0</v>
      </c>
      <c r="K874" s="67">
        <f t="shared" si="192"/>
        <v>0</v>
      </c>
      <c r="L874" s="31">
        <f t="shared" si="192"/>
        <v>0</v>
      </c>
      <c r="M874" s="31">
        <f t="shared" si="192"/>
        <v>6268.98</v>
      </c>
      <c r="N874" s="31">
        <f t="shared" si="192"/>
        <v>29705701.569999997</v>
      </c>
      <c r="O874" s="31">
        <f t="shared" si="192"/>
        <v>0</v>
      </c>
      <c r="P874" s="31">
        <f t="shared" si="192"/>
        <v>0</v>
      </c>
      <c r="Q874" s="31">
        <f t="shared" si="192"/>
        <v>1218.8599999999999</v>
      </c>
      <c r="R874" s="31">
        <f t="shared" si="192"/>
        <v>3020176.4</v>
      </c>
      <c r="S874" s="31">
        <f t="shared" si="192"/>
        <v>0</v>
      </c>
      <c r="T874" s="31">
        <f t="shared" si="192"/>
        <v>0</v>
      </c>
      <c r="U874" s="31">
        <f t="shared" si="192"/>
        <v>4930927.92</v>
      </c>
      <c r="V874" s="31">
        <f t="shared" si="192"/>
        <v>0</v>
      </c>
      <c r="W874" s="31">
        <f t="shared" si="192"/>
        <v>0</v>
      </c>
      <c r="X874" s="31">
        <f t="shared" si="192"/>
        <v>0</v>
      </c>
      <c r="Y874" s="31">
        <f t="shared" si="192"/>
        <v>0</v>
      </c>
      <c r="Z874" s="31">
        <f t="shared" si="192"/>
        <v>0</v>
      </c>
      <c r="AA874" s="31">
        <f t="shared" si="192"/>
        <v>0</v>
      </c>
      <c r="AB874" s="31">
        <f t="shared" si="192"/>
        <v>0</v>
      </c>
      <c r="AC874" s="31">
        <f t="shared" si="192"/>
        <v>615392.89999999991</v>
      </c>
      <c r="AD874" s="31">
        <f t="shared" si="192"/>
        <v>810910.6</v>
      </c>
      <c r="AE874" s="31">
        <f t="shared" si="192"/>
        <v>0</v>
      </c>
      <c r="AF874" s="65" t="s">
        <v>751</v>
      </c>
      <c r="AG874" s="65" t="s">
        <v>751</v>
      </c>
      <c r="AH874" s="79" t="s">
        <v>751</v>
      </c>
      <c r="AT874" s="20" t="e">
        <f t="shared" si="191"/>
        <v>#N/A</v>
      </c>
      <c r="BZ874" s="64">
        <v>29283340</v>
      </c>
      <c r="CD874" s="20" t="e">
        <f t="shared" si="189"/>
        <v>#N/A</v>
      </c>
    </row>
    <row r="875" spans="1:82" ht="61.5" x14ac:dyDescent="0.85">
      <c r="A875" s="20">
        <v>1</v>
      </c>
      <c r="B875" s="60">
        <f>SUBTOTAL(103,$A$558:A875)</f>
        <v>293</v>
      </c>
      <c r="C875" s="24" t="s">
        <v>123</v>
      </c>
      <c r="D875" s="31">
        <f t="shared" ref="D875:D881" si="193">E875+F875+G875+H875+I875+J875+L875+N875+P875+R875+T875+U875+V875+W875+X875+Y875+Z875+AA875+AB875+AC875+AD875+AE875</f>
        <v>3282441.93</v>
      </c>
      <c r="E875" s="31">
        <v>0</v>
      </c>
      <c r="F875" s="31">
        <v>0</v>
      </c>
      <c r="G875" s="31">
        <v>0</v>
      </c>
      <c r="H875" s="31">
        <v>0</v>
      </c>
      <c r="I875" s="31">
        <v>0</v>
      </c>
      <c r="J875" s="31">
        <v>0</v>
      </c>
      <c r="K875" s="67">
        <v>0</v>
      </c>
      <c r="L875" s="31">
        <v>0</v>
      </c>
      <c r="M875" s="31">
        <v>662.5</v>
      </c>
      <c r="N875" s="31">
        <v>3115763.55</v>
      </c>
      <c r="O875" s="31">
        <v>0</v>
      </c>
      <c r="P875" s="31">
        <v>0</v>
      </c>
      <c r="Q875" s="31">
        <v>0</v>
      </c>
      <c r="R875" s="31">
        <v>0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f t="shared" ref="AC875:AC881" si="194">ROUND(N875*1.5%,2)</f>
        <v>46736.45</v>
      </c>
      <c r="AD875" s="31">
        <v>119941.93</v>
      </c>
      <c r="AE875" s="31">
        <v>0</v>
      </c>
      <c r="AF875" s="33">
        <v>2021</v>
      </c>
      <c r="AG875" s="33">
        <v>2021</v>
      </c>
      <c r="AH875" s="34">
        <v>2021</v>
      </c>
      <c r="AT875" s="20" t="e">
        <f t="shared" si="191"/>
        <v>#N/A</v>
      </c>
      <c r="BZ875" s="64"/>
      <c r="CD875" s="20" t="e">
        <f t="shared" si="189"/>
        <v>#N/A</v>
      </c>
    </row>
    <row r="876" spans="1:82" ht="61.5" x14ac:dyDescent="0.85">
      <c r="A876" s="20">
        <v>1</v>
      </c>
      <c r="B876" s="60">
        <f>SUBTOTAL(103,$A$558:A876)</f>
        <v>294</v>
      </c>
      <c r="C876" s="24" t="s">
        <v>128</v>
      </c>
      <c r="D876" s="31">
        <f t="shared" si="193"/>
        <v>5004891.84</v>
      </c>
      <c r="E876" s="31">
        <v>0</v>
      </c>
      <c r="F876" s="31">
        <v>0</v>
      </c>
      <c r="G876" s="31">
        <v>0</v>
      </c>
      <c r="H876" s="31">
        <v>0</v>
      </c>
      <c r="I876" s="31">
        <v>0</v>
      </c>
      <c r="J876" s="31">
        <v>0</v>
      </c>
      <c r="K876" s="67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0</v>
      </c>
      <c r="R876" s="31">
        <v>0</v>
      </c>
      <c r="S876" s="31">
        <v>0</v>
      </c>
      <c r="T876" s="31">
        <v>0</v>
      </c>
      <c r="U876" s="31">
        <v>4930927.92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  <c r="AC876" s="31">
        <f>ROUND(U876*1.5%,2)</f>
        <v>73963.92</v>
      </c>
      <c r="AD876" s="31">
        <v>0</v>
      </c>
      <c r="AE876" s="31">
        <v>0</v>
      </c>
      <c r="AF876" s="33" t="s">
        <v>268</v>
      </c>
      <c r="AG876" s="33">
        <v>2021</v>
      </c>
      <c r="AH876" s="34">
        <v>2021</v>
      </c>
      <c r="AT876" s="20" t="e">
        <f t="shared" si="191"/>
        <v>#N/A</v>
      </c>
      <c r="BZ876" s="64"/>
      <c r="CD876" s="20" t="e">
        <f t="shared" si="189"/>
        <v>#N/A</v>
      </c>
    </row>
    <row r="877" spans="1:82" ht="61.5" x14ac:dyDescent="0.85">
      <c r="A877" s="20">
        <v>1</v>
      </c>
      <c r="B877" s="60">
        <f>SUBTOTAL(103,$A$558:A877)</f>
        <v>295</v>
      </c>
      <c r="C877" s="24" t="s">
        <v>126</v>
      </c>
      <c r="D877" s="31">
        <f t="shared" si="193"/>
        <v>4280000</v>
      </c>
      <c r="E877" s="31">
        <v>0</v>
      </c>
      <c r="F877" s="31">
        <v>0</v>
      </c>
      <c r="G877" s="31">
        <v>0</v>
      </c>
      <c r="H877" s="31">
        <v>0</v>
      </c>
      <c r="I877" s="31">
        <v>0</v>
      </c>
      <c r="J877" s="31">
        <v>0</v>
      </c>
      <c r="K877" s="67">
        <v>0</v>
      </c>
      <c r="L877" s="31">
        <v>0</v>
      </c>
      <c r="M877" s="31">
        <v>886</v>
      </c>
      <c r="N877" s="31">
        <v>4216748.7699999996</v>
      </c>
      <c r="O877" s="31">
        <v>0</v>
      </c>
      <c r="P877" s="31">
        <v>0</v>
      </c>
      <c r="Q877" s="31">
        <v>0</v>
      </c>
      <c r="R877" s="31">
        <v>0</v>
      </c>
      <c r="S877" s="31">
        <v>0</v>
      </c>
      <c r="T877" s="31">
        <v>0</v>
      </c>
      <c r="U877" s="31">
        <v>0</v>
      </c>
      <c r="V877" s="31">
        <v>0</v>
      </c>
      <c r="W877" s="31">
        <v>0</v>
      </c>
      <c r="X877" s="31">
        <v>0</v>
      </c>
      <c r="Y877" s="31">
        <v>0</v>
      </c>
      <c r="Z877" s="31">
        <v>0</v>
      </c>
      <c r="AA877" s="31">
        <v>0</v>
      </c>
      <c r="AB877" s="31">
        <v>0</v>
      </c>
      <c r="AC877" s="31">
        <f t="shared" si="194"/>
        <v>63251.23</v>
      </c>
      <c r="AD877" s="31">
        <v>0</v>
      </c>
      <c r="AE877" s="31">
        <v>0</v>
      </c>
      <c r="AF877" s="33" t="s">
        <v>268</v>
      </c>
      <c r="AG877" s="33">
        <v>2021</v>
      </c>
      <c r="AH877" s="34">
        <v>2021</v>
      </c>
      <c r="AT877" s="20" t="e">
        <f t="shared" si="191"/>
        <v>#N/A</v>
      </c>
      <c r="BZ877" s="64"/>
      <c r="CD877" s="20" t="e">
        <f t="shared" si="189"/>
        <v>#N/A</v>
      </c>
    </row>
    <row r="878" spans="1:82" ht="61.5" x14ac:dyDescent="0.85">
      <c r="A878" s="20">
        <v>1</v>
      </c>
      <c r="B878" s="60">
        <f>SUBTOTAL(103,$A$558:A878)</f>
        <v>296</v>
      </c>
      <c r="C878" s="24" t="s">
        <v>129</v>
      </c>
      <c r="D878" s="31">
        <f t="shared" si="193"/>
        <v>3494323.56</v>
      </c>
      <c r="E878" s="31">
        <v>0</v>
      </c>
      <c r="F878" s="31">
        <v>0</v>
      </c>
      <c r="G878" s="31">
        <v>0</v>
      </c>
      <c r="H878" s="31">
        <v>0</v>
      </c>
      <c r="I878" s="31">
        <v>0</v>
      </c>
      <c r="J878" s="31">
        <v>0</v>
      </c>
      <c r="K878" s="67">
        <v>0</v>
      </c>
      <c r="L878" s="31">
        <v>0</v>
      </c>
      <c r="M878" s="31">
        <v>670</v>
      </c>
      <c r="N878" s="31">
        <f>3152709.36+289973.95</f>
        <v>3442683.31</v>
      </c>
      <c r="O878" s="31">
        <v>0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0</v>
      </c>
      <c r="Z878" s="31">
        <v>0</v>
      </c>
      <c r="AA878" s="31">
        <v>0</v>
      </c>
      <c r="AB878" s="31">
        <v>0</v>
      </c>
      <c r="AC878" s="31">
        <f t="shared" si="194"/>
        <v>51640.25</v>
      </c>
      <c r="AD878" s="31">
        <v>0</v>
      </c>
      <c r="AE878" s="31">
        <v>0</v>
      </c>
      <c r="AF878" s="33" t="s">
        <v>268</v>
      </c>
      <c r="AG878" s="33">
        <v>2021</v>
      </c>
      <c r="AH878" s="34">
        <v>2021</v>
      </c>
      <c r="AT878" s="20">
        <f t="shared" si="191"/>
        <v>1</v>
      </c>
      <c r="BZ878" s="64"/>
      <c r="CD878" s="20" t="e">
        <f t="shared" si="189"/>
        <v>#N/A</v>
      </c>
    </row>
    <row r="879" spans="1:82" ht="61.5" x14ac:dyDescent="0.85">
      <c r="A879" s="20">
        <v>1</v>
      </c>
      <c r="B879" s="60">
        <f>SUBTOTAL(103,$A$558:A879)</f>
        <v>297</v>
      </c>
      <c r="C879" s="24" t="s">
        <v>127</v>
      </c>
      <c r="D879" s="31">
        <f t="shared" si="193"/>
        <v>3011574.49</v>
      </c>
      <c r="E879" s="31">
        <v>0</v>
      </c>
      <c r="F879" s="31">
        <v>0</v>
      </c>
      <c r="G879" s="31">
        <v>0</v>
      </c>
      <c r="H879" s="31">
        <v>0</v>
      </c>
      <c r="I879" s="31">
        <v>0</v>
      </c>
      <c r="J879" s="31">
        <v>0</v>
      </c>
      <c r="K879" s="67">
        <v>0</v>
      </c>
      <c r="L879" s="31">
        <v>0</v>
      </c>
      <c r="M879" s="31">
        <v>616.12</v>
      </c>
      <c r="N879" s="31">
        <v>2887290.64</v>
      </c>
      <c r="O879" s="31">
        <v>0</v>
      </c>
      <c r="P879" s="31">
        <v>0</v>
      </c>
      <c r="Q879" s="31">
        <v>0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1">
        <v>0</v>
      </c>
      <c r="X879" s="31">
        <v>0</v>
      </c>
      <c r="Y879" s="31">
        <v>0</v>
      </c>
      <c r="Z879" s="31">
        <v>0</v>
      </c>
      <c r="AA879" s="31">
        <v>0</v>
      </c>
      <c r="AB879" s="31">
        <v>0</v>
      </c>
      <c r="AC879" s="31">
        <f t="shared" si="194"/>
        <v>43309.36</v>
      </c>
      <c r="AD879" s="31">
        <v>80974.490000000005</v>
      </c>
      <c r="AE879" s="31">
        <v>0</v>
      </c>
      <c r="AF879" s="33">
        <v>2021</v>
      </c>
      <c r="AG879" s="33">
        <v>2021</v>
      </c>
      <c r="AH879" s="34">
        <v>2021</v>
      </c>
      <c r="AT879" s="20" t="e">
        <f t="shared" si="191"/>
        <v>#N/A</v>
      </c>
      <c r="BZ879" s="64"/>
      <c r="CD879" s="20" t="e">
        <f t="shared" si="189"/>
        <v>#N/A</v>
      </c>
    </row>
    <row r="880" spans="1:82" ht="61.5" x14ac:dyDescent="0.85">
      <c r="A880" s="20">
        <v>1</v>
      </c>
      <c r="B880" s="60">
        <f>SUBTOTAL(103,$A$558:A880)</f>
        <v>298</v>
      </c>
      <c r="C880" s="24" t="s">
        <v>124</v>
      </c>
      <c r="D880" s="31">
        <f t="shared" si="193"/>
        <v>4108566.83</v>
      </c>
      <c r="E880" s="31">
        <v>0</v>
      </c>
      <c r="F880" s="31">
        <v>0</v>
      </c>
      <c r="G880" s="31">
        <v>0</v>
      </c>
      <c r="H880" s="31">
        <v>0</v>
      </c>
      <c r="I880" s="31">
        <v>0</v>
      </c>
      <c r="J880" s="31">
        <v>0</v>
      </c>
      <c r="K880" s="67">
        <v>0</v>
      </c>
      <c r="L880" s="31">
        <v>0</v>
      </c>
      <c r="M880" s="31">
        <v>773.7</v>
      </c>
      <c r="N880" s="31">
        <f>3206187.19+723368.23</f>
        <v>3929555.42</v>
      </c>
      <c r="O880" s="31">
        <v>0</v>
      </c>
      <c r="P880" s="31">
        <v>0</v>
      </c>
      <c r="Q880" s="31">
        <v>0</v>
      </c>
      <c r="R880" s="31">
        <v>0</v>
      </c>
      <c r="S880" s="31">
        <v>0</v>
      </c>
      <c r="T880" s="31">
        <v>0</v>
      </c>
      <c r="U880" s="31">
        <v>0</v>
      </c>
      <c r="V880" s="31">
        <v>0</v>
      </c>
      <c r="W880" s="31">
        <v>0</v>
      </c>
      <c r="X880" s="31">
        <v>0</v>
      </c>
      <c r="Y880" s="31">
        <v>0</v>
      </c>
      <c r="Z880" s="31">
        <v>0</v>
      </c>
      <c r="AA880" s="31">
        <v>0</v>
      </c>
      <c r="AB880" s="31">
        <v>0</v>
      </c>
      <c r="AC880" s="31">
        <f t="shared" si="194"/>
        <v>58943.33</v>
      </c>
      <c r="AD880" s="31">
        <v>120068.08</v>
      </c>
      <c r="AE880" s="31">
        <v>0</v>
      </c>
      <c r="AF880" s="33">
        <v>2021</v>
      </c>
      <c r="AG880" s="33">
        <v>2021</v>
      </c>
      <c r="AH880" s="34">
        <v>2021</v>
      </c>
      <c r="AT880" s="20" t="e">
        <f t="shared" si="191"/>
        <v>#N/A</v>
      </c>
      <c r="BZ880" s="64"/>
      <c r="CD880" s="20" t="e">
        <f t="shared" si="189"/>
        <v>#N/A</v>
      </c>
    </row>
    <row r="881" spans="1:82" ht="61.5" x14ac:dyDescent="0.85">
      <c r="A881" s="20">
        <v>1</v>
      </c>
      <c r="B881" s="60">
        <f>SUBTOTAL(103,$A$558:A881)</f>
        <v>299</v>
      </c>
      <c r="C881" s="24" t="s">
        <v>125</v>
      </c>
      <c r="D881" s="31">
        <f t="shared" si="193"/>
        <v>4644926.0999999996</v>
      </c>
      <c r="E881" s="31">
        <v>0</v>
      </c>
      <c r="F881" s="31">
        <v>0</v>
      </c>
      <c r="G881" s="31">
        <v>0</v>
      </c>
      <c r="H881" s="31">
        <v>0</v>
      </c>
      <c r="I881" s="31">
        <v>0</v>
      </c>
      <c r="J881" s="31">
        <v>0</v>
      </c>
      <c r="K881" s="67">
        <v>0</v>
      </c>
      <c r="L881" s="31">
        <v>0</v>
      </c>
      <c r="M881" s="31">
        <v>935</v>
      </c>
      <c r="N881" s="31">
        <v>4458128.08</v>
      </c>
      <c r="O881" s="31">
        <v>0</v>
      </c>
      <c r="P881" s="31">
        <v>0</v>
      </c>
      <c r="Q881" s="31">
        <v>0</v>
      </c>
      <c r="R881" s="31">
        <v>0</v>
      </c>
      <c r="S881" s="31">
        <v>0</v>
      </c>
      <c r="T881" s="31">
        <v>0</v>
      </c>
      <c r="U881" s="31">
        <v>0</v>
      </c>
      <c r="V881" s="31">
        <v>0</v>
      </c>
      <c r="W881" s="31">
        <v>0</v>
      </c>
      <c r="X881" s="31">
        <v>0</v>
      </c>
      <c r="Y881" s="31">
        <v>0</v>
      </c>
      <c r="Z881" s="31">
        <v>0</v>
      </c>
      <c r="AA881" s="31">
        <v>0</v>
      </c>
      <c r="AB881" s="31">
        <v>0</v>
      </c>
      <c r="AC881" s="31">
        <f t="shared" si="194"/>
        <v>66871.92</v>
      </c>
      <c r="AD881" s="31">
        <v>119926.1</v>
      </c>
      <c r="AE881" s="31">
        <v>0</v>
      </c>
      <c r="AF881" s="33">
        <v>2021</v>
      </c>
      <c r="AG881" s="33">
        <v>2021</v>
      </c>
      <c r="AH881" s="34">
        <v>2021</v>
      </c>
      <c r="AT881" s="20" t="e">
        <f t="shared" si="191"/>
        <v>#N/A</v>
      </c>
      <c r="BZ881" s="64"/>
      <c r="CD881" s="20" t="e">
        <f t="shared" si="189"/>
        <v>#N/A</v>
      </c>
    </row>
    <row r="882" spans="1:82" ht="61.5" x14ac:dyDescent="0.85">
      <c r="A882" s="20">
        <v>1</v>
      </c>
      <c r="B882" s="60">
        <f>SUBTOTAL(103,$A$558:A882)</f>
        <v>300</v>
      </c>
      <c r="C882" s="24" t="s">
        <v>130</v>
      </c>
      <c r="D882" s="31">
        <f>E882+F882+G882+H882+I882+J882+L882+N882+P882+R882+T882+U882+V882+W882+X882+Y882+Z882+AA882+AB882+AC882+AD882+AE882</f>
        <v>6607023.6600000001</v>
      </c>
      <c r="E882" s="31">
        <v>0</v>
      </c>
      <c r="F882" s="31">
        <v>0</v>
      </c>
      <c r="G882" s="31">
        <v>0</v>
      </c>
      <c r="H882" s="31">
        <v>0</v>
      </c>
      <c r="I882" s="31">
        <v>0</v>
      </c>
      <c r="J882" s="31">
        <v>0</v>
      </c>
      <c r="K882" s="67">
        <v>0</v>
      </c>
      <c r="L882" s="31">
        <v>0</v>
      </c>
      <c r="M882" s="31">
        <v>740.9</v>
      </c>
      <c r="N882" s="31">
        <f>3064000+178901.1</f>
        <v>3242901.1</v>
      </c>
      <c r="O882" s="31">
        <v>0</v>
      </c>
      <c r="P882" s="31">
        <v>0</v>
      </c>
      <c r="Q882" s="31">
        <v>1218.8599999999999</v>
      </c>
      <c r="R882" s="31">
        <v>3020176.4</v>
      </c>
      <c r="S882" s="31">
        <v>0</v>
      </c>
      <c r="T882" s="31">
        <v>0</v>
      </c>
      <c r="U882" s="31">
        <v>0</v>
      </c>
      <c r="V882" s="31">
        <v>0</v>
      </c>
      <c r="W882" s="31">
        <v>0</v>
      </c>
      <c r="X882" s="31">
        <v>0</v>
      </c>
      <c r="Y882" s="31">
        <v>0</v>
      </c>
      <c r="Z882" s="31">
        <v>0</v>
      </c>
      <c r="AA882" s="31">
        <v>0</v>
      </c>
      <c r="AB882" s="31">
        <v>0</v>
      </c>
      <c r="AC882" s="31">
        <f>ROUND((N882+R882)*1.5%,2)</f>
        <v>93946.16</v>
      </c>
      <c r="AD882" s="31">
        <v>250000</v>
      </c>
      <c r="AE882" s="31">
        <v>0</v>
      </c>
      <c r="AF882" s="33">
        <v>2021</v>
      </c>
      <c r="AG882" s="33">
        <v>2021</v>
      </c>
      <c r="AH882" s="34">
        <v>2021</v>
      </c>
      <c r="AT882" s="20" t="e">
        <f t="shared" si="191"/>
        <v>#N/A</v>
      </c>
      <c r="BZ882" s="64"/>
      <c r="CD882" s="20" t="e">
        <f t="shared" si="189"/>
        <v>#N/A</v>
      </c>
    </row>
    <row r="883" spans="1:82" ht="61.5" x14ac:dyDescent="0.85">
      <c r="A883" s="20">
        <v>1</v>
      </c>
      <c r="B883" s="60">
        <f>SUBTOTAL(103,$A$558:A883)</f>
        <v>301</v>
      </c>
      <c r="C883" s="24" t="s">
        <v>114</v>
      </c>
      <c r="D883" s="31">
        <f>E883+F883+G883+H883+I883+J883+L883+N883+P883+R883+T883+U883+V883+W883+X883+Y883+Z883+AA883+AB883+AC883+AD883+AE883</f>
        <v>2535216.96</v>
      </c>
      <c r="E883" s="31">
        <v>0</v>
      </c>
      <c r="F883" s="31">
        <v>0</v>
      </c>
      <c r="G883" s="31">
        <v>0</v>
      </c>
      <c r="H883" s="31">
        <v>0</v>
      </c>
      <c r="I883" s="31">
        <v>0</v>
      </c>
      <c r="J883" s="31">
        <v>0</v>
      </c>
      <c r="K883" s="67">
        <v>0</v>
      </c>
      <c r="L883" s="31">
        <v>0</v>
      </c>
      <c r="M883" s="38">
        <v>636.6</v>
      </c>
      <c r="N883" s="38">
        <v>2497750.7000000002</v>
      </c>
      <c r="O883" s="31">
        <v>0</v>
      </c>
      <c r="P883" s="31">
        <v>0</v>
      </c>
      <c r="Q883" s="31">
        <v>0</v>
      </c>
      <c r="R883" s="31">
        <v>0</v>
      </c>
      <c r="S883" s="31">
        <v>0</v>
      </c>
      <c r="T883" s="31">
        <v>0</v>
      </c>
      <c r="U883" s="31">
        <v>0</v>
      </c>
      <c r="V883" s="31">
        <v>0</v>
      </c>
      <c r="W883" s="31">
        <v>0</v>
      </c>
      <c r="X883" s="31">
        <v>0</v>
      </c>
      <c r="Y883" s="31">
        <v>0</v>
      </c>
      <c r="Z883" s="31">
        <v>0</v>
      </c>
      <c r="AA883" s="31">
        <v>0</v>
      </c>
      <c r="AB883" s="31">
        <v>0</v>
      </c>
      <c r="AC883" s="31">
        <f>ROUND(N883*1.5%,2)</f>
        <v>37466.26</v>
      </c>
      <c r="AD883" s="31">
        <v>0</v>
      </c>
      <c r="AE883" s="31">
        <v>0</v>
      </c>
      <c r="AF883" s="33" t="s">
        <v>268</v>
      </c>
      <c r="AG883" s="33">
        <v>2021</v>
      </c>
      <c r="AH883" s="34">
        <v>2021</v>
      </c>
      <c r="AT883" s="20" t="e">
        <f t="shared" si="191"/>
        <v>#N/A</v>
      </c>
      <c r="BZ883" s="64"/>
      <c r="CD883" s="20" t="e">
        <f t="shared" si="189"/>
        <v>#N/A</v>
      </c>
    </row>
    <row r="884" spans="1:82" ht="61.5" x14ac:dyDescent="0.85">
      <c r="A884" s="20">
        <v>1</v>
      </c>
      <c r="B884" s="60">
        <f>SUBTOTAL(103,$A$558:A884)</f>
        <v>302</v>
      </c>
      <c r="C884" s="24" t="s">
        <v>1224</v>
      </c>
      <c r="D884" s="31">
        <f>E884+F884+G884+H884+I884+J884+L884+N884+P884+R884+T884+U884+V884+W884+X884+Y884+Z884+AA884+AB884+AC884+AD884+AE884</f>
        <v>1221946.1500000001</v>
      </c>
      <c r="E884" s="31">
        <v>0</v>
      </c>
      <c r="F884" s="31">
        <v>0</v>
      </c>
      <c r="G884" s="31">
        <v>990961.93</v>
      </c>
      <c r="H884" s="31">
        <v>212925.9</v>
      </c>
      <c r="I884" s="31">
        <v>0</v>
      </c>
      <c r="J884" s="31">
        <v>0</v>
      </c>
      <c r="K884" s="67">
        <v>0</v>
      </c>
      <c r="L884" s="31">
        <v>0</v>
      </c>
      <c r="M884" s="31">
        <v>0</v>
      </c>
      <c r="N884" s="31">
        <v>0</v>
      </c>
      <c r="O884" s="31">
        <v>0</v>
      </c>
      <c r="P884" s="31">
        <v>0</v>
      </c>
      <c r="Q884" s="31">
        <v>0</v>
      </c>
      <c r="R884" s="31">
        <v>0</v>
      </c>
      <c r="S884" s="31">
        <v>0</v>
      </c>
      <c r="T884" s="31">
        <v>0</v>
      </c>
      <c r="U884" s="31">
        <v>0</v>
      </c>
      <c r="V884" s="31">
        <v>0</v>
      </c>
      <c r="W884" s="31">
        <v>0</v>
      </c>
      <c r="X884" s="31">
        <v>0</v>
      </c>
      <c r="Y884" s="31">
        <v>0</v>
      </c>
      <c r="Z884" s="31">
        <v>0</v>
      </c>
      <c r="AA884" s="31">
        <v>0</v>
      </c>
      <c r="AB884" s="31">
        <v>0</v>
      </c>
      <c r="AC884" s="31">
        <f>ROUND((E884+F884+G884+H884+I884+J884)*1.5%,2)</f>
        <v>18058.32</v>
      </c>
      <c r="AD884" s="31">
        <v>0</v>
      </c>
      <c r="AE884" s="31">
        <v>0</v>
      </c>
      <c r="AF884" s="33" t="s">
        <v>268</v>
      </c>
      <c r="AG884" s="33">
        <v>2021</v>
      </c>
      <c r="AH884" s="34">
        <v>2021</v>
      </c>
      <c r="BZ884" s="64"/>
      <c r="CD884" s="20" t="e">
        <f t="shared" si="189"/>
        <v>#N/A</v>
      </c>
    </row>
    <row r="885" spans="1:82" ht="61.5" x14ac:dyDescent="0.85">
      <c r="A885" s="20">
        <v>1</v>
      </c>
      <c r="B885" s="60">
        <f>SUBTOTAL(103,$A$558:A885)</f>
        <v>303</v>
      </c>
      <c r="C885" s="24" t="s">
        <v>119</v>
      </c>
      <c r="D885" s="31">
        <f>E885+F885+G885+H885+I885+J885+L885+N885+P885+R885+T885+U885+V885+W885+X885+Y885+Z885+AA885+AB885+AC885+AD885+AE885</f>
        <v>2197982.44</v>
      </c>
      <c r="E885" s="31">
        <v>427797.72</v>
      </c>
      <c r="F885" s="31">
        <v>0</v>
      </c>
      <c r="G885" s="31">
        <v>1321402.94</v>
      </c>
      <c r="H885" s="31">
        <v>416299.28</v>
      </c>
      <c r="I885" s="31">
        <v>0</v>
      </c>
      <c r="J885" s="31">
        <v>0</v>
      </c>
      <c r="K885" s="67">
        <v>0</v>
      </c>
      <c r="L885" s="31">
        <v>0</v>
      </c>
      <c r="M885" s="31">
        <v>0</v>
      </c>
      <c r="N885" s="31">
        <v>0</v>
      </c>
      <c r="O885" s="31">
        <v>0</v>
      </c>
      <c r="P885" s="31">
        <v>0</v>
      </c>
      <c r="Q885" s="31">
        <v>0</v>
      </c>
      <c r="R885" s="31">
        <v>0</v>
      </c>
      <c r="S885" s="31">
        <v>0</v>
      </c>
      <c r="T885" s="31">
        <v>0</v>
      </c>
      <c r="U885" s="31">
        <v>0</v>
      </c>
      <c r="V885" s="31">
        <v>0</v>
      </c>
      <c r="W885" s="31">
        <v>0</v>
      </c>
      <c r="X885" s="31">
        <v>0</v>
      </c>
      <c r="Y885" s="31">
        <v>0</v>
      </c>
      <c r="Z885" s="31">
        <v>0</v>
      </c>
      <c r="AA885" s="31">
        <v>0</v>
      </c>
      <c r="AB885" s="31">
        <v>0</v>
      </c>
      <c r="AC885" s="31">
        <f>ROUND((E885+F885+G885+H885+I885+J885)*1.5%,2)</f>
        <v>32482.5</v>
      </c>
      <c r="AD885" s="31">
        <v>0</v>
      </c>
      <c r="AE885" s="31">
        <v>0</v>
      </c>
      <c r="AF885" s="33" t="s">
        <v>268</v>
      </c>
      <c r="AG885" s="33">
        <v>2021</v>
      </c>
      <c r="AH885" s="34">
        <v>2021</v>
      </c>
      <c r="AT885" s="20" t="e">
        <f>VLOOKUP(C885,AW:AX,2,FALSE)</f>
        <v>#N/A</v>
      </c>
      <c r="BZ885" s="64"/>
      <c r="CD885" s="20" t="e">
        <f t="shared" si="189"/>
        <v>#N/A</v>
      </c>
    </row>
    <row r="886" spans="1:82" ht="61.5" x14ac:dyDescent="0.85">
      <c r="A886" s="20">
        <v>1</v>
      </c>
      <c r="B886" s="60">
        <f>SUBTOTAL(103,$A$558:A886)</f>
        <v>304</v>
      </c>
      <c r="C886" s="24" t="s">
        <v>2310</v>
      </c>
      <c r="D886" s="31">
        <f>E886+F886+G886+H886+I886+J886+L886+N886+P886+R886+T886+U886+V886+W886+X886+Y886+Z886+AA886+AB886+AC886+AD886+AE886</f>
        <v>2063603.2000000002</v>
      </c>
      <c r="E886" s="35">
        <v>0</v>
      </c>
      <c r="F886" s="35">
        <v>0</v>
      </c>
      <c r="G886" s="35">
        <v>0</v>
      </c>
      <c r="H886" s="35">
        <v>0</v>
      </c>
      <c r="I886" s="35">
        <v>0</v>
      </c>
      <c r="J886" s="35">
        <v>0</v>
      </c>
      <c r="K886" s="67">
        <v>0</v>
      </c>
      <c r="L886" s="31">
        <v>0</v>
      </c>
      <c r="M886" s="31">
        <v>348.16</v>
      </c>
      <c r="N886" s="31">
        <f>M886*5500</f>
        <v>1914880.0000000002</v>
      </c>
      <c r="O886" s="31">
        <v>0</v>
      </c>
      <c r="P886" s="31">
        <v>0</v>
      </c>
      <c r="Q886" s="31">
        <v>0</v>
      </c>
      <c r="R886" s="31">
        <v>0</v>
      </c>
      <c r="S886" s="31">
        <v>0</v>
      </c>
      <c r="T886" s="31">
        <v>0</v>
      </c>
      <c r="U886" s="31">
        <v>0</v>
      </c>
      <c r="V886" s="31">
        <v>0</v>
      </c>
      <c r="W886" s="31">
        <v>0</v>
      </c>
      <c r="X886" s="31">
        <v>0</v>
      </c>
      <c r="Y886" s="31">
        <v>0</v>
      </c>
      <c r="Z886" s="31">
        <v>0</v>
      </c>
      <c r="AA886" s="31">
        <v>0</v>
      </c>
      <c r="AB886" s="31">
        <v>0</v>
      </c>
      <c r="AC886" s="31">
        <f t="shared" ref="AC886" si="195">ROUND(N886*1.5%,2)</f>
        <v>28723.200000000001</v>
      </c>
      <c r="AD886" s="31">
        <v>120000</v>
      </c>
      <c r="AE886" s="31">
        <v>0</v>
      </c>
      <c r="AF886" s="33">
        <v>2021</v>
      </c>
      <c r="AG886" s="33">
        <v>2021</v>
      </c>
      <c r="AH886" s="34">
        <v>2021</v>
      </c>
      <c r="AT886" s="20" t="e">
        <f>VLOOKUP(C886,AW:AX,2,FALSE)</f>
        <v>#N/A</v>
      </c>
      <c r="BZ886" s="64"/>
      <c r="CD886" s="20" t="e">
        <f t="shared" si="189"/>
        <v>#N/A</v>
      </c>
    </row>
    <row r="887" spans="1:82" ht="61.5" x14ac:dyDescent="0.85">
      <c r="B887" s="24" t="s">
        <v>834</v>
      </c>
      <c r="C887" s="198"/>
      <c r="D887" s="199">
        <f t="shared" ref="D887:AE887" si="196">SUM(D888:D889)</f>
        <v>6003691.8100000005</v>
      </c>
      <c r="E887" s="31">
        <f t="shared" si="196"/>
        <v>0</v>
      </c>
      <c r="F887" s="31">
        <f t="shared" si="196"/>
        <v>0</v>
      </c>
      <c r="G887" s="31">
        <f t="shared" si="196"/>
        <v>0</v>
      </c>
      <c r="H887" s="31">
        <f t="shared" si="196"/>
        <v>0</v>
      </c>
      <c r="I887" s="31">
        <f t="shared" si="196"/>
        <v>0</v>
      </c>
      <c r="J887" s="31">
        <f t="shared" si="196"/>
        <v>0</v>
      </c>
      <c r="K887" s="67">
        <f t="shared" si="196"/>
        <v>0</v>
      </c>
      <c r="L887" s="31">
        <f t="shared" si="196"/>
        <v>0</v>
      </c>
      <c r="M887" s="31">
        <f t="shared" si="196"/>
        <v>172</v>
      </c>
      <c r="N887" s="31">
        <f t="shared" si="196"/>
        <v>1221695.96</v>
      </c>
      <c r="O887" s="31">
        <f t="shared" si="196"/>
        <v>0</v>
      </c>
      <c r="P887" s="31">
        <f t="shared" si="196"/>
        <v>0</v>
      </c>
      <c r="Q887" s="31">
        <f t="shared" si="196"/>
        <v>0</v>
      </c>
      <c r="R887" s="31">
        <f t="shared" si="196"/>
        <v>0</v>
      </c>
      <c r="S887" s="31">
        <f t="shared" si="196"/>
        <v>0</v>
      </c>
      <c r="T887" s="31">
        <f t="shared" si="196"/>
        <v>0</v>
      </c>
      <c r="U887" s="31">
        <f t="shared" si="196"/>
        <v>4693271.34</v>
      </c>
      <c r="V887" s="31">
        <f t="shared" si="196"/>
        <v>0</v>
      </c>
      <c r="W887" s="31">
        <f t="shared" si="196"/>
        <v>0</v>
      </c>
      <c r="X887" s="31">
        <f t="shared" si="196"/>
        <v>0</v>
      </c>
      <c r="Y887" s="31">
        <f t="shared" si="196"/>
        <v>0</v>
      </c>
      <c r="Z887" s="31">
        <f t="shared" si="196"/>
        <v>0</v>
      </c>
      <c r="AA887" s="31">
        <f t="shared" si="196"/>
        <v>0</v>
      </c>
      <c r="AB887" s="31">
        <f t="shared" si="196"/>
        <v>0</v>
      </c>
      <c r="AC887" s="31">
        <f t="shared" si="196"/>
        <v>88724.510000000009</v>
      </c>
      <c r="AD887" s="31">
        <f t="shared" si="196"/>
        <v>0</v>
      </c>
      <c r="AE887" s="31">
        <f t="shared" si="196"/>
        <v>0</v>
      </c>
      <c r="AF887" s="65" t="s">
        <v>751</v>
      </c>
      <c r="AG887" s="65" t="s">
        <v>751</v>
      </c>
      <c r="AH887" s="79" t="s">
        <v>751</v>
      </c>
      <c r="AT887" s="20" t="e">
        <f>VLOOKUP(C887,AW:AX,2,FALSE)</f>
        <v>#N/A</v>
      </c>
      <c r="BZ887" s="64">
        <v>3328825.5</v>
      </c>
      <c r="CD887" s="20" t="e">
        <f t="shared" si="189"/>
        <v>#N/A</v>
      </c>
    </row>
    <row r="888" spans="1:82" ht="61.5" x14ac:dyDescent="0.85">
      <c r="A888" s="20">
        <v>1</v>
      </c>
      <c r="B888" s="60">
        <f>SUBTOTAL(103,$A$558:A888)</f>
        <v>305</v>
      </c>
      <c r="C888" s="24" t="s">
        <v>169</v>
      </c>
      <c r="D888" s="31">
        <f>E888+F888+G888+H888+I888+J888+L888+N888+P888+R888+T888+U888+V888+W888+X888+Y888+Z888+AA888+AB888+AC888+AD888+AE888</f>
        <v>4763670.41</v>
      </c>
      <c r="E888" s="31">
        <v>0</v>
      </c>
      <c r="F888" s="31">
        <v>0</v>
      </c>
      <c r="G888" s="31">
        <v>0</v>
      </c>
      <c r="H888" s="31">
        <v>0</v>
      </c>
      <c r="I888" s="31">
        <v>0</v>
      </c>
      <c r="J888" s="31">
        <v>0</v>
      </c>
      <c r="K888" s="67">
        <v>0</v>
      </c>
      <c r="L888" s="31">
        <v>0</v>
      </c>
      <c r="M888" s="31">
        <v>0</v>
      </c>
      <c r="N888" s="31">
        <v>0</v>
      </c>
      <c r="O888" s="31">
        <v>0</v>
      </c>
      <c r="P888" s="31">
        <v>0</v>
      </c>
      <c r="Q888" s="31">
        <v>0</v>
      </c>
      <c r="R888" s="31">
        <v>0</v>
      </c>
      <c r="S888" s="31">
        <v>0</v>
      </c>
      <c r="T888" s="31">
        <v>0</v>
      </c>
      <c r="U888" s="31">
        <f>4178507.88-47969.83+550395.9+12337.39</f>
        <v>4693271.34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0</v>
      </c>
      <c r="AC888" s="31">
        <f>ROUND(U888*1.5%,2)</f>
        <v>70399.070000000007</v>
      </c>
      <c r="AD888" s="31">
        <v>0</v>
      </c>
      <c r="AE888" s="31">
        <v>0</v>
      </c>
      <c r="AF888" s="33" t="s">
        <v>268</v>
      </c>
      <c r="AG888" s="33">
        <v>2021</v>
      </c>
      <c r="AH888" s="34">
        <v>2021</v>
      </c>
      <c r="AT888" s="20" t="e">
        <f>VLOOKUP(C888,AW:AX,2,FALSE)</f>
        <v>#N/A</v>
      </c>
      <c r="BZ888" s="64"/>
      <c r="CD888" s="20" t="e">
        <f t="shared" si="189"/>
        <v>#N/A</v>
      </c>
    </row>
    <row r="889" spans="1:82" ht="61.5" x14ac:dyDescent="0.85">
      <c r="A889" s="20">
        <v>1</v>
      </c>
      <c r="B889" s="60">
        <f>SUBTOTAL(103,$A$558:A889)</f>
        <v>306</v>
      </c>
      <c r="C889" s="24" t="s">
        <v>1569</v>
      </c>
      <c r="D889" s="31">
        <f>E889+F889+G889+H889+I889+J889+L889+N889+P889+R889+T889+U889+V889+W889+X889+Y889+Z889+AA889+AB889+AC889+AD889+AE889</f>
        <v>1240021.3999999999</v>
      </c>
      <c r="E889" s="31">
        <v>0</v>
      </c>
      <c r="F889" s="31">
        <v>0</v>
      </c>
      <c r="G889" s="31">
        <v>0</v>
      </c>
      <c r="H889" s="31">
        <v>0</v>
      </c>
      <c r="I889" s="31">
        <v>0</v>
      </c>
      <c r="J889" s="31">
        <v>0</v>
      </c>
      <c r="K889" s="67">
        <v>0</v>
      </c>
      <c r="L889" s="31">
        <v>0</v>
      </c>
      <c r="M889" s="31">
        <v>172</v>
      </c>
      <c r="N889" s="31">
        <f>898149.6+144032.15+138871.15+34310.83+6332.23</f>
        <v>1221695.96</v>
      </c>
      <c r="O889" s="31">
        <v>0</v>
      </c>
      <c r="P889" s="31">
        <v>0</v>
      </c>
      <c r="Q889" s="31">
        <v>0</v>
      </c>
      <c r="R889" s="31">
        <v>0</v>
      </c>
      <c r="S889" s="31">
        <v>0</v>
      </c>
      <c r="T889" s="31">
        <v>0</v>
      </c>
      <c r="U889" s="31">
        <v>0</v>
      </c>
      <c r="V889" s="31">
        <v>0</v>
      </c>
      <c r="W889" s="31">
        <v>0</v>
      </c>
      <c r="X889" s="31">
        <v>0</v>
      </c>
      <c r="Y889" s="31">
        <v>0</v>
      </c>
      <c r="Z889" s="31">
        <v>0</v>
      </c>
      <c r="AA889" s="31">
        <v>0</v>
      </c>
      <c r="AB889" s="31">
        <v>0</v>
      </c>
      <c r="AC889" s="31">
        <f>ROUND(N889*1.5%,2)</f>
        <v>18325.439999999999</v>
      </c>
      <c r="AD889" s="31">
        <v>0</v>
      </c>
      <c r="AE889" s="31">
        <v>0</v>
      </c>
      <c r="AF889" s="33" t="s">
        <v>268</v>
      </c>
      <c r="AG889" s="33">
        <v>2021</v>
      </c>
      <c r="AH889" s="34">
        <v>2021</v>
      </c>
      <c r="BZ889" s="64"/>
      <c r="CD889" s="20" t="e">
        <f t="shared" si="189"/>
        <v>#N/A</v>
      </c>
    </row>
    <row r="890" spans="1:82" ht="61.5" x14ac:dyDescent="0.85">
      <c r="B890" s="24" t="s">
        <v>836</v>
      </c>
      <c r="C890" s="198"/>
      <c r="D890" s="199">
        <f>SUM(D891:D893)</f>
        <v>7316428.790000001</v>
      </c>
      <c r="E890" s="31">
        <f t="shared" ref="E890:AE890" si="197">SUM(E891:E893)</f>
        <v>0</v>
      </c>
      <c r="F890" s="31">
        <f t="shared" si="197"/>
        <v>0</v>
      </c>
      <c r="G890" s="31">
        <f t="shared" si="197"/>
        <v>0</v>
      </c>
      <c r="H890" s="31">
        <f t="shared" si="197"/>
        <v>0</v>
      </c>
      <c r="I890" s="31">
        <f t="shared" si="197"/>
        <v>0</v>
      </c>
      <c r="J890" s="31">
        <f t="shared" si="197"/>
        <v>0</v>
      </c>
      <c r="K890" s="67">
        <f t="shared" si="197"/>
        <v>0</v>
      </c>
      <c r="L890" s="31">
        <f t="shared" si="197"/>
        <v>0</v>
      </c>
      <c r="M890" s="31">
        <f t="shared" si="197"/>
        <v>650</v>
      </c>
      <c r="N890" s="31">
        <f t="shared" si="197"/>
        <v>3131847.78</v>
      </c>
      <c r="O890" s="31">
        <f t="shared" si="197"/>
        <v>0</v>
      </c>
      <c r="P890" s="31">
        <f t="shared" si="197"/>
        <v>0</v>
      </c>
      <c r="Q890" s="31">
        <f t="shared" si="197"/>
        <v>403.2</v>
      </c>
      <c r="R890" s="31">
        <f t="shared" si="197"/>
        <v>2176862</v>
      </c>
      <c r="S890" s="31">
        <f t="shared" si="197"/>
        <v>0</v>
      </c>
      <c r="T890" s="31">
        <f t="shared" si="197"/>
        <v>0</v>
      </c>
      <c r="U890" s="31">
        <f t="shared" si="197"/>
        <v>1815231</v>
      </c>
      <c r="V890" s="31">
        <f t="shared" si="197"/>
        <v>0</v>
      </c>
      <c r="W890" s="31">
        <f t="shared" si="197"/>
        <v>0</v>
      </c>
      <c r="X890" s="31">
        <f t="shared" si="197"/>
        <v>0</v>
      </c>
      <c r="Y890" s="31">
        <f t="shared" si="197"/>
        <v>0</v>
      </c>
      <c r="Z890" s="31">
        <f t="shared" si="197"/>
        <v>0</v>
      </c>
      <c r="AA890" s="31">
        <f t="shared" si="197"/>
        <v>0</v>
      </c>
      <c r="AB890" s="31">
        <f t="shared" si="197"/>
        <v>0</v>
      </c>
      <c r="AC890" s="31">
        <f t="shared" si="197"/>
        <v>103047.12999999999</v>
      </c>
      <c r="AD890" s="31">
        <f t="shared" si="197"/>
        <v>89440.88</v>
      </c>
      <c r="AE890" s="31">
        <f t="shared" si="197"/>
        <v>0</v>
      </c>
      <c r="AF890" s="65" t="s">
        <v>751</v>
      </c>
      <c r="AG890" s="65" t="s">
        <v>751</v>
      </c>
      <c r="AH890" s="79" t="s">
        <v>751</v>
      </c>
      <c r="AT890" s="20" t="e">
        <f>VLOOKUP(C890,AW:AX,2,FALSE)</f>
        <v>#N/A</v>
      </c>
      <c r="BZ890" s="64">
        <v>3328825.5</v>
      </c>
      <c r="CD890" s="20" t="e">
        <f t="shared" si="189"/>
        <v>#N/A</v>
      </c>
    </row>
    <row r="891" spans="1:82" ht="61.5" x14ac:dyDescent="0.85">
      <c r="A891" s="20">
        <v>1</v>
      </c>
      <c r="B891" s="60">
        <f>SUBTOTAL(103,$A$558:A891)</f>
        <v>307</v>
      </c>
      <c r="C891" s="24" t="s">
        <v>176</v>
      </c>
      <c r="D891" s="31">
        <f>E891+F891+G891+H891+I891+J891+L891+N891+P891+R891+T891+U891+V891+W891+X891+Y891+Z891+AA891+AB891+AC891+AD891+AE891</f>
        <v>3268266.38</v>
      </c>
      <c r="E891" s="31">
        <v>0</v>
      </c>
      <c r="F891" s="31">
        <v>0</v>
      </c>
      <c r="G891" s="31">
        <v>0</v>
      </c>
      <c r="H891" s="31">
        <v>0</v>
      </c>
      <c r="I891" s="31">
        <v>0</v>
      </c>
      <c r="J891" s="31">
        <v>0</v>
      </c>
      <c r="K891" s="67">
        <v>0</v>
      </c>
      <c r="L891" s="31">
        <v>0</v>
      </c>
      <c r="M891" s="31">
        <v>650</v>
      </c>
      <c r="N891" s="31">
        <v>3131847.78</v>
      </c>
      <c r="O891" s="31">
        <v>0</v>
      </c>
      <c r="P891" s="31">
        <v>0</v>
      </c>
      <c r="Q891" s="31">
        <v>0</v>
      </c>
      <c r="R891" s="31">
        <v>0</v>
      </c>
      <c r="S891" s="31">
        <v>0</v>
      </c>
      <c r="T891" s="31">
        <v>0</v>
      </c>
      <c r="U891" s="31">
        <v>0</v>
      </c>
      <c r="V891" s="31">
        <v>0</v>
      </c>
      <c r="W891" s="31">
        <v>0</v>
      </c>
      <c r="X891" s="31">
        <v>0</v>
      </c>
      <c r="Y891" s="31">
        <v>0</v>
      </c>
      <c r="Z891" s="31">
        <v>0</v>
      </c>
      <c r="AA891" s="31">
        <v>0</v>
      </c>
      <c r="AB891" s="31">
        <v>0</v>
      </c>
      <c r="AC891" s="31">
        <f>ROUND(N891*1.5%,2)</f>
        <v>46977.72</v>
      </c>
      <c r="AD891" s="31">
        <v>89440.88</v>
      </c>
      <c r="AE891" s="31">
        <v>0</v>
      </c>
      <c r="AF891" s="33">
        <v>2021</v>
      </c>
      <c r="AG891" s="33">
        <v>2021</v>
      </c>
      <c r="AH891" s="34">
        <v>2021</v>
      </c>
      <c r="AT891" s="20" t="e">
        <f>VLOOKUP(C891,AW:AX,2,FALSE)</f>
        <v>#N/A</v>
      </c>
      <c r="BZ891" s="64"/>
      <c r="CD891" s="20" t="e">
        <f t="shared" si="189"/>
        <v>#N/A</v>
      </c>
    </row>
    <row r="892" spans="1:82" ht="61.5" x14ac:dyDescent="0.85">
      <c r="A892" s="20">
        <v>1</v>
      </c>
      <c r="B892" s="60">
        <f>SUBTOTAL(103,$A$558:A892)</f>
        <v>308</v>
      </c>
      <c r="C892" s="24" t="s">
        <v>181</v>
      </c>
      <c r="D892" s="31">
        <f>E892+F892+G892+H892+I892+J892+L892+N892+P892+R892+T892+U892+V892+W892+X892+Y892+Z892+AA892+AB892+AC892+AD892+AE892</f>
        <v>2209514.9300000002</v>
      </c>
      <c r="E892" s="31">
        <v>0</v>
      </c>
      <c r="F892" s="31">
        <v>0</v>
      </c>
      <c r="G892" s="31">
        <v>0</v>
      </c>
      <c r="H892" s="31">
        <v>0</v>
      </c>
      <c r="I892" s="31">
        <v>0</v>
      </c>
      <c r="J892" s="31">
        <v>0</v>
      </c>
      <c r="K892" s="67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403.2</v>
      </c>
      <c r="R892" s="31">
        <v>2176862</v>
      </c>
      <c r="S892" s="31">
        <v>0</v>
      </c>
      <c r="T892" s="31">
        <v>0</v>
      </c>
      <c r="U892" s="31">
        <v>0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0</v>
      </c>
      <c r="AC892" s="31">
        <f>ROUND(R892*1.5%,2)</f>
        <v>32652.93</v>
      </c>
      <c r="AD892" s="31">
        <v>0</v>
      </c>
      <c r="AE892" s="31">
        <v>0</v>
      </c>
      <c r="AF892" s="33" t="s">
        <v>268</v>
      </c>
      <c r="AG892" s="33">
        <v>2021</v>
      </c>
      <c r="AH892" s="34">
        <v>2021</v>
      </c>
      <c r="AT892" s="20" t="e">
        <f>VLOOKUP(C892,AW:AX,2,FALSE)</f>
        <v>#N/A</v>
      </c>
      <c r="BZ892" s="64"/>
      <c r="CD892" s="20" t="e">
        <f t="shared" si="189"/>
        <v>#N/A</v>
      </c>
    </row>
    <row r="893" spans="1:82" ht="61.5" x14ac:dyDescent="0.85">
      <c r="A893" s="20">
        <v>1</v>
      </c>
      <c r="B893" s="60">
        <f>SUBTOTAL(103,$A$558:A893)</f>
        <v>309</v>
      </c>
      <c r="C893" s="24" t="s">
        <v>1568</v>
      </c>
      <c r="D893" s="31">
        <f>E893+F893+G893+H893+I893+J893+L893+N893+P893+R893+T893+U893+V893+W893+X893+Y893+Z893+AA893+AB893+AC893+AD893+AE893</f>
        <v>1838647.48</v>
      </c>
      <c r="E893" s="31">
        <v>0</v>
      </c>
      <c r="F893" s="31">
        <v>0</v>
      </c>
      <c r="G893" s="31">
        <v>0</v>
      </c>
      <c r="H893" s="31">
        <v>0</v>
      </c>
      <c r="I893" s="31">
        <v>0</v>
      </c>
      <c r="J893" s="31">
        <v>0</v>
      </c>
      <c r="K893" s="67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1815231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0</v>
      </c>
      <c r="AC893" s="31">
        <f>ROUND(U893*1.29%,2)</f>
        <v>23416.48</v>
      </c>
      <c r="AD893" s="31">
        <v>0</v>
      </c>
      <c r="AE893" s="31">
        <v>0</v>
      </c>
      <c r="AF893" s="33" t="s">
        <v>268</v>
      </c>
      <c r="AG893" s="33">
        <v>2021</v>
      </c>
      <c r="AH893" s="34">
        <v>2021</v>
      </c>
      <c r="BZ893" s="64"/>
      <c r="CD893" s="20" t="e">
        <f t="shared" si="189"/>
        <v>#N/A</v>
      </c>
    </row>
    <row r="894" spans="1:82" ht="61.5" x14ac:dyDescent="0.85">
      <c r="B894" s="24" t="s">
        <v>835</v>
      </c>
      <c r="C894" s="24"/>
      <c r="D894" s="199">
        <f t="shared" ref="D894:AE894" si="198">D895+D896</f>
        <v>5162888.5</v>
      </c>
      <c r="E894" s="31">
        <f t="shared" si="198"/>
        <v>0</v>
      </c>
      <c r="F894" s="31">
        <f t="shared" si="198"/>
        <v>0</v>
      </c>
      <c r="G894" s="31">
        <f t="shared" si="198"/>
        <v>0</v>
      </c>
      <c r="H894" s="31">
        <f t="shared" si="198"/>
        <v>0</v>
      </c>
      <c r="I894" s="31">
        <f t="shared" si="198"/>
        <v>0</v>
      </c>
      <c r="J894" s="31">
        <f t="shared" si="198"/>
        <v>0</v>
      </c>
      <c r="K894" s="67">
        <f t="shared" si="198"/>
        <v>0</v>
      </c>
      <c r="L894" s="31">
        <f t="shared" si="198"/>
        <v>0</v>
      </c>
      <c r="M894" s="31">
        <f t="shared" si="198"/>
        <v>0</v>
      </c>
      <c r="N894" s="31">
        <f t="shared" si="198"/>
        <v>0</v>
      </c>
      <c r="O894" s="31">
        <f t="shared" si="198"/>
        <v>0</v>
      </c>
      <c r="P894" s="31">
        <f t="shared" si="198"/>
        <v>0</v>
      </c>
      <c r="Q894" s="31">
        <f t="shared" si="198"/>
        <v>884.5</v>
      </c>
      <c r="R894" s="31">
        <f t="shared" si="198"/>
        <v>4944963.95</v>
      </c>
      <c r="S894" s="31">
        <f t="shared" si="198"/>
        <v>0</v>
      </c>
      <c r="T894" s="31">
        <f t="shared" si="198"/>
        <v>0</v>
      </c>
      <c r="U894" s="31">
        <f t="shared" si="198"/>
        <v>0</v>
      </c>
      <c r="V894" s="31">
        <f t="shared" si="198"/>
        <v>0</v>
      </c>
      <c r="W894" s="31">
        <f t="shared" si="198"/>
        <v>0</v>
      </c>
      <c r="X894" s="31">
        <f t="shared" si="198"/>
        <v>0</v>
      </c>
      <c r="Y894" s="31">
        <f t="shared" si="198"/>
        <v>0</v>
      </c>
      <c r="Z894" s="31">
        <f t="shared" si="198"/>
        <v>0</v>
      </c>
      <c r="AA894" s="31">
        <f t="shared" si="198"/>
        <v>0</v>
      </c>
      <c r="AB894" s="31">
        <f t="shared" si="198"/>
        <v>0</v>
      </c>
      <c r="AC894" s="31">
        <f t="shared" si="198"/>
        <v>74174.459999999992</v>
      </c>
      <c r="AD894" s="31">
        <f t="shared" si="198"/>
        <v>143750.09000000003</v>
      </c>
      <c r="AE894" s="31">
        <f t="shared" si="198"/>
        <v>0</v>
      </c>
      <c r="AF894" s="65" t="s">
        <v>751</v>
      </c>
      <c r="AG894" s="65" t="s">
        <v>751</v>
      </c>
      <c r="AH894" s="79" t="s">
        <v>751</v>
      </c>
      <c r="AT894" s="20" t="e">
        <f t="shared" ref="AT894:AT907" si="199">VLOOKUP(C894,AW:AX,2,FALSE)</f>
        <v>#N/A</v>
      </c>
      <c r="BZ894" s="64">
        <v>5279138.41</v>
      </c>
      <c r="CD894" s="20" t="e">
        <f t="shared" si="189"/>
        <v>#N/A</v>
      </c>
    </row>
    <row r="895" spans="1:82" ht="61.5" x14ac:dyDescent="0.85">
      <c r="A895" s="20">
        <v>1</v>
      </c>
      <c r="B895" s="60">
        <f>SUBTOTAL(103,$A$558:A895)</f>
        <v>310</v>
      </c>
      <c r="C895" s="24" t="s">
        <v>174</v>
      </c>
      <c r="D895" s="31">
        <f>E895+F895+G895+H895+I895+J895+L895+N895+P895+R895+T895+U895+V895+W895+X895+Y895+Z895+AA895+AB895+AC895+AD895+AE895</f>
        <v>2662806.4000000004</v>
      </c>
      <c r="E895" s="31">
        <v>0</v>
      </c>
      <c r="F895" s="31">
        <v>0</v>
      </c>
      <c r="G895" s="31">
        <v>0</v>
      </c>
      <c r="H895" s="31">
        <v>0</v>
      </c>
      <c r="I895" s="31">
        <v>0</v>
      </c>
      <c r="J895" s="31">
        <v>0</v>
      </c>
      <c r="K895" s="67">
        <v>0</v>
      </c>
      <c r="L895" s="31">
        <v>0</v>
      </c>
      <c r="M895" s="31">
        <v>0</v>
      </c>
      <c r="N895" s="31">
        <v>0</v>
      </c>
      <c r="O895" s="31">
        <v>0</v>
      </c>
      <c r="P895" s="31">
        <v>0</v>
      </c>
      <c r="Q895" s="31">
        <v>459</v>
      </c>
      <c r="R895" s="31">
        <v>2553228.2400000002</v>
      </c>
      <c r="S895" s="31">
        <v>0</v>
      </c>
      <c r="T895" s="31">
        <v>0</v>
      </c>
      <c r="U895" s="31">
        <v>0</v>
      </c>
      <c r="V895" s="31">
        <v>0</v>
      </c>
      <c r="W895" s="31">
        <v>0</v>
      </c>
      <c r="X895" s="31">
        <v>0</v>
      </c>
      <c r="Y895" s="31">
        <v>0</v>
      </c>
      <c r="Z895" s="31">
        <v>0</v>
      </c>
      <c r="AA895" s="31">
        <v>0</v>
      </c>
      <c r="AB895" s="31">
        <v>0</v>
      </c>
      <c r="AC895" s="31">
        <f>ROUND(R895*1.5%,2)</f>
        <v>38298.42</v>
      </c>
      <c r="AD895" s="31">
        <v>71279.740000000005</v>
      </c>
      <c r="AE895" s="31">
        <v>0</v>
      </c>
      <c r="AF895" s="33">
        <v>2021</v>
      </c>
      <c r="AG895" s="33">
        <v>2021</v>
      </c>
      <c r="AH895" s="34">
        <v>2021</v>
      </c>
      <c r="AT895" s="20" t="e">
        <f t="shared" si="199"/>
        <v>#N/A</v>
      </c>
      <c r="BZ895" s="64"/>
      <c r="CD895" s="20" t="e">
        <f t="shared" si="189"/>
        <v>#N/A</v>
      </c>
    </row>
    <row r="896" spans="1:82" ht="61.5" x14ac:dyDescent="0.85">
      <c r="A896" s="20">
        <v>1</v>
      </c>
      <c r="B896" s="60">
        <f>SUBTOTAL(103,$A$558:A896)</f>
        <v>311</v>
      </c>
      <c r="C896" s="24" t="s">
        <v>175</v>
      </c>
      <c r="D896" s="31">
        <f>E896+F896+G896+H896+I896+J896+L896+N896+P896+R896+T896+U896+V896+W896+X896+Y896+Z896+AA896+AB896+AC896+AD896+AE896</f>
        <v>2500082.1</v>
      </c>
      <c r="E896" s="31">
        <v>0</v>
      </c>
      <c r="F896" s="31">
        <v>0</v>
      </c>
      <c r="G896" s="31">
        <v>0</v>
      </c>
      <c r="H896" s="31">
        <v>0</v>
      </c>
      <c r="I896" s="31">
        <v>0</v>
      </c>
      <c r="J896" s="31">
        <v>0</v>
      </c>
      <c r="K896" s="67">
        <v>0</v>
      </c>
      <c r="L896" s="31">
        <v>0</v>
      </c>
      <c r="M896" s="31">
        <v>0</v>
      </c>
      <c r="N896" s="31">
        <v>0</v>
      </c>
      <c r="O896" s="31">
        <v>0</v>
      </c>
      <c r="P896" s="31">
        <v>0</v>
      </c>
      <c r="Q896" s="31">
        <v>425.5</v>
      </c>
      <c r="R896" s="31">
        <v>2391735.71</v>
      </c>
      <c r="S896" s="31">
        <v>0</v>
      </c>
      <c r="T896" s="31">
        <v>0</v>
      </c>
      <c r="U896" s="31">
        <v>0</v>
      </c>
      <c r="V896" s="31">
        <v>0</v>
      </c>
      <c r="W896" s="31">
        <v>0</v>
      </c>
      <c r="X896" s="31">
        <v>0</v>
      </c>
      <c r="Y896" s="31">
        <v>0</v>
      </c>
      <c r="Z896" s="31">
        <v>0</v>
      </c>
      <c r="AA896" s="31">
        <v>0</v>
      </c>
      <c r="AB896" s="31">
        <v>0</v>
      </c>
      <c r="AC896" s="31">
        <f>ROUND(R896*1.5%,2)</f>
        <v>35876.04</v>
      </c>
      <c r="AD896" s="31">
        <v>72470.350000000006</v>
      </c>
      <c r="AE896" s="31">
        <v>0</v>
      </c>
      <c r="AF896" s="33">
        <v>2021</v>
      </c>
      <c r="AG896" s="33">
        <v>2021</v>
      </c>
      <c r="AH896" s="34">
        <v>2021</v>
      </c>
      <c r="AT896" s="20" t="e">
        <f t="shared" si="199"/>
        <v>#N/A</v>
      </c>
      <c r="BZ896" s="64"/>
      <c r="CD896" s="20" t="e">
        <f t="shared" si="189"/>
        <v>#N/A</v>
      </c>
    </row>
    <row r="897" spans="1:82" ht="61.5" x14ac:dyDescent="0.85">
      <c r="B897" s="24" t="s">
        <v>871</v>
      </c>
      <c r="C897" s="24"/>
      <c r="D897" s="199">
        <f>SUM(D898:D899)</f>
        <v>6623229.2899999991</v>
      </c>
      <c r="E897" s="31">
        <f t="shared" ref="E897:AE897" si="200">SUM(E898:E899)</f>
        <v>0</v>
      </c>
      <c r="F897" s="31">
        <f t="shared" si="200"/>
        <v>0</v>
      </c>
      <c r="G897" s="31">
        <f t="shared" si="200"/>
        <v>0</v>
      </c>
      <c r="H897" s="31">
        <f t="shared" si="200"/>
        <v>0</v>
      </c>
      <c r="I897" s="31">
        <f t="shared" si="200"/>
        <v>0</v>
      </c>
      <c r="J897" s="31">
        <f t="shared" si="200"/>
        <v>0</v>
      </c>
      <c r="K897" s="67">
        <f t="shared" si="200"/>
        <v>0</v>
      </c>
      <c r="L897" s="31">
        <f t="shared" si="200"/>
        <v>0</v>
      </c>
      <c r="M897" s="31">
        <f t="shared" si="200"/>
        <v>816</v>
      </c>
      <c r="N897" s="31">
        <f t="shared" si="200"/>
        <v>3969415.09</v>
      </c>
      <c r="O897" s="31">
        <f t="shared" si="200"/>
        <v>0</v>
      </c>
      <c r="P897" s="31">
        <f t="shared" si="200"/>
        <v>0</v>
      </c>
      <c r="Q897" s="31">
        <f t="shared" si="200"/>
        <v>420</v>
      </c>
      <c r="R897" s="31">
        <f t="shared" si="200"/>
        <v>2339619.88</v>
      </c>
      <c r="S897" s="31">
        <f t="shared" si="200"/>
        <v>0</v>
      </c>
      <c r="T897" s="31">
        <f t="shared" si="200"/>
        <v>0</v>
      </c>
      <c r="U897" s="31">
        <f t="shared" si="200"/>
        <v>0</v>
      </c>
      <c r="V897" s="31">
        <f t="shared" si="200"/>
        <v>0</v>
      </c>
      <c r="W897" s="31">
        <f t="shared" si="200"/>
        <v>0</v>
      </c>
      <c r="X897" s="31">
        <f t="shared" si="200"/>
        <v>0</v>
      </c>
      <c r="Y897" s="31">
        <f t="shared" si="200"/>
        <v>0</v>
      </c>
      <c r="Z897" s="31">
        <f t="shared" si="200"/>
        <v>0</v>
      </c>
      <c r="AA897" s="31">
        <f t="shared" si="200"/>
        <v>0</v>
      </c>
      <c r="AB897" s="31">
        <f t="shared" si="200"/>
        <v>0</v>
      </c>
      <c r="AC897" s="31">
        <f t="shared" si="200"/>
        <v>94635.53</v>
      </c>
      <c r="AD897" s="31">
        <f t="shared" si="200"/>
        <v>219558.79</v>
      </c>
      <c r="AE897" s="31">
        <f t="shared" si="200"/>
        <v>0</v>
      </c>
      <c r="AF897" s="65" t="s">
        <v>751</v>
      </c>
      <c r="AG897" s="65" t="s">
        <v>751</v>
      </c>
      <c r="AH897" s="79" t="s">
        <v>751</v>
      </c>
      <c r="AT897" s="20" t="e">
        <f t="shared" si="199"/>
        <v>#N/A</v>
      </c>
      <c r="BZ897" s="64">
        <v>4178956.32</v>
      </c>
      <c r="CD897" s="20" t="e">
        <f t="shared" si="189"/>
        <v>#N/A</v>
      </c>
    </row>
    <row r="898" spans="1:82" ht="61.5" x14ac:dyDescent="0.85">
      <c r="A898" s="20">
        <v>1</v>
      </c>
      <c r="B898" s="60">
        <f>SUBTOTAL(103,$A$558:A898)</f>
        <v>312</v>
      </c>
      <c r="C898" s="24" t="s">
        <v>173</v>
      </c>
      <c r="D898" s="31">
        <f>E898+F898+G898+H898+I898+J898+L898+N898+P898+R898+T898+U898+V898+W898+X898+Y898+Z898+AA898+AB898+AC898+AD898+AE898</f>
        <v>4128275.26</v>
      </c>
      <c r="E898" s="31">
        <v>0</v>
      </c>
      <c r="F898" s="31">
        <v>0</v>
      </c>
      <c r="G898" s="31">
        <v>0</v>
      </c>
      <c r="H898" s="31">
        <v>0</v>
      </c>
      <c r="I898" s="31">
        <v>0</v>
      </c>
      <c r="J898" s="31">
        <v>0</v>
      </c>
      <c r="K898" s="67">
        <v>0</v>
      </c>
      <c r="L898" s="31">
        <v>0</v>
      </c>
      <c r="M898" s="31">
        <v>816</v>
      </c>
      <c r="N898" s="31">
        <v>3969415.09</v>
      </c>
      <c r="O898" s="31">
        <v>0</v>
      </c>
      <c r="P898" s="31">
        <v>0</v>
      </c>
      <c r="Q898" s="31">
        <v>0</v>
      </c>
      <c r="R898" s="31">
        <v>0</v>
      </c>
      <c r="S898" s="31">
        <v>0</v>
      </c>
      <c r="T898" s="31">
        <v>0</v>
      </c>
      <c r="U898" s="31">
        <v>0</v>
      </c>
      <c r="V898" s="31">
        <v>0</v>
      </c>
      <c r="W898" s="31">
        <v>0</v>
      </c>
      <c r="X898" s="31">
        <v>0</v>
      </c>
      <c r="Y898" s="31">
        <v>0</v>
      </c>
      <c r="Z898" s="31">
        <v>0</v>
      </c>
      <c r="AA898" s="31">
        <v>0</v>
      </c>
      <c r="AB898" s="31">
        <v>0</v>
      </c>
      <c r="AC898" s="31">
        <f>ROUND(N898*1.5%,2)</f>
        <v>59541.23</v>
      </c>
      <c r="AD898" s="31">
        <v>99318.94</v>
      </c>
      <c r="AE898" s="31">
        <v>0</v>
      </c>
      <c r="AF898" s="33">
        <v>2021</v>
      </c>
      <c r="AG898" s="33">
        <v>2021</v>
      </c>
      <c r="AH898" s="34">
        <v>2021</v>
      </c>
      <c r="AT898" s="20" t="e">
        <f t="shared" si="199"/>
        <v>#N/A</v>
      </c>
      <c r="BZ898" s="64"/>
      <c r="CD898" s="20" t="e">
        <f t="shared" si="189"/>
        <v>#N/A</v>
      </c>
    </row>
    <row r="899" spans="1:82" ht="61.5" x14ac:dyDescent="0.85">
      <c r="A899" s="20">
        <v>1</v>
      </c>
      <c r="B899" s="60">
        <f>SUBTOTAL(103,$A$558:A899)</f>
        <v>313</v>
      </c>
      <c r="C899" s="24" t="s">
        <v>1956</v>
      </c>
      <c r="D899" s="31">
        <f>E899+F899+G899+H899+I899+J899+L899+N899+P899+R899+T899+U899+V899+W899+X899+Y899+Z899+AA899+AB899+AC899+AD899+AE899</f>
        <v>2494954.0299999998</v>
      </c>
      <c r="E899" s="31">
        <v>0</v>
      </c>
      <c r="F899" s="31">
        <v>0</v>
      </c>
      <c r="G899" s="31">
        <v>0</v>
      </c>
      <c r="H899" s="31">
        <v>0</v>
      </c>
      <c r="I899" s="31">
        <v>0</v>
      </c>
      <c r="J899" s="31">
        <v>0</v>
      </c>
      <c r="K899" s="67">
        <v>0</v>
      </c>
      <c r="L899" s="31">
        <v>0</v>
      </c>
      <c r="M899" s="31">
        <v>0</v>
      </c>
      <c r="N899" s="31">
        <v>0</v>
      </c>
      <c r="O899" s="31">
        <v>0</v>
      </c>
      <c r="P899" s="31">
        <v>0</v>
      </c>
      <c r="Q899" s="31">
        <v>420</v>
      </c>
      <c r="R899" s="31">
        <v>2339619.88</v>
      </c>
      <c r="S899" s="31">
        <v>0</v>
      </c>
      <c r="T899" s="31">
        <v>0</v>
      </c>
      <c r="U899" s="31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  <c r="AA899" s="31">
        <v>0</v>
      </c>
      <c r="AB899" s="31">
        <v>0</v>
      </c>
      <c r="AC899" s="31">
        <f>ROUND(R899*1.5%,2)</f>
        <v>35094.300000000003</v>
      </c>
      <c r="AD899" s="31">
        <f>150000-29760.15</f>
        <v>120239.85</v>
      </c>
      <c r="AE899" s="31">
        <v>0</v>
      </c>
      <c r="AF899" s="33">
        <v>2021</v>
      </c>
      <c r="AG899" s="33">
        <v>2021</v>
      </c>
      <c r="AH899" s="34">
        <v>2021</v>
      </c>
      <c r="AT899" s="20" t="e">
        <f t="shared" si="199"/>
        <v>#N/A</v>
      </c>
      <c r="BZ899" s="64"/>
      <c r="CD899" s="20" t="e">
        <f t="shared" si="189"/>
        <v>#N/A</v>
      </c>
    </row>
    <row r="900" spans="1:82" ht="61.5" x14ac:dyDescent="0.85">
      <c r="B900" s="24" t="s">
        <v>837</v>
      </c>
      <c r="C900" s="24"/>
      <c r="D900" s="199">
        <f>SUM(D901:D902)</f>
        <v>3151634.72</v>
      </c>
      <c r="E900" s="31">
        <f t="shared" ref="E900:AE900" si="201">SUM(E901:E902)</f>
        <v>0</v>
      </c>
      <c r="F900" s="31">
        <f t="shared" si="201"/>
        <v>0</v>
      </c>
      <c r="G900" s="31">
        <f t="shared" si="201"/>
        <v>0</v>
      </c>
      <c r="H900" s="31">
        <f t="shared" si="201"/>
        <v>0</v>
      </c>
      <c r="I900" s="31">
        <f t="shared" si="201"/>
        <v>0</v>
      </c>
      <c r="J900" s="31">
        <f t="shared" si="201"/>
        <v>0</v>
      </c>
      <c r="K900" s="67">
        <f t="shared" si="201"/>
        <v>0</v>
      </c>
      <c r="L900" s="31">
        <f t="shared" si="201"/>
        <v>0</v>
      </c>
      <c r="M900" s="31">
        <f t="shared" si="201"/>
        <v>705.04</v>
      </c>
      <c r="N900" s="31">
        <f t="shared" si="201"/>
        <v>3043313.7199999997</v>
      </c>
      <c r="O900" s="31">
        <f t="shared" si="201"/>
        <v>0</v>
      </c>
      <c r="P900" s="31">
        <f t="shared" si="201"/>
        <v>0</v>
      </c>
      <c r="Q900" s="31">
        <f t="shared" si="201"/>
        <v>0</v>
      </c>
      <c r="R900" s="31">
        <f t="shared" si="201"/>
        <v>0</v>
      </c>
      <c r="S900" s="31">
        <f t="shared" si="201"/>
        <v>0</v>
      </c>
      <c r="T900" s="31">
        <f t="shared" si="201"/>
        <v>0</v>
      </c>
      <c r="U900" s="31">
        <f t="shared" si="201"/>
        <v>0</v>
      </c>
      <c r="V900" s="31">
        <f t="shared" si="201"/>
        <v>0</v>
      </c>
      <c r="W900" s="31">
        <f t="shared" si="201"/>
        <v>0</v>
      </c>
      <c r="X900" s="31">
        <f t="shared" si="201"/>
        <v>0</v>
      </c>
      <c r="Y900" s="31">
        <f t="shared" si="201"/>
        <v>0</v>
      </c>
      <c r="Z900" s="31">
        <f t="shared" si="201"/>
        <v>0</v>
      </c>
      <c r="AA900" s="31">
        <f t="shared" si="201"/>
        <v>0</v>
      </c>
      <c r="AB900" s="31">
        <f t="shared" si="201"/>
        <v>0</v>
      </c>
      <c r="AC900" s="31">
        <f t="shared" si="201"/>
        <v>45649.7</v>
      </c>
      <c r="AD900" s="31">
        <f t="shared" si="201"/>
        <v>62671.3</v>
      </c>
      <c r="AE900" s="31">
        <f t="shared" si="201"/>
        <v>0</v>
      </c>
      <c r="AF900" s="65" t="s">
        <v>751</v>
      </c>
      <c r="AG900" s="65" t="s">
        <v>751</v>
      </c>
      <c r="AH900" s="79" t="s">
        <v>751</v>
      </c>
      <c r="AT900" s="20" t="e">
        <f t="shared" si="199"/>
        <v>#N/A</v>
      </c>
      <c r="BZ900" s="64">
        <v>1889236.5</v>
      </c>
      <c r="CD900" s="20" t="e">
        <f t="shared" ref="CD900:CD931" si="202">VLOOKUP(C900,CE:CF,2,FALSE)</f>
        <v>#N/A</v>
      </c>
    </row>
    <row r="901" spans="1:82" s="154" customFormat="1" ht="123" x14ac:dyDescent="0.85">
      <c r="A901" s="154">
        <v>1</v>
      </c>
      <c r="B901" s="60">
        <f>SUBTOTAL(103,$A$558:A901)</f>
        <v>314</v>
      </c>
      <c r="C901" s="155" t="s">
        <v>172</v>
      </c>
      <c r="D901" s="116">
        <f>E901+F901+G901+H901+I901+J901+L901+N901+P901+R901+T901+U901+V901+W901+X901+Y901+Z901+AA901+AB901+AC901+AD901+AE901</f>
        <v>1831907.8</v>
      </c>
      <c r="E901" s="116">
        <v>0</v>
      </c>
      <c r="F901" s="116">
        <v>0</v>
      </c>
      <c r="G901" s="116">
        <v>0</v>
      </c>
      <c r="H901" s="116">
        <v>0</v>
      </c>
      <c r="I901" s="116">
        <v>0</v>
      </c>
      <c r="J901" s="116">
        <v>0</v>
      </c>
      <c r="K901" s="109">
        <v>0</v>
      </c>
      <c r="L901" s="116">
        <v>0</v>
      </c>
      <c r="M901" s="116">
        <v>368.9</v>
      </c>
      <c r="N901" s="116">
        <v>1743090.15</v>
      </c>
      <c r="O901" s="116">
        <v>0</v>
      </c>
      <c r="P901" s="116">
        <v>0</v>
      </c>
      <c r="Q901" s="116">
        <v>0</v>
      </c>
      <c r="R901" s="116">
        <v>0</v>
      </c>
      <c r="S901" s="116">
        <v>0</v>
      </c>
      <c r="T901" s="116">
        <v>0</v>
      </c>
      <c r="U901" s="116">
        <v>0</v>
      </c>
      <c r="V901" s="116">
        <v>0</v>
      </c>
      <c r="W901" s="116">
        <v>0</v>
      </c>
      <c r="X901" s="116">
        <v>0</v>
      </c>
      <c r="Y901" s="116">
        <v>0</v>
      </c>
      <c r="Z901" s="116">
        <v>0</v>
      </c>
      <c r="AA901" s="116">
        <v>0</v>
      </c>
      <c r="AB901" s="116">
        <v>0</v>
      </c>
      <c r="AC901" s="116">
        <f>ROUND(N901*1.5%,2)</f>
        <v>26146.35</v>
      </c>
      <c r="AD901" s="116">
        <v>62671.3</v>
      </c>
      <c r="AE901" s="116">
        <v>0</v>
      </c>
      <c r="AF901" s="156">
        <v>2021</v>
      </c>
      <c r="AG901" s="156">
        <v>2021</v>
      </c>
      <c r="AH901" s="157">
        <v>2021</v>
      </c>
      <c r="AT901" s="154" t="e">
        <f t="shared" si="199"/>
        <v>#N/A</v>
      </c>
      <c r="BZ901" s="158"/>
      <c r="CD901" s="154" t="e">
        <f t="shared" si="202"/>
        <v>#N/A</v>
      </c>
    </row>
    <row r="902" spans="1:82" s="154" customFormat="1" ht="123" x14ac:dyDescent="0.85">
      <c r="A902" s="154">
        <v>1</v>
      </c>
      <c r="B902" s="60">
        <f>SUBTOTAL(103,$A$558:A902)</f>
        <v>315</v>
      </c>
      <c r="C902" s="155" t="s">
        <v>167</v>
      </c>
      <c r="D902" s="116">
        <f>E902+F902+G902+H902+I902+J902+L902+N902+P902+R902+T902+U902+V902+W902+X902+Y902+Z902+AA902+AB902+AC902+AD902+AE902</f>
        <v>1319726.9200000002</v>
      </c>
      <c r="E902" s="116">
        <v>0</v>
      </c>
      <c r="F902" s="116">
        <v>0</v>
      </c>
      <c r="G902" s="116">
        <v>0</v>
      </c>
      <c r="H902" s="116">
        <v>0</v>
      </c>
      <c r="I902" s="116">
        <v>0</v>
      </c>
      <c r="J902" s="116">
        <v>0</v>
      </c>
      <c r="K902" s="109">
        <v>0</v>
      </c>
      <c r="L902" s="116">
        <v>0</v>
      </c>
      <c r="M902" s="116">
        <v>336.14</v>
      </c>
      <c r="N902" s="116">
        <f>1300000+223.57</f>
        <v>1300223.57</v>
      </c>
      <c r="O902" s="116">
        <v>0</v>
      </c>
      <c r="P902" s="116">
        <v>0</v>
      </c>
      <c r="Q902" s="116">
        <v>0</v>
      </c>
      <c r="R902" s="116">
        <v>0</v>
      </c>
      <c r="S902" s="116">
        <v>0</v>
      </c>
      <c r="T902" s="116">
        <v>0</v>
      </c>
      <c r="U902" s="116">
        <v>0</v>
      </c>
      <c r="V902" s="116">
        <v>0</v>
      </c>
      <c r="W902" s="116">
        <v>0</v>
      </c>
      <c r="X902" s="116">
        <v>0</v>
      </c>
      <c r="Y902" s="116">
        <v>0</v>
      </c>
      <c r="Z902" s="116">
        <v>0</v>
      </c>
      <c r="AA902" s="116">
        <v>0</v>
      </c>
      <c r="AB902" s="116">
        <v>0</v>
      </c>
      <c r="AC902" s="116">
        <f>ROUND(N902*1.5%,2)</f>
        <v>19503.349999999999</v>
      </c>
      <c r="AD902" s="116">
        <v>0</v>
      </c>
      <c r="AE902" s="116">
        <v>0</v>
      </c>
      <c r="AF902" s="156" t="s">
        <v>268</v>
      </c>
      <c r="AG902" s="156">
        <v>2021</v>
      </c>
      <c r="AH902" s="157">
        <v>2021</v>
      </c>
      <c r="AT902" s="154" t="e">
        <f t="shared" si="199"/>
        <v>#N/A</v>
      </c>
      <c r="BZ902" s="158"/>
      <c r="CD902" s="154">
        <f t="shared" si="202"/>
        <v>336.14</v>
      </c>
    </row>
    <row r="903" spans="1:82" ht="61.5" x14ac:dyDescent="0.85">
      <c r="B903" s="24" t="s">
        <v>838</v>
      </c>
      <c r="C903" s="198"/>
      <c r="D903" s="199">
        <f t="shared" ref="D903:AE903" si="203">SUM(D904:D911)</f>
        <v>25708169.950000003</v>
      </c>
      <c r="E903" s="31">
        <f t="shared" si="203"/>
        <v>0</v>
      </c>
      <c r="F903" s="31">
        <f t="shared" si="203"/>
        <v>0</v>
      </c>
      <c r="G903" s="31">
        <f t="shared" si="203"/>
        <v>0</v>
      </c>
      <c r="H903" s="31">
        <f t="shared" si="203"/>
        <v>0</v>
      </c>
      <c r="I903" s="31">
        <f t="shared" si="203"/>
        <v>0</v>
      </c>
      <c r="J903" s="31">
        <f t="shared" si="203"/>
        <v>0</v>
      </c>
      <c r="K903" s="67">
        <f t="shared" si="203"/>
        <v>0</v>
      </c>
      <c r="L903" s="31">
        <f t="shared" si="203"/>
        <v>0</v>
      </c>
      <c r="M903" s="31">
        <f t="shared" si="203"/>
        <v>4589.29</v>
      </c>
      <c r="N903" s="31">
        <f t="shared" si="203"/>
        <v>24944009.789999999</v>
      </c>
      <c r="O903" s="31">
        <f t="shared" si="203"/>
        <v>0</v>
      </c>
      <c r="P903" s="31">
        <f t="shared" si="203"/>
        <v>0</v>
      </c>
      <c r="Q903" s="31">
        <f t="shared" si="203"/>
        <v>0</v>
      </c>
      <c r="R903" s="31">
        <f t="shared" si="203"/>
        <v>0</v>
      </c>
      <c r="S903" s="31">
        <f t="shared" si="203"/>
        <v>0</v>
      </c>
      <c r="T903" s="31">
        <f t="shared" si="203"/>
        <v>0</v>
      </c>
      <c r="U903" s="31">
        <f t="shared" si="203"/>
        <v>0</v>
      </c>
      <c r="V903" s="31">
        <f t="shared" si="203"/>
        <v>0</v>
      </c>
      <c r="W903" s="31">
        <f t="shared" si="203"/>
        <v>0</v>
      </c>
      <c r="X903" s="31">
        <f t="shared" si="203"/>
        <v>0</v>
      </c>
      <c r="Y903" s="31">
        <f t="shared" si="203"/>
        <v>0</v>
      </c>
      <c r="Z903" s="31">
        <f t="shared" si="203"/>
        <v>0</v>
      </c>
      <c r="AA903" s="31">
        <f t="shared" si="203"/>
        <v>0</v>
      </c>
      <c r="AB903" s="31">
        <f t="shared" si="203"/>
        <v>0</v>
      </c>
      <c r="AC903" s="31">
        <f t="shared" si="203"/>
        <v>374160.16000000003</v>
      </c>
      <c r="AD903" s="31">
        <f t="shared" si="203"/>
        <v>390000</v>
      </c>
      <c r="AE903" s="31">
        <f t="shared" si="203"/>
        <v>0</v>
      </c>
      <c r="AF903" s="65" t="s">
        <v>751</v>
      </c>
      <c r="AG903" s="65" t="s">
        <v>751</v>
      </c>
      <c r="AH903" s="79" t="s">
        <v>751</v>
      </c>
      <c r="AT903" s="20" t="e">
        <f t="shared" si="199"/>
        <v>#N/A</v>
      </c>
      <c r="BZ903" s="64">
        <v>10103503.050000001</v>
      </c>
      <c r="CD903" s="20" t="e">
        <f t="shared" si="202"/>
        <v>#N/A</v>
      </c>
    </row>
    <row r="904" spans="1:82" ht="61.5" x14ac:dyDescent="0.85">
      <c r="A904" s="20">
        <v>1</v>
      </c>
      <c r="B904" s="60">
        <f>SUBTOTAL(103,$A$558:A904)</f>
        <v>316</v>
      </c>
      <c r="C904" s="24" t="s">
        <v>1676</v>
      </c>
      <c r="D904" s="31">
        <f t="shared" ref="D904:D911" si="204">E904+F904+G904+H904+I904+J904+L904+N904+P904+R904+T904+U904+V904+W904+X904+Y904+Z904+AA904+AB904+AC904+AD904+AE904</f>
        <v>2987360.15</v>
      </c>
      <c r="E904" s="31">
        <v>0</v>
      </c>
      <c r="F904" s="31">
        <v>0</v>
      </c>
      <c r="G904" s="31">
        <v>0</v>
      </c>
      <c r="H904" s="31">
        <v>0</v>
      </c>
      <c r="I904" s="31">
        <v>0</v>
      </c>
      <c r="J904" s="31">
        <v>0</v>
      </c>
      <c r="K904" s="67">
        <v>0</v>
      </c>
      <c r="L904" s="31">
        <v>0</v>
      </c>
      <c r="M904" s="31">
        <v>368.29</v>
      </c>
      <c r="N904" s="31">
        <f>2889837.04-122663.22+28254.9</f>
        <v>2795428.7199999997</v>
      </c>
      <c r="O904" s="31">
        <v>0</v>
      </c>
      <c r="P904" s="31">
        <v>0</v>
      </c>
      <c r="Q904" s="31">
        <v>0</v>
      </c>
      <c r="R904" s="31">
        <v>0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f t="shared" ref="AC904:AC911" si="205">ROUND(N904*1.5%,2)</f>
        <v>41931.43</v>
      </c>
      <c r="AD904" s="31">
        <v>150000</v>
      </c>
      <c r="AE904" s="31">
        <v>0</v>
      </c>
      <c r="AF904" s="33">
        <v>2021</v>
      </c>
      <c r="AG904" s="33">
        <v>2021</v>
      </c>
      <c r="AH904" s="34">
        <v>2021</v>
      </c>
      <c r="AT904" s="20" t="e">
        <f t="shared" si="199"/>
        <v>#N/A</v>
      </c>
      <c r="BZ904" s="64"/>
      <c r="CD904" s="20" t="e">
        <f t="shared" si="202"/>
        <v>#N/A</v>
      </c>
    </row>
    <row r="905" spans="1:82" ht="61.5" x14ac:dyDescent="0.85">
      <c r="A905" s="20">
        <v>1</v>
      </c>
      <c r="B905" s="60">
        <f>SUBTOTAL(103,$A$558:A905)</f>
        <v>317</v>
      </c>
      <c r="C905" s="24" t="s">
        <v>79</v>
      </c>
      <c r="D905" s="31">
        <f t="shared" si="204"/>
        <v>1670230.3</v>
      </c>
      <c r="E905" s="31">
        <v>0</v>
      </c>
      <c r="F905" s="31">
        <v>0</v>
      </c>
      <c r="G905" s="31">
        <v>0</v>
      </c>
      <c r="H905" s="31">
        <v>0</v>
      </c>
      <c r="I905" s="31">
        <v>0</v>
      </c>
      <c r="J905" s="31">
        <v>0</v>
      </c>
      <c r="K905" s="67">
        <v>0</v>
      </c>
      <c r="L905" s="31">
        <v>0</v>
      </c>
      <c r="M905" s="31">
        <v>430</v>
      </c>
      <c r="N905" s="31">
        <f>1600000+45547.09</f>
        <v>1645547.09</v>
      </c>
      <c r="O905" s="31">
        <v>0</v>
      </c>
      <c r="P905" s="31">
        <v>0</v>
      </c>
      <c r="Q905" s="31">
        <v>0</v>
      </c>
      <c r="R905" s="31">
        <v>0</v>
      </c>
      <c r="S905" s="31">
        <v>0</v>
      </c>
      <c r="T905" s="31">
        <v>0</v>
      </c>
      <c r="U905" s="31">
        <v>0</v>
      </c>
      <c r="V905" s="31">
        <v>0</v>
      </c>
      <c r="W905" s="31">
        <v>0</v>
      </c>
      <c r="X905" s="31">
        <v>0</v>
      </c>
      <c r="Y905" s="31">
        <v>0</v>
      </c>
      <c r="Z905" s="31">
        <v>0</v>
      </c>
      <c r="AA905" s="31">
        <v>0</v>
      </c>
      <c r="AB905" s="31">
        <v>0</v>
      </c>
      <c r="AC905" s="31">
        <f t="shared" si="205"/>
        <v>24683.21</v>
      </c>
      <c r="AD905" s="31">
        <v>0</v>
      </c>
      <c r="AE905" s="31">
        <v>0</v>
      </c>
      <c r="AF905" s="33" t="s">
        <v>268</v>
      </c>
      <c r="AG905" s="33">
        <v>2021</v>
      </c>
      <c r="AH905" s="34">
        <v>2021</v>
      </c>
      <c r="AT905" s="20" t="e">
        <f t="shared" si="199"/>
        <v>#N/A</v>
      </c>
      <c r="BZ905" s="64"/>
      <c r="CD905" s="20" t="e">
        <f t="shared" si="202"/>
        <v>#N/A</v>
      </c>
    </row>
    <row r="906" spans="1:82" ht="61.5" x14ac:dyDescent="0.85">
      <c r="A906" s="20">
        <v>1</v>
      </c>
      <c r="B906" s="60">
        <f>SUBTOTAL(103,$A$558:A906)</f>
        <v>318</v>
      </c>
      <c r="C906" s="24" t="s">
        <v>80</v>
      </c>
      <c r="D906" s="31">
        <f t="shared" si="204"/>
        <v>2548951.23</v>
      </c>
      <c r="E906" s="31">
        <v>0</v>
      </c>
      <c r="F906" s="31">
        <v>0</v>
      </c>
      <c r="G906" s="31">
        <v>0</v>
      </c>
      <c r="H906" s="31">
        <v>0</v>
      </c>
      <c r="I906" s="31">
        <v>0</v>
      </c>
      <c r="J906" s="31">
        <v>0</v>
      </c>
      <c r="K906" s="67">
        <v>0</v>
      </c>
      <c r="L906" s="31">
        <v>0</v>
      </c>
      <c r="M906" s="31">
        <v>430</v>
      </c>
      <c r="N906" s="31">
        <v>2511282</v>
      </c>
      <c r="O906" s="31">
        <v>0</v>
      </c>
      <c r="P906" s="31">
        <v>0</v>
      </c>
      <c r="Q906" s="31">
        <v>0</v>
      </c>
      <c r="R906" s="31">
        <v>0</v>
      </c>
      <c r="S906" s="31">
        <v>0</v>
      </c>
      <c r="T906" s="31">
        <v>0</v>
      </c>
      <c r="U906" s="31">
        <v>0</v>
      </c>
      <c r="V906" s="31">
        <v>0</v>
      </c>
      <c r="W906" s="31">
        <v>0</v>
      </c>
      <c r="X906" s="31">
        <v>0</v>
      </c>
      <c r="Y906" s="31">
        <v>0</v>
      </c>
      <c r="Z906" s="31">
        <v>0</v>
      </c>
      <c r="AA906" s="31">
        <v>0</v>
      </c>
      <c r="AB906" s="31">
        <v>0</v>
      </c>
      <c r="AC906" s="31">
        <f t="shared" si="205"/>
        <v>37669.230000000003</v>
      </c>
      <c r="AD906" s="31">
        <v>0</v>
      </c>
      <c r="AE906" s="31">
        <v>0</v>
      </c>
      <c r="AF906" s="33" t="s">
        <v>268</v>
      </c>
      <c r="AG906" s="33">
        <v>2021</v>
      </c>
      <c r="AH906" s="34">
        <v>2021</v>
      </c>
      <c r="AT906" s="20" t="e">
        <f t="shared" si="199"/>
        <v>#N/A</v>
      </c>
      <c r="BZ906" s="64"/>
      <c r="CD906" s="20" t="e">
        <f t="shared" si="202"/>
        <v>#N/A</v>
      </c>
    </row>
    <row r="907" spans="1:82" ht="61.5" x14ac:dyDescent="0.85">
      <c r="A907" s="20">
        <v>1</v>
      </c>
      <c r="B907" s="60">
        <f>SUBTOTAL(103,$A$558:A907)</f>
        <v>319</v>
      </c>
      <c r="C907" s="24" t="s">
        <v>78</v>
      </c>
      <c r="D907" s="31">
        <f t="shared" si="204"/>
        <v>2170941.85</v>
      </c>
      <c r="E907" s="31">
        <v>0</v>
      </c>
      <c r="F907" s="31">
        <v>0</v>
      </c>
      <c r="G907" s="31">
        <v>0</v>
      </c>
      <c r="H907" s="31">
        <v>0</v>
      </c>
      <c r="I907" s="31">
        <v>0</v>
      </c>
      <c r="J907" s="31">
        <v>0</v>
      </c>
      <c r="K907" s="67">
        <v>0</v>
      </c>
      <c r="L907" s="31">
        <v>0</v>
      </c>
      <c r="M907" s="31">
        <v>385</v>
      </c>
      <c r="N907" s="31">
        <v>2020632.36</v>
      </c>
      <c r="O907" s="31">
        <v>0</v>
      </c>
      <c r="P907" s="31">
        <v>0</v>
      </c>
      <c r="Q907" s="31">
        <v>0</v>
      </c>
      <c r="R907" s="31">
        <v>0</v>
      </c>
      <c r="S907" s="31">
        <v>0</v>
      </c>
      <c r="T907" s="31">
        <v>0</v>
      </c>
      <c r="U907" s="31">
        <v>0</v>
      </c>
      <c r="V907" s="31">
        <v>0</v>
      </c>
      <c r="W907" s="31">
        <v>0</v>
      </c>
      <c r="X907" s="31">
        <v>0</v>
      </c>
      <c r="Y907" s="31">
        <v>0</v>
      </c>
      <c r="Z907" s="31">
        <v>0</v>
      </c>
      <c r="AA907" s="31">
        <v>0</v>
      </c>
      <c r="AB907" s="31">
        <v>0</v>
      </c>
      <c r="AC907" s="31">
        <f t="shared" si="205"/>
        <v>30309.49</v>
      </c>
      <c r="AD907" s="31">
        <v>120000</v>
      </c>
      <c r="AE907" s="31">
        <v>0</v>
      </c>
      <c r="AF907" s="33">
        <v>2021</v>
      </c>
      <c r="AG907" s="33">
        <v>2021</v>
      </c>
      <c r="AH907" s="34">
        <v>2021</v>
      </c>
      <c r="AT907" s="20" t="e">
        <f t="shared" si="199"/>
        <v>#N/A</v>
      </c>
      <c r="BZ907" s="64"/>
      <c r="CD907" s="20" t="e">
        <f t="shared" si="202"/>
        <v>#N/A</v>
      </c>
    </row>
    <row r="908" spans="1:82" ht="61.5" x14ac:dyDescent="0.85">
      <c r="A908" s="20">
        <v>1</v>
      </c>
      <c r="B908" s="60">
        <f>SUBTOTAL(103,$A$558:A908)</f>
        <v>320</v>
      </c>
      <c r="C908" s="24" t="s">
        <v>1675</v>
      </c>
      <c r="D908" s="31">
        <f t="shared" si="204"/>
        <v>4891218.01</v>
      </c>
      <c r="E908" s="31">
        <v>0</v>
      </c>
      <c r="F908" s="31">
        <v>0</v>
      </c>
      <c r="G908" s="31">
        <v>0</v>
      </c>
      <c r="H908" s="31">
        <v>0</v>
      </c>
      <c r="I908" s="31">
        <v>0</v>
      </c>
      <c r="J908" s="31">
        <v>0</v>
      </c>
      <c r="K908" s="67">
        <v>0</v>
      </c>
      <c r="L908" s="31">
        <v>0</v>
      </c>
      <c r="M908" s="31">
        <v>950</v>
      </c>
      <c r="N908" s="31">
        <v>4818934</v>
      </c>
      <c r="O908" s="31">
        <v>0</v>
      </c>
      <c r="P908" s="31">
        <v>0</v>
      </c>
      <c r="Q908" s="31">
        <v>0</v>
      </c>
      <c r="R908" s="31">
        <v>0</v>
      </c>
      <c r="S908" s="31">
        <v>0</v>
      </c>
      <c r="T908" s="31">
        <v>0</v>
      </c>
      <c r="U908" s="31">
        <v>0</v>
      </c>
      <c r="V908" s="31">
        <v>0</v>
      </c>
      <c r="W908" s="31">
        <v>0</v>
      </c>
      <c r="X908" s="31">
        <v>0</v>
      </c>
      <c r="Y908" s="31">
        <v>0</v>
      </c>
      <c r="Z908" s="31">
        <v>0</v>
      </c>
      <c r="AA908" s="31">
        <v>0</v>
      </c>
      <c r="AB908" s="31">
        <v>0</v>
      </c>
      <c r="AC908" s="31">
        <f t="shared" si="205"/>
        <v>72284.009999999995</v>
      </c>
      <c r="AD908" s="31">
        <v>0</v>
      </c>
      <c r="AE908" s="31">
        <v>0</v>
      </c>
      <c r="AF908" s="33" t="s">
        <v>268</v>
      </c>
      <c r="AG908" s="33">
        <v>2021</v>
      </c>
      <c r="AH908" s="34">
        <v>2021</v>
      </c>
      <c r="BZ908" s="64"/>
      <c r="CD908" s="20" t="e">
        <f t="shared" si="202"/>
        <v>#N/A</v>
      </c>
    </row>
    <row r="909" spans="1:82" ht="61.5" x14ac:dyDescent="0.85">
      <c r="A909" s="20">
        <v>1</v>
      </c>
      <c r="B909" s="60">
        <f>SUBTOTAL(103,$A$558:A909)</f>
        <v>321</v>
      </c>
      <c r="C909" s="24" t="s">
        <v>76</v>
      </c>
      <c r="D909" s="31">
        <f t="shared" si="204"/>
        <v>5421953.8200000003</v>
      </c>
      <c r="E909" s="31">
        <v>0</v>
      </c>
      <c r="F909" s="31">
        <v>0</v>
      </c>
      <c r="G909" s="31">
        <v>0</v>
      </c>
      <c r="H909" s="31">
        <v>0</v>
      </c>
      <c r="I909" s="31">
        <v>0</v>
      </c>
      <c r="J909" s="31">
        <v>0</v>
      </c>
      <c r="K909" s="67">
        <v>0</v>
      </c>
      <c r="L909" s="31">
        <v>0</v>
      </c>
      <c r="M909" s="31">
        <v>954</v>
      </c>
      <c r="N909" s="31">
        <v>5341826.42</v>
      </c>
      <c r="O909" s="31">
        <v>0</v>
      </c>
      <c r="P909" s="31">
        <v>0</v>
      </c>
      <c r="Q909" s="31">
        <v>0</v>
      </c>
      <c r="R909" s="31">
        <v>0</v>
      </c>
      <c r="S909" s="31">
        <v>0</v>
      </c>
      <c r="T909" s="31">
        <v>0</v>
      </c>
      <c r="U909" s="31">
        <v>0</v>
      </c>
      <c r="V909" s="31">
        <v>0</v>
      </c>
      <c r="W909" s="31">
        <v>0</v>
      </c>
      <c r="X909" s="31">
        <v>0</v>
      </c>
      <c r="Y909" s="31">
        <v>0</v>
      </c>
      <c r="Z909" s="31">
        <v>0</v>
      </c>
      <c r="AA909" s="31">
        <v>0</v>
      </c>
      <c r="AB909" s="31">
        <v>0</v>
      </c>
      <c r="AC909" s="31">
        <f t="shared" si="205"/>
        <v>80127.399999999994</v>
      </c>
      <c r="AD909" s="31">
        <v>0</v>
      </c>
      <c r="AE909" s="31">
        <v>0</v>
      </c>
      <c r="AF909" s="33" t="s">
        <v>268</v>
      </c>
      <c r="AG909" s="33">
        <v>2021</v>
      </c>
      <c r="AH909" s="33">
        <v>2021</v>
      </c>
      <c r="AT909" s="20" t="e">
        <f>VLOOKUP(C909,AW:AX,2,FALSE)</f>
        <v>#N/A</v>
      </c>
      <c r="BZ909" s="64"/>
      <c r="CD909" s="20" t="e">
        <f t="shared" si="202"/>
        <v>#N/A</v>
      </c>
    </row>
    <row r="910" spans="1:82" ht="61.5" x14ac:dyDescent="0.85">
      <c r="A910" s="20">
        <v>1</v>
      </c>
      <c r="B910" s="60">
        <f>SUBTOTAL(103,$A$558:A910)</f>
        <v>322</v>
      </c>
      <c r="C910" s="24" t="s">
        <v>1232</v>
      </c>
      <c r="D910" s="31">
        <f t="shared" si="204"/>
        <v>2394114.0999999996</v>
      </c>
      <c r="E910" s="31">
        <v>0</v>
      </c>
      <c r="F910" s="31">
        <v>0</v>
      </c>
      <c r="G910" s="31">
        <v>0</v>
      </c>
      <c r="H910" s="31">
        <v>0</v>
      </c>
      <c r="I910" s="31">
        <v>0</v>
      </c>
      <c r="J910" s="31">
        <v>0</v>
      </c>
      <c r="K910" s="67">
        <v>0</v>
      </c>
      <c r="L910" s="31">
        <v>0</v>
      </c>
      <c r="M910" s="31">
        <v>600</v>
      </c>
      <c r="N910" s="31">
        <f>2297468.55+61264.55</f>
        <v>2358733.0999999996</v>
      </c>
      <c r="O910" s="31">
        <v>0</v>
      </c>
      <c r="P910" s="31">
        <v>0</v>
      </c>
      <c r="Q910" s="31">
        <v>0</v>
      </c>
      <c r="R910" s="31">
        <v>0</v>
      </c>
      <c r="S910" s="31">
        <v>0</v>
      </c>
      <c r="T910" s="31">
        <v>0</v>
      </c>
      <c r="U910" s="31">
        <v>0</v>
      </c>
      <c r="V910" s="31">
        <v>0</v>
      </c>
      <c r="W910" s="31">
        <v>0</v>
      </c>
      <c r="X910" s="31">
        <v>0</v>
      </c>
      <c r="Y910" s="31">
        <v>0</v>
      </c>
      <c r="Z910" s="31">
        <v>0</v>
      </c>
      <c r="AA910" s="31">
        <v>0</v>
      </c>
      <c r="AB910" s="31">
        <v>0</v>
      </c>
      <c r="AC910" s="31">
        <f t="shared" si="205"/>
        <v>35381</v>
      </c>
      <c r="AD910" s="31">
        <v>0</v>
      </c>
      <c r="AE910" s="31">
        <v>0</v>
      </c>
      <c r="AF910" s="33" t="s">
        <v>268</v>
      </c>
      <c r="AG910" s="33">
        <v>2021</v>
      </c>
      <c r="AH910" s="33">
        <v>2021</v>
      </c>
      <c r="BZ910" s="64"/>
      <c r="CD910" s="20">
        <f t="shared" si="202"/>
        <v>600</v>
      </c>
    </row>
    <row r="911" spans="1:82" ht="61.5" x14ac:dyDescent="0.85">
      <c r="A911" s="20">
        <v>1</v>
      </c>
      <c r="B911" s="60">
        <f>SUBTOTAL(103,$A$558:A911)</f>
        <v>323</v>
      </c>
      <c r="C911" s="24" t="s">
        <v>2276</v>
      </c>
      <c r="D911" s="31">
        <f t="shared" si="204"/>
        <v>3623400.49</v>
      </c>
      <c r="E911" s="35">
        <v>0</v>
      </c>
      <c r="F911" s="35">
        <v>0</v>
      </c>
      <c r="G911" s="35">
        <v>0</v>
      </c>
      <c r="H911" s="35">
        <v>0</v>
      </c>
      <c r="I911" s="35">
        <v>0</v>
      </c>
      <c r="J911" s="35">
        <v>0</v>
      </c>
      <c r="K911" s="67">
        <v>0</v>
      </c>
      <c r="L911" s="31">
        <v>0</v>
      </c>
      <c r="M911" s="31">
        <v>472</v>
      </c>
      <c r="N911" s="31">
        <v>3451626.1</v>
      </c>
      <c r="O911" s="31">
        <v>0</v>
      </c>
      <c r="P911" s="31">
        <v>0</v>
      </c>
      <c r="Q911" s="31">
        <v>0</v>
      </c>
      <c r="R911" s="31">
        <v>0</v>
      </c>
      <c r="S911" s="31">
        <v>0</v>
      </c>
      <c r="T911" s="31">
        <v>0</v>
      </c>
      <c r="U911" s="31">
        <v>0</v>
      </c>
      <c r="V911" s="31">
        <v>0</v>
      </c>
      <c r="W911" s="31">
        <v>0</v>
      </c>
      <c r="X911" s="31">
        <v>0</v>
      </c>
      <c r="Y911" s="31">
        <v>0</v>
      </c>
      <c r="Z911" s="31">
        <v>0</v>
      </c>
      <c r="AA911" s="31">
        <v>0</v>
      </c>
      <c r="AB911" s="31">
        <v>0</v>
      </c>
      <c r="AC911" s="31">
        <f t="shared" si="205"/>
        <v>51774.39</v>
      </c>
      <c r="AD911" s="31">
        <v>120000</v>
      </c>
      <c r="AE911" s="31">
        <v>0</v>
      </c>
      <c r="AF911" s="33">
        <v>2021</v>
      </c>
      <c r="AG911" s="33">
        <v>2021</v>
      </c>
      <c r="AH911" s="34">
        <v>2021</v>
      </c>
      <c r="AT911" s="20" t="e">
        <f t="shared" ref="AT911:AT919" si="206">VLOOKUP(C911,AW:AX,2,FALSE)</f>
        <v>#N/A</v>
      </c>
      <c r="BZ911" s="64"/>
      <c r="CD911" s="20" t="e">
        <f t="shared" si="202"/>
        <v>#N/A</v>
      </c>
    </row>
    <row r="912" spans="1:82" ht="61.5" x14ac:dyDescent="0.85">
      <c r="B912" s="24" t="s">
        <v>872</v>
      </c>
      <c r="C912" s="24"/>
      <c r="D912" s="199">
        <f>SUM(D913:D915)</f>
        <v>2999636.55</v>
      </c>
      <c r="E912" s="31">
        <f t="shared" ref="E912:AE912" si="207">SUM(E913:E915)</f>
        <v>0</v>
      </c>
      <c r="F912" s="31">
        <f t="shared" si="207"/>
        <v>0</v>
      </c>
      <c r="G912" s="31">
        <f t="shared" si="207"/>
        <v>0</v>
      </c>
      <c r="H912" s="31">
        <f t="shared" si="207"/>
        <v>220000</v>
      </c>
      <c r="I912" s="31">
        <f t="shared" si="207"/>
        <v>0</v>
      </c>
      <c r="J912" s="31">
        <f t="shared" si="207"/>
        <v>0</v>
      </c>
      <c r="K912" s="67">
        <f t="shared" si="207"/>
        <v>0</v>
      </c>
      <c r="L912" s="31">
        <f t="shared" si="207"/>
        <v>0</v>
      </c>
      <c r="M912" s="31">
        <f t="shared" si="207"/>
        <v>467</v>
      </c>
      <c r="N912" s="31">
        <f t="shared" si="207"/>
        <v>2636784.7800000003</v>
      </c>
      <c r="O912" s="31">
        <f t="shared" si="207"/>
        <v>0</v>
      </c>
      <c r="P912" s="31">
        <f t="shared" si="207"/>
        <v>0</v>
      </c>
      <c r="Q912" s="31">
        <f t="shared" si="207"/>
        <v>0</v>
      </c>
      <c r="R912" s="31">
        <f t="shared" si="207"/>
        <v>0</v>
      </c>
      <c r="S912" s="31">
        <f t="shared" si="207"/>
        <v>0</v>
      </c>
      <c r="T912" s="31">
        <f t="shared" si="207"/>
        <v>0</v>
      </c>
      <c r="U912" s="31">
        <f t="shared" si="207"/>
        <v>0</v>
      </c>
      <c r="V912" s="31">
        <f t="shared" si="207"/>
        <v>0</v>
      </c>
      <c r="W912" s="31">
        <f t="shared" si="207"/>
        <v>0</v>
      </c>
      <c r="X912" s="31">
        <f t="shared" si="207"/>
        <v>0</v>
      </c>
      <c r="Y912" s="31">
        <f t="shared" si="207"/>
        <v>0</v>
      </c>
      <c r="Z912" s="31">
        <f t="shared" si="207"/>
        <v>0</v>
      </c>
      <c r="AA912" s="31">
        <f t="shared" si="207"/>
        <v>0</v>
      </c>
      <c r="AB912" s="31">
        <f t="shared" si="207"/>
        <v>0</v>
      </c>
      <c r="AC912" s="31">
        <f t="shared" si="207"/>
        <v>42851.770000000004</v>
      </c>
      <c r="AD912" s="31">
        <f t="shared" si="207"/>
        <v>100000</v>
      </c>
      <c r="AE912" s="31">
        <f t="shared" si="207"/>
        <v>0</v>
      </c>
      <c r="AF912" s="65" t="s">
        <v>751</v>
      </c>
      <c r="AG912" s="65" t="s">
        <v>751</v>
      </c>
      <c r="AH912" s="79" t="s">
        <v>751</v>
      </c>
      <c r="AT912" s="20" t="e">
        <f t="shared" si="206"/>
        <v>#N/A</v>
      </c>
      <c r="BZ912" s="64">
        <v>2766932.97</v>
      </c>
      <c r="CD912" s="20" t="e">
        <f t="shared" si="202"/>
        <v>#N/A</v>
      </c>
    </row>
    <row r="913" spans="1:82" ht="61.5" x14ac:dyDescent="0.85">
      <c r="A913" s="20">
        <v>1</v>
      </c>
      <c r="B913" s="60">
        <f>SUBTOTAL(103,$A$558:A913)</f>
        <v>324</v>
      </c>
      <c r="C913" s="24" t="s">
        <v>81</v>
      </c>
      <c r="D913" s="31">
        <f>E913+F913+G913+H913+I913+J913+L913+N913+P913+R913+T913+U913+V913+W913+X913+Y913+Z913+AA913+AB913+AC913+AD913+AE913</f>
        <v>1774373.57</v>
      </c>
      <c r="E913" s="31">
        <v>0</v>
      </c>
      <c r="F913" s="31">
        <v>0</v>
      </c>
      <c r="G913" s="31">
        <v>0</v>
      </c>
      <c r="H913" s="31">
        <v>0</v>
      </c>
      <c r="I913" s="31">
        <v>0</v>
      </c>
      <c r="J913" s="31">
        <v>0</v>
      </c>
      <c r="K913" s="67">
        <v>0</v>
      </c>
      <c r="L913" s="31">
        <v>0</v>
      </c>
      <c r="M913" s="31">
        <v>307</v>
      </c>
      <c r="N913" s="31">
        <f>1673839.77+62376.79+11934.74</f>
        <v>1748151.3</v>
      </c>
      <c r="O913" s="31">
        <v>0</v>
      </c>
      <c r="P913" s="31">
        <v>0</v>
      </c>
      <c r="Q913" s="31">
        <v>0</v>
      </c>
      <c r="R913" s="31">
        <v>0</v>
      </c>
      <c r="S913" s="31">
        <v>0</v>
      </c>
      <c r="T913" s="31">
        <v>0</v>
      </c>
      <c r="U913" s="31">
        <v>0</v>
      </c>
      <c r="V913" s="31">
        <v>0</v>
      </c>
      <c r="W913" s="31">
        <v>0</v>
      </c>
      <c r="X913" s="31">
        <v>0</v>
      </c>
      <c r="Y913" s="31">
        <v>0</v>
      </c>
      <c r="Z913" s="31">
        <v>0</v>
      </c>
      <c r="AA913" s="31">
        <v>0</v>
      </c>
      <c r="AB913" s="31">
        <v>0</v>
      </c>
      <c r="AC913" s="31">
        <f>ROUND(N913*1.5%,2)</f>
        <v>26222.27</v>
      </c>
      <c r="AD913" s="31">
        <v>0</v>
      </c>
      <c r="AE913" s="31">
        <v>0</v>
      </c>
      <c r="AF913" s="33" t="s">
        <v>268</v>
      </c>
      <c r="AG913" s="33">
        <v>2021</v>
      </c>
      <c r="AH913" s="34">
        <v>2021</v>
      </c>
      <c r="AT913" s="20" t="e">
        <f t="shared" si="206"/>
        <v>#N/A</v>
      </c>
      <c r="BZ913" s="64"/>
      <c r="CD913" s="20" t="e">
        <f t="shared" si="202"/>
        <v>#N/A</v>
      </c>
    </row>
    <row r="914" spans="1:82" ht="61.5" x14ac:dyDescent="0.85">
      <c r="A914" s="20">
        <v>1</v>
      </c>
      <c r="B914" s="60">
        <f>SUBTOTAL(103,$A$558:A914)</f>
        <v>325</v>
      </c>
      <c r="C914" s="24" t="s">
        <v>82</v>
      </c>
      <c r="D914" s="31">
        <f>E914+F914+G914+H914+I914+J914+L914+N914+P914+R914+T914+U914+V914+W914+X914+Y914+Z914+AA914+AB914+AC914+AD914+AE914</f>
        <v>901962.98</v>
      </c>
      <c r="E914" s="31">
        <v>0</v>
      </c>
      <c r="F914" s="31">
        <v>0</v>
      </c>
      <c r="G914" s="31">
        <v>0</v>
      </c>
      <c r="H914" s="31">
        <v>0</v>
      </c>
      <c r="I914" s="31">
        <v>0</v>
      </c>
      <c r="J914" s="31">
        <v>0</v>
      </c>
      <c r="K914" s="67">
        <v>0</v>
      </c>
      <c r="L914" s="31">
        <v>0</v>
      </c>
      <c r="M914" s="31">
        <v>160</v>
      </c>
      <c r="N914" s="31">
        <f>815749.36+72884.12</f>
        <v>888633.48</v>
      </c>
      <c r="O914" s="31">
        <v>0</v>
      </c>
      <c r="P914" s="31">
        <v>0</v>
      </c>
      <c r="Q914" s="31">
        <v>0</v>
      </c>
      <c r="R914" s="31">
        <v>0</v>
      </c>
      <c r="S914" s="31">
        <v>0</v>
      </c>
      <c r="T914" s="31">
        <v>0</v>
      </c>
      <c r="U914" s="31">
        <v>0</v>
      </c>
      <c r="V914" s="31">
        <v>0</v>
      </c>
      <c r="W914" s="31">
        <v>0</v>
      </c>
      <c r="X914" s="31">
        <v>0</v>
      </c>
      <c r="Y914" s="31">
        <v>0</v>
      </c>
      <c r="Z914" s="31">
        <v>0</v>
      </c>
      <c r="AA914" s="31">
        <v>0</v>
      </c>
      <c r="AB914" s="31">
        <v>0</v>
      </c>
      <c r="AC914" s="31">
        <f>ROUND(N914*1.5%,2)</f>
        <v>13329.5</v>
      </c>
      <c r="AD914" s="31">
        <v>0</v>
      </c>
      <c r="AE914" s="31">
        <v>0</v>
      </c>
      <c r="AF914" s="33" t="s">
        <v>268</v>
      </c>
      <c r="AG914" s="33">
        <v>2021</v>
      </c>
      <c r="AH914" s="34">
        <v>2021</v>
      </c>
      <c r="AT914" s="20" t="e">
        <f t="shared" si="206"/>
        <v>#N/A</v>
      </c>
      <c r="BZ914" s="64"/>
      <c r="CD914" s="20" t="e">
        <f t="shared" si="202"/>
        <v>#N/A</v>
      </c>
    </row>
    <row r="915" spans="1:82" ht="61.5" x14ac:dyDescent="0.85">
      <c r="A915" s="20">
        <v>1</v>
      </c>
      <c r="B915" s="60">
        <f>SUBTOTAL(103,$A$558:A915)</f>
        <v>326</v>
      </c>
      <c r="C915" s="24" t="s">
        <v>2278</v>
      </c>
      <c r="D915" s="31">
        <f>E915+F915+G915+H915+I915+J915+L915+N915+P915+R915+T915+U915+V915+W915+X915+Y915+Z915+AA915+AB915+AC915+AD915+AE915</f>
        <v>323300</v>
      </c>
      <c r="E915" s="35">
        <v>0</v>
      </c>
      <c r="F915" s="35">
        <v>0</v>
      </c>
      <c r="G915" s="35">
        <v>0</v>
      </c>
      <c r="H915" s="35">
        <v>220000</v>
      </c>
      <c r="I915" s="35">
        <v>0</v>
      </c>
      <c r="J915" s="35">
        <v>0</v>
      </c>
      <c r="K915" s="67">
        <v>0</v>
      </c>
      <c r="L915" s="31">
        <v>0</v>
      </c>
      <c r="M915" s="31">
        <v>0</v>
      </c>
      <c r="N915" s="31">
        <v>0</v>
      </c>
      <c r="O915" s="31">
        <v>0</v>
      </c>
      <c r="P915" s="31">
        <v>0</v>
      </c>
      <c r="Q915" s="31">
        <v>0</v>
      </c>
      <c r="R915" s="31">
        <v>0</v>
      </c>
      <c r="S915" s="31">
        <v>0</v>
      </c>
      <c r="T915" s="31">
        <v>0</v>
      </c>
      <c r="U915" s="31">
        <v>0</v>
      </c>
      <c r="V915" s="31">
        <v>0</v>
      </c>
      <c r="W915" s="31">
        <v>0</v>
      </c>
      <c r="X915" s="31">
        <v>0</v>
      </c>
      <c r="Y915" s="31">
        <v>0</v>
      </c>
      <c r="Z915" s="31">
        <v>0</v>
      </c>
      <c r="AA915" s="31">
        <v>0</v>
      </c>
      <c r="AB915" s="31">
        <v>0</v>
      </c>
      <c r="AC915" s="31">
        <f>ROUND(H915*1.5%,2)</f>
        <v>3300</v>
      </c>
      <c r="AD915" s="31">
        <v>100000</v>
      </c>
      <c r="AE915" s="31">
        <v>0</v>
      </c>
      <c r="AF915" s="33">
        <v>2021</v>
      </c>
      <c r="AG915" s="33">
        <v>2021</v>
      </c>
      <c r="AH915" s="34">
        <v>2021</v>
      </c>
      <c r="AT915" s="20" t="e">
        <f t="shared" si="206"/>
        <v>#N/A</v>
      </c>
      <c r="BZ915" s="64"/>
      <c r="CD915" s="20" t="e">
        <f t="shared" si="202"/>
        <v>#N/A</v>
      </c>
    </row>
    <row r="916" spans="1:82" ht="61.5" x14ac:dyDescent="0.85">
      <c r="B916" s="24" t="s">
        <v>873</v>
      </c>
      <c r="C916" s="24"/>
      <c r="D916" s="199">
        <f t="shared" ref="D916:AE916" si="208">D917</f>
        <v>3037413.17</v>
      </c>
      <c r="E916" s="31">
        <f t="shared" si="208"/>
        <v>0</v>
      </c>
      <c r="F916" s="31">
        <f t="shared" si="208"/>
        <v>0</v>
      </c>
      <c r="G916" s="31">
        <f t="shared" si="208"/>
        <v>0</v>
      </c>
      <c r="H916" s="31">
        <f t="shared" si="208"/>
        <v>0</v>
      </c>
      <c r="I916" s="31">
        <f t="shared" si="208"/>
        <v>0</v>
      </c>
      <c r="J916" s="31">
        <f t="shared" si="208"/>
        <v>0</v>
      </c>
      <c r="K916" s="67">
        <f t="shared" si="208"/>
        <v>0</v>
      </c>
      <c r="L916" s="31">
        <f t="shared" si="208"/>
        <v>0</v>
      </c>
      <c r="M916" s="31">
        <f t="shared" si="208"/>
        <v>399.43</v>
      </c>
      <c r="N916" s="31">
        <f t="shared" si="208"/>
        <v>2909535</v>
      </c>
      <c r="O916" s="31">
        <f t="shared" si="208"/>
        <v>0</v>
      </c>
      <c r="P916" s="31">
        <f t="shared" si="208"/>
        <v>0</v>
      </c>
      <c r="Q916" s="31">
        <f t="shared" si="208"/>
        <v>0</v>
      </c>
      <c r="R916" s="31">
        <f t="shared" si="208"/>
        <v>0</v>
      </c>
      <c r="S916" s="31">
        <f t="shared" si="208"/>
        <v>0</v>
      </c>
      <c r="T916" s="31">
        <f t="shared" si="208"/>
        <v>0</v>
      </c>
      <c r="U916" s="31">
        <f t="shared" si="208"/>
        <v>0</v>
      </c>
      <c r="V916" s="31">
        <f t="shared" si="208"/>
        <v>0</v>
      </c>
      <c r="W916" s="31">
        <f t="shared" si="208"/>
        <v>0</v>
      </c>
      <c r="X916" s="31">
        <f t="shared" si="208"/>
        <v>0</v>
      </c>
      <c r="Y916" s="31">
        <f t="shared" si="208"/>
        <v>0</v>
      </c>
      <c r="Z916" s="31">
        <f t="shared" si="208"/>
        <v>0</v>
      </c>
      <c r="AA916" s="31">
        <f t="shared" si="208"/>
        <v>0</v>
      </c>
      <c r="AB916" s="31">
        <f t="shared" si="208"/>
        <v>0</v>
      </c>
      <c r="AC916" s="31">
        <f t="shared" si="208"/>
        <v>43643.03</v>
      </c>
      <c r="AD916" s="31">
        <f t="shared" si="208"/>
        <v>84235.14</v>
      </c>
      <c r="AE916" s="31">
        <f t="shared" si="208"/>
        <v>0</v>
      </c>
      <c r="AF916" s="65" t="s">
        <v>751</v>
      </c>
      <c r="AG916" s="65" t="s">
        <v>751</v>
      </c>
      <c r="AH916" s="79" t="s">
        <v>751</v>
      </c>
      <c r="AT916" s="20" t="e">
        <f t="shared" si="206"/>
        <v>#N/A</v>
      </c>
      <c r="BZ916" s="64">
        <v>2568179.12</v>
      </c>
      <c r="CD916" s="20" t="e">
        <f t="shared" si="202"/>
        <v>#N/A</v>
      </c>
    </row>
    <row r="917" spans="1:82" ht="61.5" x14ac:dyDescent="0.85">
      <c r="A917" s="20">
        <v>1</v>
      </c>
      <c r="B917" s="60">
        <f>SUBTOTAL(103,$A$558:A917)</f>
        <v>327</v>
      </c>
      <c r="C917" s="24" t="s">
        <v>83</v>
      </c>
      <c r="D917" s="31">
        <f>E917+F917+G917+H917+I917+J917+L917+N917+P917+R917+T917+U917+V917+W917+X917+Y917+Z917+AA917+AB917+AC917+AD917+AE917</f>
        <v>3037413.17</v>
      </c>
      <c r="E917" s="31">
        <v>0</v>
      </c>
      <c r="F917" s="31">
        <v>0</v>
      </c>
      <c r="G917" s="31">
        <v>0</v>
      </c>
      <c r="H917" s="31">
        <v>0</v>
      </c>
      <c r="I917" s="31">
        <v>0</v>
      </c>
      <c r="J917" s="31">
        <v>0</v>
      </c>
      <c r="K917" s="67">
        <v>0</v>
      </c>
      <c r="L917" s="31">
        <v>0</v>
      </c>
      <c r="M917" s="31">
        <v>399.43</v>
      </c>
      <c r="N917" s="31">
        <v>2909535</v>
      </c>
      <c r="O917" s="31">
        <v>0</v>
      </c>
      <c r="P917" s="31">
        <v>0</v>
      </c>
      <c r="Q917" s="31">
        <v>0</v>
      </c>
      <c r="R917" s="31">
        <v>0</v>
      </c>
      <c r="S917" s="31">
        <v>0</v>
      </c>
      <c r="T917" s="31">
        <v>0</v>
      </c>
      <c r="U917" s="31">
        <v>0</v>
      </c>
      <c r="V917" s="31">
        <v>0</v>
      </c>
      <c r="W917" s="31">
        <v>0</v>
      </c>
      <c r="X917" s="31">
        <v>0</v>
      </c>
      <c r="Y917" s="31">
        <v>0</v>
      </c>
      <c r="Z917" s="31">
        <v>0</v>
      </c>
      <c r="AA917" s="31">
        <v>0</v>
      </c>
      <c r="AB917" s="31">
        <v>0</v>
      </c>
      <c r="AC917" s="31">
        <f>ROUND(N917*1.5%,2)</f>
        <v>43643.03</v>
      </c>
      <c r="AD917" s="31">
        <v>84235.14</v>
      </c>
      <c r="AE917" s="31">
        <v>0</v>
      </c>
      <c r="AF917" s="33">
        <v>2021</v>
      </c>
      <c r="AG917" s="33">
        <v>2021</v>
      </c>
      <c r="AH917" s="34">
        <v>2021</v>
      </c>
      <c r="AT917" s="20" t="e">
        <f t="shared" si="206"/>
        <v>#N/A</v>
      </c>
      <c r="BZ917" s="64"/>
      <c r="CD917" s="20" t="e">
        <f t="shared" si="202"/>
        <v>#N/A</v>
      </c>
    </row>
    <row r="918" spans="1:82" ht="61.5" x14ac:dyDescent="0.85">
      <c r="B918" s="24" t="s">
        <v>840</v>
      </c>
      <c r="C918" s="198"/>
      <c r="D918" s="199">
        <f t="shared" ref="D918:AE918" si="209">SUM(D919:D922)</f>
        <v>12893957.77</v>
      </c>
      <c r="E918" s="31">
        <f t="shared" si="209"/>
        <v>0</v>
      </c>
      <c r="F918" s="31">
        <f t="shared" si="209"/>
        <v>0</v>
      </c>
      <c r="G918" s="31">
        <f t="shared" si="209"/>
        <v>0</v>
      </c>
      <c r="H918" s="31">
        <f t="shared" si="209"/>
        <v>0</v>
      </c>
      <c r="I918" s="31">
        <f t="shared" si="209"/>
        <v>0</v>
      </c>
      <c r="J918" s="31">
        <f t="shared" si="209"/>
        <v>0</v>
      </c>
      <c r="K918" s="67">
        <f t="shared" si="209"/>
        <v>0</v>
      </c>
      <c r="L918" s="31">
        <f t="shared" si="209"/>
        <v>0</v>
      </c>
      <c r="M918" s="31">
        <f t="shared" si="209"/>
        <v>1691</v>
      </c>
      <c r="N918" s="31">
        <f t="shared" si="209"/>
        <v>7677886.8399999999</v>
      </c>
      <c r="O918" s="31">
        <f t="shared" si="209"/>
        <v>0</v>
      </c>
      <c r="P918" s="31">
        <f t="shared" si="209"/>
        <v>0</v>
      </c>
      <c r="Q918" s="31">
        <f t="shared" si="209"/>
        <v>0</v>
      </c>
      <c r="R918" s="31">
        <f t="shared" si="209"/>
        <v>0</v>
      </c>
      <c r="S918" s="31">
        <f t="shared" si="209"/>
        <v>0</v>
      </c>
      <c r="T918" s="31">
        <f t="shared" si="209"/>
        <v>0</v>
      </c>
      <c r="U918" s="31">
        <f t="shared" si="209"/>
        <v>4730250.49</v>
      </c>
      <c r="V918" s="31">
        <f t="shared" si="209"/>
        <v>0</v>
      </c>
      <c r="W918" s="31">
        <f t="shared" si="209"/>
        <v>0</v>
      </c>
      <c r="X918" s="31">
        <f t="shared" si="209"/>
        <v>0</v>
      </c>
      <c r="Y918" s="31">
        <f t="shared" si="209"/>
        <v>0</v>
      </c>
      <c r="Z918" s="31">
        <f t="shared" si="209"/>
        <v>0</v>
      </c>
      <c r="AA918" s="31">
        <f t="shared" si="209"/>
        <v>0</v>
      </c>
      <c r="AB918" s="31">
        <f t="shared" si="209"/>
        <v>0</v>
      </c>
      <c r="AC918" s="31">
        <f t="shared" si="209"/>
        <v>186122.08</v>
      </c>
      <c r="AD918" s="31">
        <f t="shared" si="209"/>
        <v>179698.36</v>
      </c>
      <c r="AE918" s="31">
        <f t="shared" si="209"/>
        <v>120000</v>
      </c>
      <c r="AF918" s="65" t="s">
        <v>751</v>
      </c>
      <c r="AG918" s="65" t="s">
        <v>751</v>
      </c>
      <c r="AH918" s="79" t="s">
        <v>751</v>
      </c>
      <c r="AT918" s="20" t="e">
        <f t="shared" si="206"/>
        <v>#N/A</v>
      </c>
      <c r="BZ918" s="64">
        <v>2981647.8</v>
      </c>
      <c r="CD918" s="20" t="e">
        <f t="shared" si="202"/>
        <v>#N/A</v>
      </c>
    </row>
    <row r="919" spans="1:82" ht="61.5" x14ac:dyDescent="0.85">
      <c r="A919" s="20">
        <v>1</v>
      </c>
      <c r="B919" s="60">
        <f>SUBTOTAL(103,$A$558:A919)</f>
        <v>328</v>
      </c>
      <c r="C919" s="24" t="s">
        <v>106</v>
      </c>
      <c r="D919" s="31">
        <f>E919+F919+G919+H919+I919+J919+L919+N919+P919+R919+T919+U919+V919+W919+X919+Y919+Z919+AA919+AB919+AC919+AD919+AE919</f>
        <v>2957529.62</v>
      </c>
      <c r="E919" s="31">
        <v>0</v>
      </c>
      <c r="F919" s="31">
        <v>0</v>
      </c>
      <c r="G919" s="31">
        <v>0</v>
      </c>
      <c r="H919" s="31">
        <v>0</v>
      </c>
      <c r="I919" s="31">
        <v>0</v>
      </c>
      <c r="J919" s="31">
        <v>0</v>
      </c>
      <c r="K919" s="67">
        <v>0</v>
      </c>
      <c r="L919" s="31">
        <v>0</v>
      </c>
      <c r="M919" s="31">
        <v>571</v>
      </c>
      <c r="N919" s="31">
        <f>2789800.79+34994.45+10506.49</f>
        <v>2835301.7300000004</v>
      </c>
      <c r="O919" s="31">
        <v>0</v>
      </c>
      <c r="P919" s="31">
        <v>0</v>
      </c>
      <c r="Q919" s="31">
        <v>0</v>
      </c>
      <c r="R919" s="31">
        <v>0</v>
      </c>
      <c r="S919" s="31">
        <v>0</v>
      </c>
      <c r="T919" s="31">
        <v>0</v>
      </c>
      <c r="U919" s="31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  <c r="AC919" s="31">
        <f>ROUND(N919*1.5%,2)</f>
        <v>42529.53</v>
      </c>
      <c r="AD919" s="31">
        <v>79698.36</v>
      </c>
      <c r="AE919" s="31">
        <v>0</v>
      </c>
      <c r="AF919" s="33">
        <v>2021</v>
      </c>
      <c r="AG919" s="33">
        <v>2021</v>
      </c>
      <c r="AH919" s="34">
        <v>2021</v>
      </c>
      <c r="AT919" s="20" t="e">
        <f t="shared" si="206"/>
        <v>#N/A</v>
      </c>
      <c r="BZ919" s="64"/>
      <c r="CD919" s="20" t="e">
        <f t="shared" si="202"/>
        <v>#N/A</v>
      </c>
    </row>
    <row r="920" spans="1:82" ht="61.5" x14ac:dyDescent="0.85">
      <c r="A920" s="20">
        <v>1</v>
      </c>
      <c r="B920" s="60">
        <f>SUBTOTAL(103,$A$558:A920)</f>
        <v>329</v>
      </c>
      <c r="C920" s="24" t="s">
        <v>1236</v>
      </c>
      <c r="D920" s="31">
        <f>E920+F920+G920+H920+I920+J920+L920+N920+P920+R920+T920+U920+V920+W920+X920+Y920+Z920+AA920+AB920+AC920+AD920+AE920</f>
        <v>1183452.6399999999</v>
      </c>
      <c r="E920" s="31">
        <v>0</v>
      </c>
      <c r="F920" s="31">
        <v>0</v>
      </c>
      <c r="G920" s="31">
        <v>0</v>
      </c>
      <c r="H920" s="31">
        <v>0</v>
      </c>
      <c r="I920" s="31">
        <v>0</v>
      </c>
      <c r="J920" s="31">
        <v>0</v>
      </c>
      <c r="K920" s="67">
        <v>0</v>
      </c>
      <c r="L920" s="31">
        <v>0</v>
      </c>
      <c r="M920" s="31">
        <v>335</v>
      </c>
      <c r="N920" s="31">
        <f>994964.85+52771.74</f>
        <v>1047736.59</v>
      </c>
      <c r="O920" s="31">
        <v>0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0</v>
      </c>
      <c r="AA920" s="31">
        <v>0</v>
      </c>
      <c r="AB920" s="31">
        <v>0</v>
      </c>
      <c r="AC920" s="31">
        <f>ROUND(N920*1.5%,2)</f>
        <v>15716.05</v>
      </c>
      <c r="AD920" s="31">
        <v>0</v>
      </c>
      <c r="AE920" s="31">
        <v>120000</v>
      </c>
      <c r="AF920" s="33" t="s">
        <v>268</v>
      </c>
      <c r="AG920" s="33">
        <v>2021</v>
      </c>
      <c r="AH920" s="33">
        <v>2021</v>
      </c>
      <c r="BZ920" s="64"/>
      <c r="CD920" s="20">
        <f t="shared" si="202"/>
        <v>335</v>
      </c>
    </row>
    <row r="921" spans="1:82" ht="61.5" x14ac:dyDescent="0.85">
      <c r="A921" s="20">
        <v>1</v>
      </c>
      <c r="B921" s="60">
        <f>SUBTOTAL(103,$A$558:A921)</f>
        <v>330</v>
      </c>
      <c r="C921" s="24" t="s">
        <v>1235</v>
      </c>
      <c r="D921" s="31">
        <f>E921+F921+G921+H921+I921+J921+L921+N921+P921+R921+T921+U921+V921+W921+X921+Y921+Z921+AA921+AB921+AC921+AD921+AE921</f>
        <v>4801204.26</v>
      </c>
      <c r="E921" s="31">
        <v>0</v>
      </c>
      <c r="F921" s="31">
        <v>0</v>
      </c>
      <c r="G921" s="31">
        <v>0</v>
      </c>
      <c r="H921" s="31">
        <v>0</v>
      </c>
      <c r="I921" s="31">
        <v>0</v>
      </c>
      <c r="J921" s="31">
        <v>0</v>
      </c>
      <c r="K921" s="67">
        <v>0</v>
      </c>
      <c r="L921" s="31">
        <v>0</v>
      </c>
      <c r="M921" s="31">
        <v>0</v>
      </c>
      <c r="N921" s="31">
        <v>0</v>
      </c>
      <c r="O921" s="31">
        <v>0</v>
      </c>
      <c r="P921" s="31">
        <v>0</v>
      </c>
      <c r="Q921" s="31">
        <v>0</v>
      </c>
      <c r="R921" s="31">
        <v>0</v>
      </c>
      <c r="S921" s="31">
        <v>0</v>
      </c>
      <c r="T921" s="31">
        <v>0</v>
      </c>
      <c r="U921" s="38">
        <v>4730250.49</v>
      </c>
      <c r="V921" s="31">
        <v>0</v>
      </c>
      <c r="W921" s="31">
        <v>0</v>
      </c>
      <c r="X921" s="31">
        <v>0</v>
      </c>
      <c r="Y921" s="31">
        <v>0</v>
      </c>
      <c r="Z921" s="31">
        <v>0</v>
      </c>
      <c r="AA921" s="31">
        <v>0</v>
      </c>
      <c r="AB921" s="31">
        <v>0</v>
      </c>
      <c r="AC921" s="31">
        <f>ROUND(U921*1.5%,2)+0.01</f>
        <v>70953.76999999999</v>
      </c>
      <c r="AD921" s="31">
        <v>0</v>
      </c>
      <c r="AE921" s="31">
        <v>0</v>
      </c>
      <c r="AF921" s="33" t="s">
        <v>268</v>
      </c>
      <c r="AG921" s="33">
        <v>2021</v>
      </c>
      <c r="AH921" s="33">
        <v>2021</v>
      </c>
      <c r="BZ921" s="64"/>
      <c r="CD921" s="20">
        <f t="shared" si="202"/>
        <v>901.42</v>
      </c>
    </row>
    <row r="922" spans="1:82" ht="61.5" x14ac:dyDescent="0.85">
      <c r="A922" s="20">
        <v>1</v>
      </c>
      <c r="B922" s="60">
        <f>SUBTOTAL(103,$A$558:A922)</f>
        <v>331</v>
      </c>
      <c r="C922" s="24" t="s">
        <v>2317</v>
      </c>
      <c r="D922" s="31">
        <f>E922+F922+G922+H922+I922+J922+L922+N922+P922+R922+T922+U922+V922+W922+X922+Y922+Z922+AA922+AB922+AC922+AD922+AE922</f>
        <v>3951771.25</v>
      </c>
      <c r="E922" s="35">
        <v>0</v>
      </c>
      <c r="F922" s="35">
        <v>0</v>
      </c>
      <c r="G922" s="35">
        <v>0</v>
      </c>
      <c r="H922" s="35">
        <v>0</v>
      </c>
      <c r="I922" s="35">
        <v>0</v>
      </c>
      <c r="J922" s="35">
        <v>0</v>
      </c>
      <c r="K922" s="67">
        <v>0</v>
      </c>
      <c r="L922" s="31">
        <v>0</v>
      </c>
      <c r="M922" s="31">
        <v>785</v>
      </c>
      <c r="N922" s="31">
        <f>3736092.32+58756.2</f>
        <v>3794848.52</v>
      </c>
      <c r="O922" s="31">
        <v>0</v>
      </c>
      <c r="P922" s="31">
        <v>0</v>
      </c>
      <c r="Q922" s="31">
        <v>0</v>
      </c>
      <c r="R922" s="31">
        <v>0</v>
      </c>
      <c r="S922" s="31">
        <v>0</v>
      </c>
      <c r="T922" s="31">
        <v>0</v>
      </c>
      <c r="U922" s="31">
        <v>0</v>
      </c>
      <c r="V922" s="31">
        <v>0</v>
      </c>
      <c r="W922" s="31">
        <v>0</v>
      </c>
      <c r="X922" s="31">
        <v>0</v>
      </c>
      <c r="Y922" s="31">
        <v>0</v>
      </c>
      <c r="Z922" s="31">
        <v>0</v>
      </c>
      <c r="AA922" s="31">
        <v>0</v>
      </c>
      <c r="AB922" s="31">
        <v>0</v>
      </c>
      <c r="AC922" s="31">
        <f>ROUND(N922*1.5%,2)</f>
        <v>56922.73</v>
      </c>
      <c r="AD922" s="31">
        <v>100000</v>
      </c>
      <c r="AE922" s="31">
        <v>0</v>
      </c>
      <c r="AF922" s="33">
        <v>2021</v>
      </c>
      <c r="AG922" s="33">
        <v>2021</v>
      </c>
      <c r="AH922" s="34">
        <v>2021</v>
      </c>
      <c r="AT922" s="20" t="e">
        <f t="shared" ref="AT922:AT932" si="210">VLOOKUP(C922,AW:AX,2,FALSE)</f>
        <v>#N/A</v>
      </c>
      <c r="BZ922" s="64"/>
      <c r="CD922" s="20" t="e">
        <f t="shared" si="202"/>
        <v>#N/A</v>
      </c>
    </row>
    <row r="923" spans="1:82" ht="61.5" x14ac:dyDescent="0.85">
      <c r="B923" s="24" t="s">
        <v>2314</v>
      </c>
      <c r="C923" s="24"/>
      <c r="D923" s="199">
        <f t="shared" ref="D923:AE925" si="211">D924</f>
        <v>738468</v>
      </c>
      <c r="E923" s="31">
        <f t="shared" si="211"/>
        <v>0</v>
      </c>
      <c r="F923" s="31">
        <f t="shared" si="211"/>
        <v>0</v>
      </c>
      <c r="G923" s="31">
        <f t="shared" si="211"/>
        <v>0</v>
      </c>
      <c r="H923" s="31">
        <f t="shared" si="211"/>
        <v>0</v>
      </c>
      <c r="I923" s="31">
        <f t="shared" si="211"/>
        <v>0</v>
      </c>
      <c r="J923" s="31">
        <f t="shared" si="211"/>
        <v>0</v>
      </c>
      <c r="K923" s="67">
        <f t="shared" si="211"/>
        <v>0</v>
      </c>
      <c r="L923" s="31">
        <f t="shared" si="211"/>
        <v>0</v>
      </c>
      <c r="M923" s="31">
        <f t="shared" si="211"/>
        <v>146</v>
      </c>
      <c r="N923" s="31">
        <f t="shared" si="211"/>
        <v>658589.16</v>
      </c>
      <c r="O923" s="31">
        <f t="shared" si="211"/>
        <v>0</v>
      </c>
      <c r="P923" s="31">
        <f t="shared" si="211"/>
        <v>0</v>
      </c>
      <c r="Q923" s="31">
        <f t="shared" si="211"/>
        <v>0</v>
      </c>
      <c r="R923" s="31">
        <f t="shared" si="211"/>
        <v>0</v>
      </c>
      <c r="S923" s="31">
        <f t="shared" si="211"/>
        <v>0</v>
      </c>
      <c r="T923" s="31">
        <f t="shared" si="211"/>
        <v>0</v>
      </c>
      <c r="U923" s="31">
        <f t="shared" si="211"/>
        <v>0</v>
      </c>
      <c r="V923" s="31">
        <f t="shared" si="211"/>
        <v>0</v>
      </c>
      <c r="W923" s="31">
        <f t="shared" si="211"/>
        <v>0</v>
      </c>
      <c r="X923" s="31">
        <f t="shared" si="211"/>
        <v>0</v>
      </c>
      <c r="Y923" s="31">
        <f t="shared" si="211"/>
        <v>0</v>
      </c>
      <c r="Z923" s="31">
        <f t="shared" si="211"/>
        <v>0</v>
      </c>
      <c r="AA923" s="31">
        <f t="shared" si="211"/>
        <v>0</v>
      </c>
      <c r="AB923" s="31">
        <f t="shared" si="211"/>
        <v>0</v>
      </c>
      <c r="AC923" s="31">
        <f t="shared" si="211"/>
        <v>9878.84</v>
      </c>
      <c r="AD923" s="31">
        <f t="shared" si="211"/>
        <v>70000</v>
      </c>
      <c r="AE923" s="31">
        <f t="shared" si="211"/>
        <v>0</v>
      </c>
      <c r="AF923" s="65" t="s">
        <v>751</v>
      </c>
      <c r="AG923" s="65" t="s">
        <v>751</v>
      </c>
      <c r="AH923" s="79" t="s">
        <v>751</v>
      </c>
      <c r="AT923" s="20" t="e">
        <f t="shared" si="210"/>
        <v>#N/A</v>
      </c>
      <c r="BZ923" s="64">
        <v>4290230.8800000008</v>
      </c>
      <c r="CD923" s="20" t="e">
        <f t="shared" si="202"/>
        <v>#N/A</v>
      </c>
    </row>
    <row r="924" spans="1:82" ht="61.5" x14ac:dyDescent="0.85">
      <c r="A924" s="20">
        <v>1</v>
      </c>
      <c r="B924" s="60">
        <f>SUBTOTAL(103,$A$558:A924)</f>
        <v>332</v>
      </c>
      <c r="C924" s="24" t="s">
        <v>2315</v>
      </c>
      <c r="D924" s="31">
        <f>E924+F924+G924+H924+I924+J924+L924+N924+P924+R924+T924+U924+V924+W924+X924+Y924+Z924+AA924+AB924+AC924+AD924+AE924</f>
        <v>738468</v>
      </c>
      <c r="E924" s="31">
        <v>0</v>
      </c>
      <c r="F924" s="31">
        <v>0</v>
      </c>
      <c r="G924" s="31">
        <v>0</v>
      </c>
      <c r="H924" s="31">
        <v>0</v>
      </c>
      <c r="I924" s="31">
        <v>0</v>
      </c>
      <c r="J924" s="31">
        <v>0</v>
      </c>
      <c r="K924" s="67">
        <v>0</v>
      </c>
      <c r="L924" s="31">
        <v>0</v>
      </c>
      <c r="M924" s="31">
        <v>146</v>
      </c>
      <c r="N924" s="31">
        <v>658589.16</v>
      </c>
      <c r="O924" s="31">
        <v>0</v>
      </c>
      <c r="P924" s="31">
        <v>0</v>
      </c>
      <c r="Q924" s="31">
        <v>0</v>
      </c>
      <c r="R924" s="31">
        <v>0</v>
      </c>
      <c r="S924" s="31">
        <v>0</v>
      </c>
      <c r="T924" s="31">
        <v>0</v>
      </c>
      <c r="U924" s="31">
        <v>0</v>
      </c>
      <c r="V924" s="31">
        <v>0</v>
      </c>
      <c r="W924" s="31">
        <v>0</v>
      </c>
      <c r="X924" s="31">
        <v>0</v>
      </c>
      <c r="Y924" s="31">
        <v>0</v>
      </c>
      <c r="Z924" s="31">
        <v>0</v>
      </c>
      <c r="AA924" s="31">
        <v>0</v>
      </c>
      <c r="AB924" s="31">
        <v>0</v>
      </c>
      <c r="AC924" s="31">
        <f>ROUND(N924*1.5%,2)</f>
        <v>9878.84</v>
      </c>
      <c r="AD924" s="31">
        <v>70000</v>
      </c>
      <c r="AE924" s="31">
        <v>0</v>
      </c>
      <c r="AF924" s="33">
        <v>2021</v>
      </c>
      <c r="AG924" s="33">
        <v>2021</v>
      </c>
      <c r="AH924" s="34">
        <v>2021</v>
      </c>
      <c r="AT924" s="20" t="e">
        <f t="shared" si="210"/>
        <v>#N/A</v>
      </c>
      <c r="BZ924" s="64"/>
      <c r="CD924" s="20" t="e">
        <f t="shared" si="202"/>
        <v>#N/A</v>
      </c>
    </row>
    <row r="925" spans="1:82" ht="61.5" x14ac:dyDescent="0.85">
      <c r="B925" s="24" t="s">
        <v>874</v>
      </c>
      <c r="C925" s="24"/>
      <c r="D925" s="199">
        <f t="shared" si="211"/>
        <v>4290230.8800000008</v>
      </c>
      <c r="E925" s="31">
        <f t="shared" si="211"/>
        <v>0</v>
      </c>
      <c r="F925" s="31">
        <f t="shared" si="211"/>
        <v>0</v>
      </c>
      <c r="G925" s="31">
        <f t="shared" si="211"/>
        <v>0</v>
      </c>
      <c r="H925" s="31">
        <f t="shared" si="211"/>
        <v>0</v>
      </c>
      <c r="I925" s="31">
        <f t="shared" si="211"/>
        <v>0</v>
      </c>
      <c r="J925" s="31">
        <f t="shared" si="211"/>
        <v>0</v>
      </c>
      <c r="K925" s="67">
        <f t="shared" si="211"/>
        <v>0</v>
      </c>
      <c r="L925" s="31">
        <f t="shared" si="211"/>
        <v>0</v>
      </c>
      <c r="M925" s="31">
        <f t="shared" si="211"/>
        <v>821.6</v>
      </c>
      <c r="N925" s="31">
        <f t="shared" si="211"/>
        <v>4140751.8200000003</v>
      </c>
      <c r="O925" s="31">
        <f t="shared" si="211"/>
        <v>0</v>
      </c>
      <c r="P925" s="31">
        <f t="shared" si="211"/>
        <v>0</v>
      </c>
      <c r="Q925" s="31">
        <f t="shared" si="211"/>
        <v>0</v>
      </c>
      <c r="R925" s="31">
        <f t="shared" si="211"/>
        <v>0</v>
      </c>
      <c r="S925" s="31">
        <f t="shared" si="211"/>
        <v>0</v>
      </c>
      <c r="T925" s="31">
        <f t="shared" si="211"/>
        <v>0</v>
      </c>
      <c r="U925" s="31">
        <f t="shared" si="211"/>
        <v>0</v>
      </c>
      <c r="V925" s="31">
        <f t="shared" si="211"/>
        <v>0</v>
      </c>
      <c r="W925" s="31">
        <f t="shared" si="211"/>
        <v>0</v>
      </c>
      <c r="X925" s="31">
        <f t="shared" si="211"/>
        <v>0</v>
      </c>
      <c r="Y925" s="31">
        <f t="shared" si="211"/>
        <v>0</v>
      </c>
      <c r="Z925" s="31">
        <f t="shared" si="211"/>
        <v>0</v>
      </c>
      <c r="AA925" s="31">
        <f t="shared" si="211"/>
        <v>0</v>
      </c>
      <c r="AB925" s="31">
        <f t="shared" si="211"/>
        <v>0</v>
      </c>
      <c r="AC925" s="31">
        <f t="shared" si="211"/>
        <v>62111.28</v>
      </c>
      <c r="AD925" s="31">
        <f t="shared" si="211"/>
        <v>87367.78</v>
      </c>
      <c r="AE925" s="31">
        <f t="shared" si="211"/>
        <v>0</v>
      </c>
      <c r="AF925" s="65" t="s">
        <v>751</v>
      </c>
      <c r="AG925" s="65" t="s">
        <v>751</v>
      </c>
      <c r="AH925" s="79" t="s">
        <v>751</v>
      </c>
      <c r="AT925" s="20" t="e">
        <f t="shared" si="210"/>
        <v>#N/A</v>
      </c>
      <c r="BZ925" s="64">
        <v>4290230.8800000008</v>
      </c>
      <c r="CD925" s="20" t="e">
        <f t="shared" si="202"/>
        <v>#N/A</v>
      </c>
    </row>
    <row r="926" spans="1:82" ht="61.5" x14ac:dyDescent="0.85">
      <c r="A926" s="20">
        <v>1</v>
      </c>
      <c r="B926" s="60">
        <f>SUBTOTAL(103,$A$558:A926)</f>
        <v>333</v>
      </c>
      <c r="C926" s="24" t="s">
        <v>112</v>
      </c>
      <c r="D926" s="31">
        <f>E926+F926+G926+H926+I926+J926+L926+N926+P926+R926+T926+U926+V926+W926+X926+Y926+Z926+AA926+AB926+AC926+AD926+AE926</f>
        <v>4290230.8800000008</v>
      </c>
      <c r="E926" s="31">
        <v>0</v>
      </c>
      <c r="F926" s="31">
        <v>0</v>
      </c>
      <c r="G926" s="31">
        <v>0</v>
      </c>
      <c r="H926" s="31">
        <v>0</v>
      </c>
      <c r="I926" s="31">
        <v>0</v>
      </c>
      <c r="J926" s="31">
        <v>0</v>
      </c>
      <c r="K926" s="67">
        <v>0</v>
      </c>
      <c r="L926" s="31">
        <v>0</v>
      </c>
      <c r="M926" s="31">
        <v>821.6</v>
      </c>
      <c r="N926" s="31">
        <f>4079045.2+61706.62</f>
        <v>4140751.8200000003</v>
      </c>
      <c r="O926" s="31">
        <v>0</v>
      </c>
      <c r="P926" s="31">
        <v>0</v>
      </c>
      <c r="Q926" s="31">
        <v>0</v>
      </c>
      <c r="R926" s="31">
        <v>0</v>
      </c>
      <c r="S926" s="31">
        <v>0</v>
      </c>
      <c r="T926" s="31">
        <v>0</v>
      </c>
      <c r="U926" s="31">
        <v>0</v>
      </c>
      <c r="V926" s="31">
        <v>0</v>
      </c>
      <c r="W926" s="31">
        <v>0</v>
      </c>
      <c r="X926" s="31">
        <v>0</v>
      </c>
      <c r="Y926" s="31">
        <v>0</v>
      </c>
      <c r="Z926" s="31">
        <v>0</v>
      </c>
      <c r="AA926" s="31">
        <v>0</v>
      </c>
      <c r="AB926" s="31">
        <v>0</v>
      </c>
      <c r="AC926" s="31">
        <f>ROUND(N926*1.5%,2)</f>
        <v>62111.28</v>
      </c>
      <c r="AD926" s="31">
        <v>87367.78</v>
      </c>
      <c r="AE926" s="31">
        <v>0</v>
      </c>
      <c r="AF926" s="33">
        <v>2021</v>
      </c>
      <c r="AG926" s="33">
        <v>2021</v>
      </c>
      <c r="AH926" s="34">
        <v>2021</v>
      </c>
      <c r="AT926" s="20" t="e">
        <f t="shared" si="210"/>
        <v>#N/A</v>
      </c>
      <c r="BZ926" s="64"/>
      <c r="CD926" s="20" t="e">
        <f t="shared" si="202"/>
        <v>#N/A</v>
      </c>
    </row>
    <row r="927" spans="1:82" ht="61.5" x14ac:dyDescent="0.85">
      <c r="B927" s="24" t="s">
        <v>875</v>
      </c>
      <c r="C927" s="24"/>
      <c r="D927" s="199">
        <f t="shared" ref="D927:AE927" si="212">D928</f>
        <v>2903320.8000000003</v>
      </c>
      <c r="E927" s="31">
        <f t="shared" si="212"/>
        <v>0</v>
      </c>
      <c r="F927" s="31">
        <f t="shared" si="212"/>
        <v>0</v>
      </c>
      <c r="G927" s="31">
        <f t="shared" si="212"/>
        <v>0</v>
      </c>
      <c r="H927" s="31">
        <f t="shared" si="212"/>
        <v>0</v>
      </c>
      <c r="I927" s="31">
        <f t="shared" si="212"/>
        <v>0</v>
      </c>
      <c r="J927" s="31">
        <f t="shared" si="212"/>
        <v>0</v>
      </c>
      <c r="K927" s="67">
        <f t="shared" si="212"/>
        <v>0</v>
      </c>
      <c r="L927" s="31">
        <f t="shared" si="212"/>
        <v>0</v>
      </c>
      <c r="M927" s="31">
        <f t="shared" si="212"/>
        <v>556</v>
      </c>
      <c r="N927" s="31">
        <f t="shared" si="212"/>
        <v>2775695.7800000003</v>
      </c>
      <c r="O927" s="31">
        <f t="shared" si="212"/>
        <v>0</v>
      </c>
      <c r="P927" s="31">
        <f t="shared" si="212"/>
        <v>0</v>
      </c>
      <c r="Q927" s="31">
        <f t="shared" si="212"/>
        <v>0</v>
      </c>
      <c r="R927" s="31">
        <f t="shared" si="212"/>
        <v>0</v>
      </c>
      <c r="S927" s="31">
        <f t="shared" si="212"/>
        <v>0</v>
      </c>
      <c r="T927" s="31">
        <f t="shared" si="212"/>
        <v>0</v>
      </c>
      <c r="U927" s="31">
        <f t="shared" si="212"/>
        <v>0</v>
      </c>
      <c r="V927" s="31">
        <f t="shared" si="212"/>
        <v>0</v>
      </c>
      <c r="W927" s="31">
        <f t="shared" si="212"/>
        <v>0</v>
      </c>
      <c r="X927" s="31">
        <f t="shared" si="212"/>
        <v>0</v>
      </c>
      <c r="Y927" s="31">
        <f t="shared" si="212"/>
        <v>0</v>
      </c>
      <c r="Z927" s="31">
        <f t="shared" si="212"/>
        <v>0</v>
      </c>
      <c r="AA927" s="31">
        <f t="shared" si="212"/>
        <v>0</v>
      </c>
      <c r="AB927" s="31">
        <f t="shared" si="212"/>
        <v>0</v>
      </c>
      <c r="AC927" s="31">
        <f t="shared" si="212"/>
        <v>41635.440000000002</v>
      </c>
      <c r="AD927" s="31">
        <f t="shared" si="212"/>
        <v>85989.58</v>
      </c>
      <c r="AE927" s="31">
        <f t="shared" si="212"/>
        <v>0</v>
      </c>
      <c r="AF927" s="65" t="s">
        <v>751</v>
      </c>
      <c r="AG927" s="65" t="s">
        <v>751</v>
      </c>
      <c r="AH927" s="79" t="s">
        <v>751</v>
      </c>
      <c r="AT927" s="20" t="e">
        <f t="shared" si="210"/>
        <v>#N/A</v>
      </c>
      <c r="BZ927" s="64">
        <v>2903320.8000000003</v>
      </c>
      <c r="CD927" s="20" t="e">
        <f t="shared" si="202"/>
        <v>#N/A</v>
      </c>
    </row>
    <row r="928" spans="1:82" ht="61.5" x14ac:dyDescent="0.85">
      <c r="A928" s="20">
        <v>1</v>
      </c>
      <c r="B928" s="60">
        <f>SUBTOTAL(103,$A$558:A928)</f>
        <v>334</v>
      </c>
      <c r="C928" s="24" t="s">
        <v>111</v>
      </c>
      <c r="D928" s="31">
        <f>E928+F928+G928+H928+I928+J928+L928+N928+P928+R928+T928+U928+V928+W928+X928+Y928+Z928+AA928+AB928+AC928+AD928+AE928</f>
        <v>2903320.8000000003</v>
      </c>
      <c r="E928" s="31">
        <v>0</v>
      </c>
      <c r="F928" s="31">
        <v>0</v>
      </c>
      <c r="G928" s="31">
        <v>0</v>
      </c>
      <c r="H928" s="31">
        <v>0</v>
      </c>
      <c r="I928" s="31">
        <v>0</v>
      </c>
      <c r="J928" s="31">
        <v>0</v>
      </c>
      <c r="K928" s="67">
        <v>0</v>
      </c>
      <c r="L928" s="31">
        <v>0</v>
      </c>
      <c r="M928" s="31">
        <v>556</v>
      </c>
      <c r="N928" s="31">
        <f>2712631.33+63064.45</f>
        <v>2775695.7800000003</v>
      </c>
      <c r="O928" s="31">
        <v>0</v>
      </c>
      <c r="P928" s="31">
        <v>0</v>
      </c>
      <c r="Q928" s="31">
        <v>0</v>
      </c>
      <c r="R928" s="31">
        <v>0</v>
      </c>
      <c r="S928" s="31">
        <v>0</v>
      </c>
      <c r="T928" s="31">
        <v>0</v>
      </c>
      <c r="U928" s="31">
        <v>0</v>
      </c>
      <c r="V928" s="31">
        <v>0</v>
      </c>
      <c r="W928" s="31">
        <v>0</v>
      </c>
      <c r="X928" s="31">
        <v>0</v>
      </c>
      <c r="Y928" s="31">
        <v>0</v>
      </c>
      <c r="Z928" s="31">
        <v>0</v>
      </c>
      <c r="AA928" s="31">
        <v>0</v>
      </c>
      <c r="AB928" s="31">
        <v>0</v>
      </c>
      <c r="AC928" s="31">
        <f>ROUND(N928*1.5%,2)</f>
        <v>41635.440000000002</v>
      </c>
      <c r="AD928" s="31">
        <v>85989.58</v>
      </c>
      <c r="AE928" s="31">
        <v>0</v>
      </c>
      <c r="AF928" s="33">
        <v>2021</v>
      </c>
      <c r="AG928" s="33">
        <v>2021</v>
      </c>
      <c r="AH928" s="34">
        <v>2021</v>
      </c>
      <c r="AT928" s="20" t="e">
        <f t="shared" si="210"/>
        <v>#N/A</v>
      </c>
      <c r="BZ928" s="64"/>
      <c r="CD928" s="20" t="e">
        <f t="shared" si="202"/>
        <v>#N/A</v>
      </c>
    </row>
    <row r="929" spans="1:82" ht="61.5" x14ac:dyDescent="0.85">
      <c r="B929" s="24" t="s">
        <v>841</v>
      </c>
      <c r="C929" s="198"/>
      <c r="D929" s="199">
        <f t="shared" ref="D929:AE929" si="213">D930</f>
        <v>3826397.3</v>
      </c>
      <c r="E929" s="31">
        <f t="shared" si="213"/>
        <v>0</v>
      </c>
      <c r="F929" s="31">
        <f t="shared" si="213"/>
        <v>0</v>
      </c>
      <c r="G929" s="31">
        <f t="shared" si="213"/>
        <v>0</v>
      </c>
      <c r="H929" s="31">
        <f t="shared" si="213"/>
        <v>0</v>
      </c>
      <c r="I929" s="31">
        <f t="shared" si="213"/>
        <v>0</v>
      </c>
      <c r="J929" s="31">
        <f t="shared" si="213"/>
        <v>0</v>
      </c>
      <c r="K929" s="67">
        <f t="shared" si="213"/>
        <v>0</v>
      </c>
      <c r="L929" s="31">
        <f t="shared" si="213"/>
        <v>0</v>
      </c>
      <c r="M929" s="31">
        <f t="shared" si="213"/>
        <v>794.3</v>
      </c>
      <c r="N929" s="31">
        <f t="shared" si="213"/>
        <v>3661475.17</v>
      </c>
      <c r="O929" s="31">
        <f t="shared" si="213"/>
        <v>0</v>
      </c>
      <c r="P929" s="31">
        <f t="shared" si="213"/>
        <v>0</v>
      </c>
      <c r="Q929" s="31">
        <f t="shared" si="213"/>
        <v>0</v>
      </c>
      <c r="R929" s="31">
        <f t="shared" si="213"/>
        <v>0</v>
      </c>
      <c r="S929" s="31">
        <f t="shared" si="213"/>
        <v>0</v>
      </c>
      <c r="T929" s="31">
        <f t="shared" si="213"/>
        <v>0</v>
      </c>
      <c r="U929" s="31">
        <f t="shared" si="213"/>
        <v>0</v>
      </c>
      <c r="V929" s="31">
        <f t="shared" si="213"/>
        <v>0</v>
      </c>
      <c r="W929" s="31">
        <f t="shared" si="213"/>
        <v>0</v>
      </c>
      <c r="X929" s="31">
        <f t="shared" si="213"/>
        <v>0</v>
      </c>
      <c r="Y929" s="31">
        <f t="shared" si="213"/>
        <v>0</v>
      </c>
      <c r="Z929" s="31">
        <f t="shared" si="213"/>
        <v>0</v>
      </c>
      <c r="AA929" s="31">
        <f t="shared" si="213"/>
        <v>0</v>
      </c>
      <c r="AB929" s="31">
        <f t="shared" si="213"/>
        <v>0</v>
      </c>
      <c r="AC929" s="31">
        <f t="shared" si="213"/>
        <v>54922.13</v>
      </c>
      <c r="AD929" s="31">
        <f t="shared" si="213"/>
        <v>110000</v>
      </c>
      <c r="AE929" s="31">
        <f t="shared" si="213"/>
        <v>0</v>
      </c>
      <c r="AF929" s="65" t="s">
        <v>751</v>
      </c>
      <c r="AG929" s="65" t="s">
        <v>751</v>
      </c>
      <c r="AH929" s="79" t="s">
        <v>751</v>
      </c>
      <c r="AT929" s="20" t="e">
        <f t="shared" si="210"/>
        <v>#N/A</v>
      </c>
      <c r="BZ929" s="64">
        <v>3826397.3000000003</v>
      </c>
      <c r="CD929" s="20" t="e">
        <f t="shared" si="202"/>
        <v>#N/A</v>
      </c>
    </row>
    <row r="930" spans="1:82" ht="61.5" x14ac:dyDescent="0.85">
      <c r="A930" s="20">
        <v>1</v>
      </c>
      <c r="B930" s="60">
        <f>SUBTOTAL(103,$A$558:A930)</f>
        <v>335</v>
      </c>
      <c r="C930" s="24" t="s">
        <v>57</v>
      </c>
      <c r="D930" s="31">
        <f>E930+F930+G930+H930+I930+J930+L930+N930+P930+R930+T930+U930+V930+W930+X930+Y930+Z930+AA930+AB930+AC930+AD930+AE930</f>
        <v>3826397.3</v>
      </c>
      <c r="E930" s="31">
        <v>0</v>
      </c>
      <c r="F930" s="31">
        <v>0</v>
      </c>
      <c r="G930" s="31">
        <v>0</v>
      </c>
      <c r="H930" s="31">
        <v>0</v>
      </c>
      <c r="I930" s="31">
        <v>0</v>
      </c>
      <c r="J930" s="31">
        <v>0</v>
      </c>
      <c r="K930" s="67">
        <v>0</v>
      </c>
      <c r="L930" s="31">
        <v>0</v>
      </c>
      <c r="M930" s="31">
        <v>794.3</v>
      </c>
      <c r="N930" s="31">
        <f>3622066.31+39408.86</f>
        <v>3661475.17</v>
      </c>
      <c r="O930" s="31">
        <v>0</v>
      </c>
      <c r="P930" s="31">
        <v>0</v>
      </c>
      <c r="Q930" s="31">
        <v>0</v>
      </c>
      <c r="R930" s="31">
        <v>0</v>
      </c>
      <c r="S930" s="31">
        <v>0</v>
      </c>
      <c r="T930" s="31">
        <v>0</v>
      </c>
      <c r="U930" s="31">
        <v>0</v>
      </c>
      <c r="V930" s="31">
        <v>0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f>ROUND(N930*1.5%,2)</f>
        <v>54922.13</v>
      </c>
      <c r="AD930" s="31">
        <v>110000</v>
      </c>
      <c r="AE930" s="31">
        <v>0</v>
      </c>
      <c r="AF930" s="33">
        <v>2021</v>
      </c>
      <c r="AG930" s="33">
        <v>2021</v>
      </c>
      <c r="AH930" s="34">
        <v>2021</v>
      </c>
      <c r="AT930" s="20" t="e">
        <f t="shared" si="210"/>
        <v>#N/A</v>
      </c>
      <c r="BZ930" s="64"/>
      <c r="CD930" s="20" t="e">
        <f t="shared" si="202"/>
        <v>#N/A</v>
      </c>
    </row>
    <row r="931" spans="1:82" ht="61.5" x14ac:dyDescent="0.85">
      <c r="B931" s="24" t="s">
        <v>842</v>
      </c>
      <c r="C931" s="24"/>
      <c r="D931" s="199">
        <f>SUM(D932:D935)</f>
        <v>27477227.949999999</v>
      </c>
      <c r="E931" s="31">
        <f t="shared" ref="E931:AE931" si="214">SUM(E932:E935)</f>
        <v>0</v>
      </c>
      <c r="F931" s="31">
        <f t="shared" si="214"/>
        <v>0</v>
      </c>
      <c r="G931" s="31">
        <f t="shared" si="214"/>
        <v>0</v>
      </c>
      <c r="H931" s="31">
        <f t="shared" si="214"/>
        <v>0</v>
      </c>
      <c r="I931" s="31">
        <f t="shared" si="214"/>
        <v>0</v>
      </c>
      <c r="J931" s="31">
        <f t="shared" si="214"/>
        <v>0</v>
      </c>
      <c r="K931" s="67">
        <f t="shared" si="214"/>
        <v>0</v>
      </c>
      <c r="L931" s="31">
        <f t="shared" si="214"/>
        <v>0</v>
      </c>
      <c r="M931" s="31">
        <f t="shared" si="214"/>
        <v>5688</v>
      </c>
      <c r="N931" s="31">
        <f t="shared" si="214"/>
        <v>26952672.339999996</v>
      </c>
      <c r="O931" s="31">
        <f t="shared" si="214"/>
        <v>0</v>
      </c>
      <c r="P931" s="31">
        <f t="shared" si="214"/>
        <v>0</v>
      </c>
      <c r="Q931" s="31">
        <f t="shared" si="214"/>
        <v>0</v>
      </c>
      <c r="R931" s="31">
        <f t="shared" si="214"/>
        <v>0</v>
      </c>
      <c r="S931" s="31">
        <f t="shared" si="214"/>
        <v>0</v>
      </c>
      <c r="T931" s="31">
        <f t="shared" si="214"/>
        <v>0</v>
      </c>
      <c r="U931" s="31">
        <f t="shared" si="214"/>
        <v>0</v>
      </c>
      <c r="V931" s="31">
        <f t="shared" si="214"/>
        <v>0</v>
      </c>
      <c r="W931" s="31">
        <f t="shared" si="214"/>
        <v>0</v>
      </c>
      <c r="X931" s="31">
        <f t="shared" si="214"/>
        <v>0</v>
      </c>
      <c r="Y931" s="31">
        <f t="shared" si="214"/>
        <v>0</v>
      </c>
      <c r="Z931" s="31">
        <f t="shared" si="214"/>
        <v>0</v>
      </c>
      <c r="AA931" s="31">
        <f t="shared" si="214"/>
        <v>0</v>
      </c>
      <c r="AB931" s="31">
        <f t="shared" si="214"/>
        <v>0</v>
      </c>
      <c r="AC931" s="31">
        <f t="shared" si="214"/>
        <v>344555.61</v>
      </c>
      <c r="AD931" s="31">
        <f t="shared" si="214"/>
        <v>180000</v>
      </c>
      <c r="AE931" s="31">
        <f t="shared" si="214"/>
        <v>0</v>
      </c>
      <c r="AF931" s="65" t="s">
        <v>751</v>
      </c>
      <c r="AG931" s="65" t="s">
        <v>751</v>
      </c>
      <c r="AH931" s="79" t="s">
        <v>751</v>
      </c>
      <c r="AT931" s="20" t="e">
        <f t="shared" si="210"/>
        <v>#N/A</v>
      </c>
      <c r="BZ931" s="64">
        <v>5858309.4800000004</v>
      </c>
      <c r="CD931" s="20" t="e">
        <f t="shared" si="202"/>
        <v>#N/A</v>
      </c>
    </row>
    <row r="932" spans="1:82" ht="61.5" x14ac:dyDescent="0.85">
      <c r="A932" s="20">
        <v>1</v>
      </c>
      <c r="B932" s="60">
        <f>SUBTOTAL(103,$A$558:A932)</f>
        <v>336</v>
      </c>
      <c r="C932" s="24" t="s">
        <v>41</v>
      </c>
      <c r="D932" s="31">
        <f>E932+F932+G932+H932+I932+J932+L932+N932+P932+R932+T932+U932+V932+W932+X932+Y932+Z932+AA932+AB932+AC932+AD932+AE932</f>
        <v>8474219.5300000012</v>
      </c>
      <c r="E932" s="31">
        <v>0</v>
      </c>
      <c r="F932" s="31">
        <v>0</v>
      </c>
      <c r="G932" s="31">
        <v>0</v>
      </c>
      <c r="H932" s="31">
        <v>0</v>
      </c>
      <c r="I932" s="31">
        <v>0</v>
      </c>
      <c r="J932" s="31">
        <v>0</v>
      </c>
      <c r="K932" s="67">
        <v>0</v>
      </c>
      <c r="L932" s="31">
        <v>0</v>
      </c>
      <c r="M932" s="31">
        <v>1576</v>
      </c>
      <c r="N932" s="31">
        <f>5594393.58+1577251.28+1000000</f>
        <v>8171644.8600000003</v>
      </c>
      <c r="O932" s="31">
        <v>0</v>
      </c>
      <c r="P932" s="31">
        <v>0</v>
      </c>
      <c r="Q932" s="31">
        <v>0</v>
      </c>
      <c r="R932" s="31">
        <v>0</v>
      </c>
      <c r="S932" s="31">
        <v>0</v>
      </c>
      <c r="T932" s="31">
        <v>0</v>
      </c>
      <c r="U932" s="31">
        <v>0</v>
      </c>
      <c r="V932" s="31">
        <v>0</v>
      </c>
      <c r="W932" s="31">
        <v>0</v>
      </c>
      <c r="X932" s="31">
        <v>0</v>
      </c>
      <c r="Y932" s="31">
        <v>0</v>
      </c>
      <c r="Z932" s="31">
        <v>0</v>
      </c>
      <c r="AA932" s="31">
        <v>0</v>
      </c>
      <c r="AB932" s="31">
        <v>0</v>
      </c>
      <c r="AC932" s="31">
        <f>ROUND(N932*1.5%,2)</f>
        <v>122574.67</v>
      </c>
      <c r="AD932" s="31">
        <v>180000</v>
      </c>
      <c r="AE932" s="31">
        <v>0</v>
      </c>
      <c r="AF932" s="33">
        <v>2021</v>
      </c>
      <c r="AG932" s="33">
        <v>2021</v>
      </c>
      <c r="AH932" s="34">
        <v>2021</v>
      </c>
      <c r="AT932" s="20" t="e">
        <f t="shared" si="210"/>
        <v>#N/A</v>
      </c>
      <c r="BZ932" s="64"/>
      <c r="CD932" s="20" t="e">
        <f t="shared" ref="CD932:CD963" si="215">VLOOKUP(C932,CE:CF,2,FALSE)</f>
        <v>#N/A</v>
      </c>
    </row>
    <row r="933" spans="1:82" ht="61.5" x14ac:dyDescent="0.85">
      <c r="A933" s="20">
        <v>1</v>
      </c>
      <c r="B933" s="60">
        <f>SUBTOTAL(103,$A$558:A933)</f>
        <v>337</v>
      </c>
      <c r="C933" s="24" t="s">
        <v>1547</v>
      </c>
      <c r="D933" s="31">
        <f>E933+F933+G933+H933+I933+J933+L933+N933+P933+R933+T933+U933+V933+W933+X933+Y933+Z933+AA933+AB933+AC933+AD933+AE933</f>
        <v>5709104.1399999997</v>
      </c>
      <c r="E933" s="31">
        <v>0</v>
      </c>
      <c r="F933" s="31">
        <v>0</v>
      </c>
      <c r="G933" s="31">
        <v>0</v>
      </c>
      <c r="H933" s="31">
        <v>0</v>
      </c>
      <c r="I933" s="31">
        <v>0</v>
      </c>
      <c r="J933" s="31">
        <v>0</v>
      </c>
      <c r="K933" s="67">
        <v>0</v>
      </c>
      <c r="L933" s="31">
        <v>0</v>
      </c>
      <c r="M933" s="31">
        <v>1331</v>
      </c>
      <c r="N933" s="31">
        <v>5683584.8399999999</v>
      </c>
      <c r="O933" s="31">
        <v>0</v>
      </c>
      <c r="P933" s="31">
        <v>0</v>
      </c>
      <c r="Q933" s="31">
        <v>0</v>
      </c>
      <c r="R933" s="31">
        <v>0</v>
      </c>
      <c r="S933" s="31">
        <v>0</v>
      </c>
      <c r="T933" s="31">
        <v>0</v>
      </c>
      <c r="U933" s="31">
        <v>0</v>
      </c>
      <c r="V933" s="31">
        <v>0</v>
      </c>
      <c r="W933" s="31">
        <v>0</v>
      </c>
      <c r="X933" s="31">
        <v>0</v>
      </c>
      <c r="Y933" s="31">
        <v>0</v>
      </c>
      <c r="Z933" s="31">
        <v>0</v>
      </c>
      <c r="AA933" s="31">
        <v>0</v>
      </c>
      <c r="AB933" s="31">
        <v>0</v>
      </c>
      <c r="AC933" s="31">
        <f>ROUND(N933*0.449%,2)</f>
        <v>25519.3</v>
      </c>
      <c r="AD933" s="31">
        <v>0</v>
      </c>
      <c r="AE933" s="31">
        <v>0</v>
      </c>
      <c r="AF933" s="33" t="s">
        <v>268</v>
      </c>
      <c r="AG933" s="33">
        <v>2021</v>
      </c>
      <c r="AH933" s="33">
        <v>2021</v>
      </c>
      <c r="BZ933" s="64"/>
      <c r="CD933" s="20" t="e">
        <f t="shared" si="215"/>
        <v>#N/A</v>
      </c>
    </row>
    <row r="934" spans="1:82" ht="61.5" x14ac:dyDescent="0.85">
      <c r="A934" s="20">
        <v>1</v>
      </c>
      <c r="B934" s="60">
        <f>SUBTOTAL(103,$A$558:A934)</f>
        <v>338</v>
      </c>
      <c r="C934" s="24" t="s">
        <v>63</v>
      </c>
      <c r="D934" s="31">
        <f>E934+F934+G934+H934+I934+J934+L934+N934+P934+R934+T934+U934+V934+W934+X934+Y934+Z934+AA934+AB934+AC934+AD934+AE934</f>
        <v>6173366.919999999</v>
      </c>
      <c r="E934" s="31">
        <v>0</v>
      </c>
      <c r="F934" s="31">
        <v>0</v>
      </c>
      <c r="G934" s="31">
        <v>0</v>
      </c>
      <c r="H934" s="31">
        <v>0</v>
      </c>
      <c r="I934" s="31">
        <v>0</v>
      </c>
      <c r="J934" s="31">
        <v>0</v>
      </c>
      <c r="K934" s="67">
        <v>0</v>
      </c>
      <c r="L934" s="31">
        <v>0</v>
      </c>
      <c r="M934" s="31">
        <v>1420</v>
      </c>
      <c r="N934" s="31">
        <f>5786396.52+295738.38</f>
        <v>6082134.8999999994</v>
      </c>
      <c r="O934" s="31">
        <v>0</v>
      </c>
      <c r="P934" s="31">
        <v>0</v>
      </c>
      <c r="Q934" s="31">
        <v>0</v>
      </c>
      <c r="R934" s="31">
        <v>0</v>
      </c>
      <c r="S934" s="31">
        <v>0</v>
      </c>
      <c r="T934" s="31">
        <v>0</v>
      </c>
      <c r="U934" s="31">
        <v>0</v>
      </c>
      <c r="V934" s="31">
        <v>0</v>
      </c>
      <c r="W934" s="31">
        <v>0</v>
      </c>
      <c r="X934" s="31">
        <v>0</v>
      </c>
      <c r="Y934" s="31">
        <v>0</v>
      </c>
      <c r="Z934" s="31">
        <v>0</v>
      </c>
      <c r="AA934" s="31">
        <v>0</v>
      </c>
      <c r="AB934" s="31">
        <v>0</v>
      </c>
      <c r="AC934" s="31">
        <f>ROUND(N934*1.5%,2)</f>
        <v>91232.02</v>
      </c>
      <c r="AD934" s="31">
        <v>0</v>
      </c>
      <c r="AE934" s="31">
        <v>0</v>
      </c>
      <c r="AF934" s="33" t="s">
        <v>268</v>
      </c>
      <c r="AG934" s="33">
        <v>2021</v>
      </c>
      <c r="AH934" s="33">
        <v>2021</v>
      </c>
      <c r="AT934" s="20" t="e">
        <f>VLOOKUP(C934,AW:AX,2,FALSE)</f>
        <v>#N/A</v>
      </c>
      <c r="BZ934" s="64"/>
      <c r="CD934" s="20" t="e">
        <f t="shared" si="215"/>
        <v>#N/A</v>
      </c>
    </row>
    <row r="935" spans="1:82" ht="61.5" x14ac:dyDescent="0.85">
      <c r="A935" s="20">
        <v>1</v>
      </c>
      <c r="B935" s="60">
        <f>SUBTOTAL(103,$A$558:A935)</f>
        <v>339</v>
      </c>
      <c r="C935" s="24" t="s">
        <v>52</v>
      </c>
      <c r="D935" s="31">
        <f>E935+F935+G935+H935+I935+J935+L935+N935+P935+R935+T935+U935+V935+W935+X935+Y935+Z935+AA935+AB935+AC935+AD935+AE935</f>
        <v>7120537.3600000003</v>
      </c>
      <c r="E935" s="31">
        <v>0</v>
      </c>
      <c r="F935" s="31">
        <v>0</v>
      </c>
      <c r="G935" s="31">
        <v>0</v>
      </c>
      <c r="H935" s="31">
        <v>0</v>
      </c>
      <c r="I935" s="31">
        <v>0</v>
      </c>
      <c r="J935" s="31">
        <v>0</v>
      </c>
      <c r="K935" s="67">
        <v>0</v>
      </c>
      <c r="L935" s="31">
        <v>0</v>
      </c>
      <c r="M935" s="31">
        <v>1361</v>
      </c>
      <c r="N935" s="31">
        <f>5607810.5+1407497.24</f>
        <v>7015307.7400000002</v>
      </c>
      <c r="O935" s="31">
        <v>0</v>
      </c>
      <c r="P935" s="31">
        <v>0</v>
      </c>
      <c r="Q935" s="31">
        <v>0</v>
      </c>
      <c r="R935" s="31">
        <v>0</v>
      </c>
      <c r="S935" s="31">
        <v>0</v>
      </c>
      <c r="T935" s="31">
        <v>0</v>
      </c>
      <c r="U935" s="31">
        <v>0</v>
      </c>
      <c r="V935" s="31">
        <v>0</v>
      </c>
      <c r="W935" s="31">
        <v>0</v>
      </c>
      <c r="X935" s="31">
        <v>0</v>
      </c>
      <c r="Y935" s="31">
        <v>0</v>
      </c>
      <c r="Z935" s="31">
        <v>0</v>
      </c>
      <c r="AA935" s="31">
        <v>0</v>
      </c>
      <c r="AB935" s="31">
        <v>0</v>
      </c>
      <c r="AC935" s="31">
        <f>ROUND(N935*1.5%,2)</f>
        <v>105229.62</v>
      </c>
      <c r="AD935" s="31">
        <v>0</v>
      </c>
      <c r="AE935" s="31">
        <v>0</v>
      </c>
      <c r="AF935" s="33" t="s">
        <v>268</v>
      </c>
      <c r="AG935" s="33">
        <v>2021</v>
      </c>
      <c r="AH935" s="33">
        <v>2021</v>
      </c>
      <c r="AT935" s="20" t="e">
        <f>VLOOKUP(C935,AW:AX,2,FALSE)</f>
        <v>#N/A</v>
      </c>
      <c r="BZ935" s="64"/>
      <c r="CD935" s="20" t="e">
        <f t="shared" si="215"/>
        <v>#N/A</v>
      </c>
    </row>
    <row r="936" spans="1:82" ht="61.5" x14ac:dyDescent="0.85">
      <c r="B936" s="24" t="s">
        <v>876</v>
      </c>
      <c r="C936" s="24"/>
      <c r="D936" s="199">
        <f>SUM(D937:D938)</f>
        <v>5796065.7599999998</v>
      </c>
      <c r="E936" s="31">
        <f t="shared" ref="E936:AE936" si="216">SUM(E937:E938)</f>
        <v>0</v>
      </c>
      <c r="F936" s="31">
        <f t="shared" si="216"/>
        <v>0</v>
      </c>
      <c r="G936" s="31">
        <f t="shared" si="216"/>
        <v>0</v>
      </c>
      <c r="H936" s="31">
        <f t="shared" si="216"/>
        <v>0</v>
      </c>
      <c r="I936" s="31">
        <f t="shared" si="216"/>
        <v>0</v>
      </c>
      <c r="J936" s="31">
        <f t="shared" si="216"/>
        <v>0</v>
      </c>
      <c r="K936" s="67">
        <f t="shared" si="216"/>
        <v>0</v>
      </c>
      <c r="L936" s="31">
        <f t="shared" si="216"/>
        <v>0</v>
      </c>
      <c r="M936" s="31">
        <f t="shared" si="216"/>
        <v>1121.5999999999999</v>
      </c>
      <c r="N936" s="31">
        <f t="shared" si="216"/>
        <v>5444399.7699999996</v>
      </c>
      <c r="O936" s="31">
        <f t="shared" si="216"/>
        <v>0</v>
      </c>
      <c r="P936" s="31">
        <f t="shared" si="216"/>
        <v>0</v>
      </c>
      <c r="Q936" s="31">
        <f t="shared" si="216"/>
        <v>0</v>
      </c>
      <c r="R936" s="31">
        <f t="shared" si="216"/>
        <v>0</v>
      </c>
      <c r="S936" s="31">
        <f t="shared" si="216"/>
        <v>0</v>
      </c>
      <c r="T936" s="31">
        <f t="shared" si="216"/>
        <v>0</v>
      </c>
      <c r="U936" s="31">
        <f t="shared" si="216"/>
        <v>0</v>
      </c>
      <c r="V936" s="31">
        <f t="shared" si="216"/>
        <v>0</v>
      </c>
      <c r="W936" s="31">
        <f t="shared" si="216"/>
        <v>0</v>
      </c>
      <c r="X936" s="31">
        <f t="shared" si="216"/>
        <v>0</v>
      </c>
      <c r="Y936" s="31">
        <f t="shared" si="216"/>
        <v>0</v>
      </c>
      <c r="Z936" s="31">
        <f t="shared" si="216"/>
        <v>0</v>
      </c>
      <c r="AA936" s="31">
        <f t="shared" si="216"/>
        <v>0</v>
      </c>
      <c r="AB936" s="31">
        <f t="shared" si="216"/>
        <v>0</v>
      </c>
      <c r="AC936" s="31">
        <f t="shared" si="216"/>
        <v>81665.989999999991</v>
      </c>
      <c r="AD936" s="31">
        <f t="shared" si="216"/>
        <v>150000</v>
      </c>
      <c r="AE936" s="31">
        <f t="shared" si="216"/>
        <v>120000</v>
      </c>
      <c r="AF936" s="65" t="s">
        <v>751</v>
      </c>
      <c r="AG936" s="65" t="s">
        <v>751</v>
      </c>
      <c r="AH936" s="79" t="s">
        <v>751</v>
      </c>
      <c r="AT936" s="20" t="e">
        <f>VLOOKUP(C936,AW:AX,2,FALSE)</f>
        <v>#N/A</v>
      </c>
      <c r="BZ936" s="64">
        <v>3274450.4</v>
      </c>
      <c r="CD936" s="20" t="e">
        <f t="shared" si="215"/>
        <v>#N/A</v>
      </c>
    </row>
    <row r="937" spans="1:82" ht="61.5" x14ac:dyDescent="0.85">
      <c r="A937" s="20">
        <v>1</v>
      </c>
      <c r="B937" s="60">
        <f>SUBTOTAL(103,$A$558:A937)</f>
        <v>340</v>
      </c>
      <c r="C937" s="24" t="s">
        <v>55</v>
      </c>
      <c r="D937" s="31">
        <f>E937+F937+G937+H937+I937+J937+L937+N937+P937+R937+T937+U937+V937+W937+X937+Y937+Z937+AA937+AB937+AC937+AD937+AE937</f>
        <v>3274450.4</v>
      </c>
      <c r="E937" s="31">
        <v>0</v>
      </c>
      <c r="F937" s="31">
        <v>0</v>
      </c>
      <c r="G937" s="31">
        <v>0</v>
      </c>
      <c r="H937" s="31">
        <v>0</v>
      </c>
      <c r="I937" s="31">
        <v>0</v>
      </c>
      <c r="J937" s="31">
        <v>0</v>
      </c>
      <c r="K937" s="67">
        <v>0</v>
      </c>
      <c r="L937" s="31">
        <v>0</v>
      </c>
      <c r="M937" s="31">
        <v>609.79999999999995</v>
      </c>
      <c r="N937" s="31">
        <v>3078276.26</v>
      </c>
      <c r="O937" s="31">
        <v>0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  <c r="AC937" s="31">
        <f>ROUND(N937*1.5%,2)</f>
        <v>46174.14</v>
      </c>
      <c r="AD937" s="31">
        <v>150000</v>
      </c>
      <c r="AE937" s="31">
        <v>0</v>
      </c>
      <c r="AF937" s="33">
        <v>2021</v>
      </c>
      <c r="AG937" s="33">
        <v>2021</v>
      </c>
      <c r="AH937" s="34">
        <v>2021</v>
      </c>
      <c r="AT937" s="20" t="e">
        <f>VLOOKUP(C937,AW:AX,2,FALSE)</f>
        <v>#N/A</v>
      </c>
      <c r="BZ937" s="64"/>
      <c r="CD937" s="20" t="e">
        <f t="shared" si="215"/>
        <v>#N/A</v>
      </c>
    </row>
    <row r="938" spans="1:82" ht="61.5" x14ac:dyDescent="0.85">
      <c r="A938" s="20">
        <v>1</v>
      </c>
      <c r="B938" s="60">
        <f>SUBTOTAL(103,$A$558:A938)</f>
        <v>341</v>
      </c>
      <c r="C938" s="24" t="s">
        <v>1250</v>
      </c>
      <c r="D938" s="31">
        <f>E938+F938+G938+H938+I938+J938+L938+N938+P938+R938+T938+U938+V938+W938+X938+Y938+Z938+AA938+AB938+AC938+AD938+AE938</f>
        <v>2521615.3599999999</v>
      </c>
      <c r="E938" s="31">
        <v>0</v>
      </c>
      <c r="F938" s="31">
        <v>0</v>
      </c>
      <c r="G938" s="31">
        <v>0</v>
      </c>
      <c r="H938" s="31">
        <v>0</v>
      </c>
      <c r="I938" s="31">
        <v>0</v>
      </c>
      <c r="J938" s="31">
        <v>0</v>
      </c>
      <c r="K938" s="67">
        <v>0</v>
      </c>
      <c r="L938" s="31">
        <v>0</v>
      </c>
      <c r="M938" s="31">
        <v>511.8</v>
      </c>
      <c r="N938" s="31">
        <f>2095100.24+271023.27</f>
        <v>2366123.5099999998</v>
      </c>
      <c r="O938" s="31">
        <v>0</v>
      </c>
      <c r="P938" s="31">
        <v>0</v>
      </c>
      <c r="Q938" s="31">
        <v>0</v>
      </c>
      <c r="R938" s="31">
        <v>0</v>
      </c>
      <c r="S938" s="31">
        <v>0</v>
      </c>
      <c r="T938" s="31">
        <v>0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f>ROUND(N938*1.5%,2)</f>
        <v>35491.85</v>
      </c>
      <c r="AD938" s="31">
        <v>0</v>
      </c>
      <c r="AE938" s="31">
        <v>120000</v>
      </c>
      <c r="AF938" s="33" t="s">
        <v>268</v>
      </c>
      <c r="AG938" s="33">
        <v>2021</v>
      </c>
      <c r="AH938" s="33">
        <v>2021</v>
      </c>
      <c r="BZ938" s="64"/>
      <c r="CD938" s="20">
        <f t="shared" si="215"/>
        <v>511.8</v>
      </c>
    </row>
    <row r="939" spans="1:82" ht="61.5" x14ac:dyDescent="0.85">
      <c r="B939" s="24" t="s">
        <v>843</v>
      </c>
      <c r="C939" s="24"/>
      <c r="D939" s="199">
        <f t="shared" ref="D939:AE939" si="217">SUM(D940:D944)</f>
        <v>25990852.659999996</v>
      </c>
      <c r="E939" s="31">
        <f t="shared" si="217"/>
        <v>807971.21</v>
      </c>
      <c r="F939" s="31">
        <f t="shared" si="217"/>
        <v>2150667.5499999998</v>
      </c>
      <c r="G939" s="31">
        <f t="shared" si="217"/>
        <v>5403583.4100000001</v>
      </c>
      <c r="H939" s="31">
        <f t="shared" si="217"/>
        <v>2522099.34</v>
      </c>
      <c r="I939" s="31">
        <f t="shared" si="217"/>
        <v>2823224.32</v>
      </c>
      <c r="J939" s="31">
        <f t="shared" si="217"/>
        <v>0</v>
      </c>
      <c r="K939" s="67">
        <f t="shared" si="217"/>
        <v>0</v>
      </c>
      <c r="L939" s="31">
        <f t="shared" si="217"/>
        <v>0</v>
      </c>
      <c r="M939" s="31">
        <f t="shared" si="217"/>
        <v>1955.3</v>
      </c>
      <c r="N939" s="31">
        <f t="shared" si="217"/>
        <v>11554447.15</v>
      </c>
      <c r="O939" s="31">
        <f t="shared" si="217"/>
        <v>0</v>
      </c>
      <c r="P939" s="31">
        <f t="shared" si="217"/>
        <v>0</v>
      </c>
      <c r="Q939" s="31">
        <f t="shared" si="217"/>
        <v>0</v>
      </c>
      <c r="R939" s="31">
        <f t="shared" si="217"/>
        <v>0</v>
      </c>
      <c r="S939" s="31">
        <f t="shared" si="217"/>
        <v>0</v>
      </c>
      <c r="T939" s="31">
        <f t="shared" si="217"/>
        <v>0</v>
      </c>
      <c r="U939" s="31">
        <f t="shared" si="217"/>
        <v>0</v>
      </c>
      <c r="V939" s="31">
        <f t="shared" si="217"/>
        <v>0</v>
      </c>
      <c r="W939" s="31">
        <f t="shared" si="217"/>
        <v>0</v>
      </c>
      <c r="X939" s="31">
        <f t="shared" si="217"/>
        <v>0</v>
      </c>
      <c r="Y939" s="31">
        <f t="shared" si="217"/>
        <v>0</v>
      </c>
      <c r="Z939" s="31">
        <f t="shared" si="217"/>
        <v>0</v>
      </c>
      <c r="AA939" s="31">
        <f t="shared" si="217"/>
        <v>0</v>
      </c>
      <c r="AB939" s="31">
        <f t="shared" si="217"/>
        <v>0</v>
      </c>
      <c r="AC939" s="31">
        <f t="shared" si="217"/>
        <v>280621.69</v>
      </c>
      <c r="AD939" s="31">
        <f t="shared" si="217"/>
        <v>448237.99</v>
      </c>
      <c r="AE939" s="31">
        <f t="shared" si="217"/>
        <v>0</v>
      </c>
      <c r="AF939" s="65" t="s">
        <v>751</v>
      </c>
      <c r="AG939" s="65" t="s">
        <v>751</v>
      </c>
      <c r="AH939" s="79" t="s">
        <v>751</v>
      </c>
      <c r="AT939" s="20" t="e">
        <f>VLOOKUP(C939,AW:AX,2,FALSE)</f>
        <v>#N/A</v>
      </c>
      <c r="BZ939" s="64">
        <v>12199052.439999999</v>
      </c>
      <c r="CD939" s="20" t="e">
        <f t="shared" si="215"/>
        <v>#N/A</v>
      </c>
    </row>
    <row r="940" spans="1:82" ht="61.5" x14ac:dyDescent="0.85">
      <c r="A940" s="20">
        <v>1</v>
      </c>
      <c r="B940" s="60">
        <f>SUBTOTAL(103,$A$558:A940)</f>
        <v>342</v>
      </c>
      <c r="C940" s="24" t="s">
        <v>56</v>
      </c>
      <c r="D940" s="31">
        <f>E940+F940+G940+H940+I940+J940+L940+N940+P940+R940+T940+U940+V940+W940+X940+Y940+Z940+AA940+AB940+AC940+AD940+AE940</f>
        <v>4719977.0600000005</v>
      </c>
      <c r="E940" s="31">
        <v>0</v>
      </c>
      <c r="F940" s="31">
        <v>0</v>
      </c>
      <c r="G940" s="31">
        <v>3177624.7</v>
      </c>
      <c r="H940" s="31">
        <v>1177032.5</v>
      </c>
      <c r="I940" s="31">
        <v>0</v>
      </c>
      <c r="J940" s="31">
        <v>0</v>
      </c>
      <c r="K940" s="67">
        <v>0</v>
      </c>
      <c r="L940" s="31">
        <v>0</v>
      </c>
      <c r="M940" s="31">
        <v>0</v>
      </c>
      <c r="N940" s="31">
        <v>0</v>
      </c>
      <c r="O940" s="31">
        <v>0</v>
      </c>
      <c r="P940" s="31">
        <v>0</v>
      </c>
      <c r="Q940" s="31">
        <v>0</v>
      </c>
      <c r="R940" s="31">
        <v>0</v>
      </c>
      <c r="S940" s="31">
        <v>0</v>
      </c>
      <c r="T940" s="31">
        <v>0</v>
      </c>
      <c r="U940" s="31">
        <v>0</v>
      </c>
      <c r="V940" s="31">
        <v>0</v>
      </c>
      <c r="W940" s="31">
        <v>0</v>
      </c>
      <c r="X940" s="31">
        <v>0</v>
      </c>
      <c r="Y940" s="31">
        <v>0</v>
      </c>
      <c r="Z940" s="31">
        <v>0</v>
      </c>
      <c r="AA940" s="31">
        <v>0</v>
      </c>
      <c r="AB940" s="31">
        <v>0</v>
      </c>
      <c r="AC940" s="31">
        <f>ROUND((E940+F940+G940+H940+I940+J940)*1.5%,2)</f>
        <v>65319.86</v>
      </c>
      <c r="AD940" s="31">
        <v>300000</v>
      </c>
      <c r="AE940" s="31">
        <v>0</v>
      </c>
      <c r="AF940" s="33">
        <v>2021</v>
      </c>
      <c r="AG940" s="33">
        <v>2021</v>
      </c>
      <c r="AH940" s="34">
        <v>2021</v>
      </c>
      <c r="AT940" s="20" t="e">
        <f>VLOOKUP(C940,AW:AX,2,FALSE)</f>
        <v>#N/A</v>
      </c>
      <c r="BZ940" s="64"/>
      <c r="CD940" s="20" t="e">
        <f t="shared" si="215"/>
        <v>#N/A</v>
      </c>
    </row>
    <row r="941" spans="1:82" ht="61.5" x14ac:dyDescent="0.85">
      <c r="A941" s="20">
        <v>1</v>
      </c>
      <c r="B941" s="60">
        <f>SUBTOTAL(103,$A$558:A941)</f>
        <v>343</v>
      </c>
      <c r="C941" s="24" t="s">
        <v>46</v>
      </c>
      <c r="D941" s="31">
        <f>E941+F941+G941+H941+I941+J941+L941+N941+P941+R941+T941+U941+V941+W941+X941+Y941+Z941+AA941+AB941+AC941+AD941+AE941</f>
        <v>5201936.34</v>
      </c>
      <c r="E941" s="31">
        <v>0</v>
      </c>
      <c r="F941" s="31">
        <v>0</v>
      </c>
      <c r="G941" s="31">
        <v>0</v>
      </c>
      <c r="H941" s="31">
        <v>0</v>
      </c>
      <c r="I941" s="31">
        <v>0</v>
      </c>
      <c r="J941" s="31">
        <v>0</v>
      </c>
      <c r="K941" s="67">
        <v>0</v>
      </c>
      <c r="L941" s="31">
        <v>0</v>
      </c>
      <c r="M941" s="31">
        <v>716.7</v>
      </c>
      <c r="N941" s="31">
        <f>3741391.06+1235886.12+71224.79</f>
        <v>5048501.97</v>
      </c>
      <c r="O941" s="31">
        <v>0</v>
      </c>
      <c r="P941" s="31">
        <v>0</v>
      </c>
      <c r="Q941" s="31">
        <v>0</v>
      </c>
      <c r="R941" s="31">
        <v>0</v>
      </c>
      <c r="S941" s="31">
        <v>0</v>
      </c>
      <c r="T941" s="31">
        <v>0</v>
      </c>
      <c r="U941" s="31">
        <v>0</v>
      </c>
      <c r="V941" s="31">
        <v>0</v>
      </c>
      <c r="W941" s="31">
        <v>0</v>
      </c>
      <c r="X941" s="31">
        <v>0</v>
      </c>
      <c r="Y941" s="31">
        <v>0</v>
      </c>
      <c r="Z941" s="31">
        <v>0</v>
      </c>
      <c r="AA941" s="31">
        <v>0</v>
      </c>
      <c r="AB941" s="31">
        <v>0</v>
      </c>
      <c r="AC941" s="31">
        <f>ROUND(N941*1.5%,2)</f>
        <v>75727.53</v>
      </c>
      <c r="AD941" s="31">
        <v>77706.84</v>
      </c>
      <c r="AE941" s="31">
        <v>0</v>
      </c>
      <c r="AF941" s="33">
        <v>2021</v>
      </c>
      <c r="AG941" s="33">
        <v>2021</v>
      </c>
      <c r="AH941" s="34">
        <v>2021</v>
      </c>
      <c r="AT941" s="20" t="e">
        <f>VLOOKUP(C941,AW:AX,2,FALSE)</f>
        <v>#N/A</v>
      </c>
      <c r="BZ941" s="64"/>
      <c r="CD941" s="20" t="e">
        <f t="shared" si="215"/>
        <v>#N/A</v>
      </c>
    </row>
    <row r="942" spans="1:82" ht="61.5" x14ac:dyDescent="0.85">
      <c r="A942" s="20">
        <v>1</v>
      </c>
      <c r="B942" s="60">
        <f>SUBTOTAL(103,$A$558:A942)</f>
        <v>344</v>
      </c>
      <c r="C942" s="24" t="s">
        <v>1595</v>
      </c>
      <c r="D942" s="31">
        <f>E942+F942+G942+H942+I942+J942+L942+N942+P942+R942+T942+U942+V942+W942+X942+Y942+Z942+AA942+AB942+AC942+AD942+AE942</f>
        <v>3531563.4499999993</v>
      </c>
      <c r="E942" s="31">
        <v>0</v>
      </c>
      <c r="F942" s="31">
        <v>0</v>
      </c>
      <c r="G942" s="31">
        <v>0</v>
      </c>
      <c r="H942" s="31">
        <v>0</v>
      </c>
      <c r="I942" s="31">
        <v>0</v>
      </c>
      <c r="J942" s="31">
        <v>0</v>
      </c>
      <c r="K942" s="67">
        <v>0</v>
      </c>
      <c r="L942" s="31">
        <v>0</v>
      </c>
      <c r="M942" s="31">
        <v>611.9</v>
      </c>
      <c r="N942" s="31">
        <f>3000000+361146.26+48737.78</f>
        <v>3409884.0399999996</v>
      </c>
      <c r="O942" s="31">
        <v>0</v>
      </c>
      <c r="P942" s="31">
        <v>0</v>
      </c>
      <c r="Q942" s="31">
        <v>0</v>
      </c>
      <c r="R942" s="31">
        <v>0</v>
      </c>
      <c r="S942" s="31">
        <v>0</v>
      </c>
      <c r="T942" s="31">
        <v>0</v>
      </c>
      <c r="U942" s="31">
        <v>0</v>
      </c>
      <c r="V942" s="31">
        <v>0</v>
      </c>
      <c r="W942" s="31">
        <v>0</v>
      </c>
      <c r="X942" s="31">
        <v>0</v>
      </c>
      <c r="Y942" s="31">
        <v>0</v>
      </c>
      <c r="Z942" s="31">
        <v>0</v>
      </c>
      <c r="AA942" s="31">
        <v>0</v>
      </c>
      <c r="AB942" s="31">
        <v>0</v>
      </c>
      <c r="AC942" s="31">
        <f>ROUND(N942*1.5%,2)</f>
        <v>51148.26</v>
      </c>
      <c r="AD942" s="31">
        <v>70531.149999999994</v>
      </c>
      <c r="AE942" s="31">
        <v>0</v>
      </c>
      <c r="AF942" s="33">
        <v>2021</v>
      </c>
      <c r="AG942" s="33">
        <v>2021</v>
      </c>
      <c r="AH942" s="34">
        <v>2021</v>
      </c>
      <c r="BZ942" s="64"/>
      <c r="CD942" s="20" t="e">
        <f t="shared" si="215"/>
        <v>#N/A</v>
      </c>
    </row>
    <row r="943" spans="1:82" ht="61.5" x14ac:dyDescent="0.85">
      <c r="A943" s="20">
        <v>1</v>
      </c>
      <c r="B943" s="60">
        <f>SUBTOTAL(103,$A$558:A943)</f>
        <v>345</v>
      </c>
      <c r="C943" s="24" t="s">
        <v>47</v>
      </c>
      <c r="D943" s="31">
        <f>E943+F943+G943+H943+I943+J943+L943+N943+P943+R943+T943+U943+V943+W943+X943+Y943+Z943+AA943+AB943+AC943+AD943+AE943</f>
        <v>3142502.06</v>
      </c>
      <c r="E943" s="31">
        <v>0</v>
      </c>
      <c r="F943" s="31">
        <v>0</v>
      </c>
      <c r="G943" s="31">
        <v>0</v>
      </c>
      <c r="H943" s="31">
        <v>0</v>
      </c>
      <c r="I943" s="31">
        <v>0</v>
      </c>
      <c r="J943" s="31">
        <v>0</v>
      </c>
      <c r="K943" s="67">
        <v>0</v>
      </c>
      <c r="L943" s="31">
        <v>0</v>
      </c>
      <c r="M943" s="31">
        <v>626.70000000000005</v>
      </c>
      <c r="N943" s="31">
        <f>3096061.14</f>
        <v>3096061.14</v>
      </c>
      <c r="O943" s="31">
        <v>0</v>
      </c>
      <c r="P943" s="31">
        <v>0</v>
      </c>
      <c r="Q943" s="31">
        <v>0</v>
      </c>
      <c r="R943" s="31">
        <v>0</v>
      </c>
      <c r="S943" s="31">
        <v>0</v>
      </c>
      <c r="T943" s="31">
        <v>0</v>
      </c>
      <c r="U943" s="31">
        <v>0</v>
      </c>
      <c r="V943" s="31">
        <v>0</v>
      </c>
      <c r="W943" s="31">
        <v>0</v>
      </c>
      <c r="X943" s="31">
        <v>0</v>
      </c>
      <c r="Y943" s="31">
        <v>0</v>
      </c>
      <c r="Z943" s="31">
        <v>0</v>
      </c>
      <c r="AA943" s="31">
        <v>0</v>
      </c>
      <c r="AB943" s="31">
        <v>0</v>
      </c>
      <c r="AC943" s="31">
        <f>ROUND(N943*1.5%,2)</f>
        <v>46440.92</v>
      </c>
      <c r="AD943" s="31">
        <v>0</v>
      </c>
      <c r="AE943" s="31">
        <v>0</v>
      </c>
      <c r="AF943" s="33" t="s">
        <v>268</v>
      </c>
      <c r="AG943" s="33">
        <v>2021</v>
      </c>
      <c r="AH943" s="34">
        <v>2021</v>
      </c>
      <c r="AT943" s="20" t="e">
        <f>VLOOKUP(C943,AW:AX,2,FALSE)</f>
        <v>#N/A</v>
      </c>
      <c r="BZ943" s="64"/>
      <c r="CD943" s="20" t="e">
        <f t="shared" si="215"/>
        <v>#N/A</v>
      </c>
    </row>
    <row r="944" spans="1:82" ht="61.5" x14ac:dyDescent="0.85">
      <c r="A944" s="20">
        <v>1</v>
      </c>
      <c r="B944" s="60">
        <f>SUBTOTAL(103,$A$558:A944)</f>
        <v>346</v>
      </c>
      <c r="C944" s="24" t="s">
        <v>1240</v>
      </c>
      <c r="D944" s="31">
        <f>E944+F944+G944+H944+I944+J944+L944+N944+P944+R944+T944+U944+V944+W944+X944+Y944+Z944+AA944+AB944+AC944+AD944+AE944</f>
        <v>9394873.7499999981</v>
      </c>
      <c r="E944" s="31">
        <v>807971.21</v>
      </c>
      <c r="F944" s="31">
        <v>2150667.5499999998</v>
      </c>
      <c r="G944" s="31">
        <f>2197143.37+28815.34</f>
        <v>2225958.71</v>
      </c>
      <c r="H944" s="31">
        <v>1345066.84</v>
      </c>
      <c r="I944" s="31">
        <v>2823224.32</v>
      </c>
      <c r="J944" s="31">
        <v>0</v>
      </c>
      <c r="K944" s="67">
        <v>0</v>
      </c>
      <c r="L944" s="31">
        <v>0</v>
      </c>
      <c r="M944" s="31">
        <v>0</v>
      </c>
      <c r="N944" s="31">
        <v>0</v>
      </c>
      <c r="O944" s="31">
        <v>0</v>
      </c>
      <c r="P944" s="31">
        <v>0</v>
      </c>
      <c r="Q944" s="31">
        <v>0</v>
      </c>
      <c r="R944" s="31">
        <v>0</v>
      </c>
      <c r="S944" s="31">
        <v>0</v>
      </c>
      <c r="T944" s="31">
        <v>0</v>
      </c>
      <c r="U944" s="31">
        <v>0</v>
      </c>
      <c r="V944" s="31">
        <v>0</v>
      </c>
      <c r="W944" s="31">
        <v>0</v>
      </c>
      <c r="X944" s="31">
        <v>0</v>
      </c>
      <c r="Y944" s="31">
        <v>0</v>
      </c>
      <c r="Z944" s="31">
        <v>0</v>
      </c>
      <c r="AA944" s="31">
        <v>0</v>
      </c>
      <c r="AB944" s="31">
        <v>0</v>
      </c>
      <c r="AC944" s="31">
        <f>ROUND((E944+F944+G944+H944+I944+J944)*0.4489%,2)</f>
        <v>41985.120000000003</v>
      </c>
      <c r="AD944" s="31">
        <v>0</v>
      </c>
      <c r="AE944" s="31">
        <v>0</v>
      </c>
      <c r="AF944" s="33" t="s">
        <v>268</v>
      </c>
      <c r="AG944" s="33">
        <v>2021</v>
      </c>
      <c r="AH944" s="34">
        <v>2021</v>
      </c>
      <c r="BZ944" s="64"/>
      <c r="CD944" s="20" t="e">
        <f t="shared" si="215"/>
        <v>#N/A</v>
      </c>
    </row>
    <row r="945" spans="1:82" ht="61.5" x14ac:dyDescent="0.85">
      <c r="B945" s="24" t="s">
        <v>844</v>
      </c>
      <c r="C945" s="24"/>
      <c r="D945" s="199">
        <f t="shared" ref="D945:AE945" si="218">SUM(D946:D948)</f>
        <v>12690176.630000001</v>
      </c>
      <c r="E945" s="31">
        <f t="shared" si="218"/>
        <v>0</v>
      </c>
      <c r="F945" s="31">
        <f t="shared" si="218"/>
        <v>0</v>
      </c>
      <c r="G945" s="31">
        <f t="shared" si="218"/>
        <v>0</v>
      </c>
      <c r="H945" s="31">
        <f t="shared" si="218"/>
        <v>626436.13</v>
      </c>
      <c r="I945" s="31">
        <f t="shared" si="218"/>
        <v>0</v>
      </c>
      <c r="J945" s="31">
        <f t="shared" si="218"/>
        <v>0</v>
      </c>
      <c r="K945" s="67">
        <f t="shared" si="218"/>
        <v>0</v>
      </c>
      <c r="L945" s="31">
        <f t="shared" si="218"/>
        <v>0</v>
      </c>
      <c r="M945" s="31">
        <f t="shared" si="218"/>
        <v>2246.4</v>
      </c>
      <c r="N945" s="31">
        <f t="shared" si="218"/>
        <v>11649599.959999999</v>
      </c>
      <c r="O945" s="31">
        <f t="shared" si="218"/>
        <v>0</v>
      </c>
      <c r="P945" s="31">
        <f t="shared" si="218"/>
        <v>0</v>
      </c>
      <c r="Q945" s="31">
        <f t="shared" si="218"/>
        <v>0</v>
      </c>
      <c r="R945" s="31">
        <f t="shared" si="218"/>
        <v>0</v>
      </c>
      <c r="S945" s="31">
        <f t="shared" si="218"/>
        <v>0</v>
      </c>
      <c r="T945" s="31">
        <f t="shared" si="218"/>
        <v>0</v>
      </c>
      <c r="U945" s="31">
        <f t="shared" si="218"/>
        <v>0</v>
      </c>
      <c r="V945" s="31">
        <f t="shared" si="218"/>
        <v>0</v>
      </c>
      <c r="W945" s="31">
        <f t="shared" si="218"/>
        <v>0</v>
      </c>
      <c r="X945" s="31">
        <f t="shared" si="218"/>
        <v>0</v>
      </c>
      <c r="Y945" s="31">
        <f t="shared" si="218"/>
        <v>0</v>
      </c>
      <c r="Z945" s="31">
        <f t="shared" si="218"/>
        <v>0</v>
      </c>
      <c r="AA945" s="31">
        <f t="shared" si="218"/>
        <v>0</v>
      </c>
      <c r="AB945" s="31">
        <f t="shared" si="218"/>
        <v>0</v>
      </c>
      <c r="AC945" s="31">
        <f t="shared" si="218"/>
        <v>184140.54</v>
      </c>
      <c r="AD945" s="31">
        <f t="shared" si="218"/>
        <v>230000</v>
      </c>
      <c r="AE945" s="31">
        <f t="shared" si="218"/>
        <v>0</v>
      </c>
      <c r="AF945" s="65" t="s">
        <v>751</v>
      </c>
      <c r="AG945" s="65" t="s">
        <v>751</v>
      </c>
      <c r="AH945" s="79" t="s">
        <v>751</v>
      </c>
      <c r="AT945" s="20" t="e">
        <f>VLOOKUP(C945,AW:AX,2,FALSE)</f>
        <v>#N/A</v>
      </c>
      <c r="BZ945" s="64">
        <v>7408727.5099999998</v>
      </c>
      <c r="CD945" s="20" t="e">
        <f t="shared" si="215"/>
        <v>#N/A</v>
      </c>
    </row>
    <row r="946" spans="1:82" ht="61.5" x14ac:dyDescent="0.85">
      <c r="A946" s="20">
        <v>1</v>
      </c>
      <c r="B946" s="60">
        <f>SUBTOTAL(103,$A$558:A946)</f>
        <v>347</v>
      </c>
      <c r="C946" s="24" t="s">
        <v>54</v>
      </c>
      <c r="D946" s="31">
        <f>E946+F946+G946+H946+I946+J946+L946+N946+P946+R946+T946+U946+V946+W946+X946+Y946+Z946+AA946+AB946+AC946+AD946+AE946</f>
        <v>8829727.5099999998</v>
      </c>
      <c r="E946" s="31">
        <v>0</v>
      </c>
      <c r="F946" s="31">
        <v>0</v>
      </c>
      <c r="G946" s="31">
        <v>0</v>
      </c>
      <c r="H946" s="31">
        <v>0</v>
      </c>
      <c r="I946" s="31">
        <v>0</v>
      </c>
      <c r="J946" s="31">
        <v>0</v>
      </c>
      <c r="K946" s="67">
        <v>0</v>
      </c>
      <c r="L946" s="31">
        <v>0</v>
      </c>
      <c r="M946" s="31">
        <v>1669.2</v>
      </c>
      <c r="N946" s="31">
        <f>7521899.02+49261.09+1000000</f>
        <v>8571160.1099999994</v>
      </c>
      <c r="O946" s="31">
        <v>0</v>
      </c>
      <c r="P946" s="31">
        <v>0</v>
      </c>
      <c r="Q946" s="31">
        <v>0</v>
      </c>
      <c r="R946" s="31">
        <v>0</v>
      </c>
      <c r="S946" s="31">
        <v>0</v>
      </c>
      <c r="T946" s="31">
        <v>0</v>
      </c>
      <c r="U946" s="31">
        <v>0</v>
      </c>
      <c r="V946" s="31">
        <v>0</v>
      </c>
      <c r="W946" s="31">
        <v>0</v>
      </c>
      <c r="X946" s="31">
        <v>0</v>
      </c>
      <c r="Y946" s="31">
        <v>0</v>
      </c>
      <c r="Z946" s="31">
        <v>0</v>
      </c>
      <c r="AA946" s="31">
        <v>0</v>
      </c>
      <c r="AB946" s="31">
        <v>0</v>
      </c>
      <c r="AC946" s="31">
        <f>ROUND(N946*1.5%,2)</f>
        <v>128567.4</v>
      </c>
      <c r="AD946" s="31">
        <v>130000</v>
      </c>
      <c r="AE946" s="31">
        <v>0</v>
      </c>
      <c r="AF946" s="33">
        <v>2021</v>
      </c>
      <c r="AG946" s="33">
        <v>2021</v>
      </c>
      <c r="AH946" s="34">
        <v>2021</v>
      </c>
      <c r="AT946" s="20" t="e">
        <f>VLOOKUP(C946,AW:AX,2,FALSE)</f>
        <v>#N/A</v>
      </c>
      <c r="BZ946" s="64"/>
      <c r="CD946" s="20" t="e">
        <f t="shared" si="215"/>
        <v>#N/A</v>
      </c>
    </row>
    <row r="947" spans="1:82" ht="61.5" x14ac:dyDescent="0.85">
      <c r="A947" s="20">
        <v>1</v>
      </c>
      <c r="B947" s="60">
        <f>SUBTOTAL(103,$A$558:A947)</f>
        <v>348</v>
      </c>
      <c r="C947" s="24" t="s">
        <v>1682</v>
      </c>
      <c r="D947" s="31">
        <f>E947+F947+G947+H947+I947+J947+L947+N947+P947+R947+T947+U947+V947+W947+X947+Y947+Z947+AA947+AB947+AC947+AD947+AE947</f>
        <v>3224616.45</v>
      </c>
      <c r="E947" s="31">
        <v>0</v>
      </c>
      <c r="F947" s="31">
        <v>0</v>
      </c>
      <c r="G947" s="31">
        <v>0</v>
      </c>
      <c r="H947" s="31">
        <v>0</v>
      </c>
      <c r="I947" s="31">
        <v>0</v>
      </c>
      <c r="J947" s="31">
        <v>0</v>
      </c>
      <c r="K947" s="67">
        <v>0</v>
      </c>
      <c r="L947" s="31">
        <v>0</v>
      </c>
      <c r="M947" s="31">
        <v>577.20000000000005</v>
      </c>
      <c r="N947" s="31">
        <f>2999622.12+78817.73</f>
        <v>3078439.85</v>
      </c>
      <c r="O947" s="31">
        <v>0</v>
      </c>
      <c r="P947" s="31">
        <v>0</v>
      </c>
      <c r="Q947" s="31">
        <v>0</v>
      </c>
      <c r="R947" s="31">
        <v>0</v>
      </c>
      <c r="S947" s="31">
        <v>0</v>
      </c>
      <c r="T947" s="31">
        <v>0</v>
      </c>
      <c r="U947" s="31">
        <v>0</v>
      </c>
      <c r="V947" s="31">
        <v>0</v>
      </c>
      <c r="W947" s="31">
        <v>0</v>
      </c>
      <c r="X947" s="31">
        <v>0</v>
      </c>
      <c r="Y947" s="31">
        <v>0</v>
      </c>
      <c r="Z947" s="31">
        <v>0</v>
      </c>
      <c r="AA947" s="31">
        <v>0</v>
      </c>
      <c r="AB947" s="31">
        <v>0</v>
      </c>
      <c r="AC947" s="31">
        <f>ROUND(N947*1.5%,2)</f>
        <v>46176.6</v>
      </c>
      <c r="AD947" s="31">
        <v>100000</v>
      </c>
      <c r="AE947" s="31">
        <v>0</v>
      </c>
      <c r="AF947" s="33">
        <v>2021</v>
      </c>
      <c r="AG947" s="33">
        <v>2021</v>
      </c>
      <c r="AH947" s="34">
        <v>2021</v>
      </c>
      <c r="AT947" s="20" t="e">
        <f>VLOOKUP(C947,AW:AX,2,FALSE)</f>
        <v>#N/A</v>
      </c>
      <c r="BZ947" s="64"/>
      <c r="CD947" s="20" t="e">
        <f t="shared" si="215"/>
        <v>#N/A</v>
      </c>
    </row>
    <row r="948" spans="1:82" ht="61.5" x14ac:dyDescent="0.85">
      <c r="A948" s="20">
        <v>1</v>
      </c>
      <c r="B948" s="60">
        <f>SUBTOTAL(103,$A$558:A948)</f>
        <v>349</v>
      </c>
      <c r="C948" s="24" t="s">
        <v>1247</v>
      </c>
      <c r="D948" s="31">
        <f>E948+F948+G948+H948+I948+J948+L948+N948+P948+R948+T948+U948+V948+W948+X948+Y948+Z948+AA948+AB948+AC948+AD948+AE948</f>
        <v>635832.67000000004</v>
      </c>
      <c r="E948" s="31">
        <v>0</v>
      </c>
      <c r="F948" s="31">
        <v>0</v>
      </c>
      <c r="G948" s="38">
        <v>0</v>
      </c>
      <c r="H948" s="31">
        <f>523667.25+102768.88</f>
        <v>626436.13</v>
      </c>
      <c r="I948" s="31">
        <v>0</v>
      </c>
      <c r="J948" s="31">
        <v>0</v>
      </c>
      <c r="K948" s="67">
        <v>0</v>
      </c>
      <c r="L948" s="31">
        <v>0</v>
      </c>
      <c r="M948" s="38">
        <v>0</v>
      </c>
      <c r="N948" s="38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  <c r="AC948" s="31">
        <f>ROUND((E948+F948+G948+H948+I948+J948)*1.5%,2)</f>
        <v>9396.5400000000009</v>
      </c>
      <c r="AD948" s="31">
        <v>0</v>
      </c>
      <c r="AE948" s="31">
        <v>0</v>
      </c>
      <c r="AF948" s="33" t="s">
        <v>268</v>
      </c>
      <c r="AG948" s="33">
        <v>2021</v>
      </c>
      <c r="AH948" s="34">
        <v>2021</v>
      </c>
      <c r="BZ948" s="64"/>
      <c r="CD948" s="20" t="e">
        <f t="shared" si="215"/>
        <v>#N/A</v>
      </c>
    </row>
    <row r="949" spans="1:82" ht="61.5" x14ac:dyDescent="0.85">
      <c r="B949" s="24" t="s">
        <v>845</v>
      </c>
      <c r="C949" s="24"/>
      <c r="D949" s="199">
        <f t="shared" ref="D949:AE949" si="219">D950</f>
        <v>2347065.8600000003</v>
      </c>
      <c r="E949" s="31">
        <f t="shared" si="219"/>
        <v>0</v>
      </c>
      <c r="F949" s="31">
        <f t="shared" si="219"/>
        <v>0</v>
      </c>
      <c r="G949" s="31">
        <f t="shared" si="219"/>
        <v>0</v>
      </c>
      <c r="H949" s="31">
        <f t="shared" si="219"/>
        <v>0</v>
      </c>
      <c r="I949" s="31">
        <f t="shared" si="219"/>
        <v>0</v>
      </c>
      <c r="J949" s="31">
        <f t="shared" si="219"/>
        <v>0</v>
      </c>
      <c r="K949" s="67">
        <f t="shared" si="219"/>
        <v>0</v>
      </c>
      <c r="L949" s="31">
        <f t="shared" si="219"/>
        <v>0</v>
      </c>
      <c r="M949" s="31">
        <f t="shared" si="219"/>
        <v>444</v>
      </c>
      <c r="N949" s="31">
        <f t="shared" si="219"/>
        <v>2251861.4500000002</v>
      </c>
      <c r="O949" s="31">
        <f t="shared" si="219"/>
        <v>0</v>
      </c>
      <c r="P949" s="31">
        <f t="shared" si="219"/>
        <v>0</v>
      </c>
      <c r="Q949" s="31">
        <f t="shared" si="219"/>
        <v>0</v>
      </c>
      <c r="R949" s="31">
        <f t="shared" si="219"/>
        <v>0</v>
      </c>
      <c r="S949" s="31">
        <f t="shared" si="219"/>
        <v>0</v>
      </c>
      <c r="T949" s="31">
        <f t="shared" si="219"/>
        <v>0</v>
      </c>
      <c r="U949" s="31">
        <f t="shared" si="219"/>
        <v>0</v>
      </c>
      <c r="V949" s="31">
        <f t="shared" si="219"/>
        <v>0</v>
      </c>
      <c r="W949" s="31">
        <f t="shared" si="219"/>
        <v>0</v>
      </c>
      <c r="X949" s="31">
        <f t="shared" si="219"/>
        <v>0</v>
      </c>
      <c r="Y949" s="31">
        <f t="shared" si="219"/>
        <v>0</v>
      </c>
      <c r="Z949" s="31">
        <f t="shared" si="219"/>
        <v>0</v>
      </c>
      <c r="AA949" s="31">
        <f t="shared" si="219"/>
        <v>0</v>
      </c>
      <c r="AB949" s="31">
        <f t="shared" si="219"/>
        <v>0</v>
      </c>
      <c r="AC949" s="31">
        <f t="shared" si="219"/>
        <v>33777.919999999998</v>
      </c>
      <c r="AD949" s="31">
        <f t="shared" si="219"/>
        <v>61426.49</v>
      </c>
      <c r="AE949" s="31">
        <f t="shared" si="219"/>
        <v>0</v>
      </c>
      <c r="AF949" s="65" t="s">
        <v>751</v>
      </c>
      <c r="AG949" s="65" t="s">
        <v>751</v>
      </c>
      <c r="AH949" s="79" t="s">
        <v>751</v>
      </c>
      <c r="AT949" s="20" t="e">
        <f t="shared" ref="AT949:AT956" si="220">VLOOKUP(C949,AW:AX,2,FALSE)</f>
        <v>#N/A</v>
      </c>
      <c r="BZ949" s="64">
        <v>2311215.4500000002</v>
      </c>
      <c r="CD949" s="20" t="e">
        <f t="shared" si="215"/>
        <v>#N/A</v>
      </c>
    </row>
    <row r="950" spans="1:82" ht="61.5" x14ac:dyDescent="0.85">
      <c r="A950" s="20">
        <v>1</v>
      </c>
      <c r="B950" s="60">
        <f>SUBTOTAL(103,$A$558:A950)</f>
        <v>350</v>
      </c>
      <c r="C950" s="24" t="s">
        <v>53</v>
      </c>
      <c r="D950" s="31">
        <f>E950+F950+G950+H950+I950+J950+L950+N950+P950+R950+T950+U950+V950+W950+X950+Y950+Z950+AA950+AB950+AC950+AD950+AE950</f>
        <v>2347065.8600000003</v>
      </c>
      <c r="E950" s="31">
        <v>0</v>
      </c>
      <c r="F950" s="31">
        <v>0</v>
      </c>
      <c r="G950" s="31">
        <v>0</v>
      </c>
      <c r="H950" s="31">
        <v>0</v>
      </c>
      <c r="I950" s="31">
        <v>0</v>
      </c>
      <c r="J950" s="31">
        <v>0</v>
      </c>
      <c r="K950" s="67">
        <v>0</v>
      </c>
      <c r="L950" s="31">
        <v>0</v>
      </c>
      <c r="M950" s="31">
        <v>444</v>
      </c>
      <c r="N950" s="31">
        <f>2158832.96+93028.49</f>
        <v>2251861.4500000002</v>
      </c>
      <c r="O950" s="31">
        <v>0</v>
      </c>
      <c r="P950" s="31">
        <v>0</v>
      </c>
      <c r="Q950" s="31">
        <v>0</v>
      </c>
      <c r="R950" s="31">
        <v>0</v>
      </c>
      <c r="S950" s="31">
        <v>0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0</v>
      </c>
      <c r="Z950" s="31">
        <v>0</v>
      </c>
      <c r="AA950" s="31">
        <v>0</v>
      </c>
      <c r="AB950" s="31">
        <v>0</v>
      </c>
      <c r="AC950" s="31">
        <f>ROUND(N950*1.5%,2)</f>
        <v>33777.919999999998</v>
      </c>
      <c r="AD950" s="31">
        <v>61426.49</v>
      </c>
      <c r="AE950" s="31">
        <v>0</v>
      </c>
      <c r="AF950" s="33">
        <v>2021</v>
      </c>
      <c r="AG950" s="33">
        <v>2021</v>
      </c>
      <c r="AH950" s="34">
        <v>2021</v>
      </c>
      <c r="AT950" s="20" t="e">
        <f t="shared" si="220"/>
        <v>#N/A</v>
      </c>
      <c r="BZ950" s="64"/>
      <c r="CD950" s="20" t="e">
        <f t="shared" si="215"/>
        <v>#N/A</v>
      </c>
    </row>
    <row r="951" spans="1:82" ht="61.5" x14ac:dyDescent="0.85">
      <c r="B951" s="24" t="s">
        <v>846</v>
      </c>
      <c r="C951" s="24"/>
      <c r="D951" s="199">
        <f t="shared" ref="D951:AE951" si="221">SUM(D952:D959)</f>
        <v>26983289.200000003</v>
      </c>
      <c r="E951" s="31">
        <f t="shared" si="221"/>
        <v>0</v>
      </c>
      <c r="F951" s="31">
        <f t="shared" si="221"/>
        <v>0</v>
      </c>
      <c r="G951" s="31">
        <f t="shared" si="221"/>
        <v>0</v>
      </c>
      <c r="H951" s="31">
        <f t="shared" si="221"/>
        <v>0</v>
      </c>
      <c r="I951" s="31">
        <f t="shared" si="221"/>
        <v>0</v>
      </c>
      <c r="J951" s="31">
        <f t="shared" si="221"/>
        <v>0</v>
      </c>
      <c r="K951" s="67">
        <f t="shared" si="221"/>
        <v>0</v>
      </c>
      <c r="L951" s="31">
        <f t="shared" si="221"/>
        <v>0</v>
      </c>
      <c r="M951" s="31">
        <f t="shared" si="221"/>
        <v>4738.2299999999996</v>
      </c>
      <c r="N951" s="31">
        <f t="shared" si="221"/>
        <v>22160638.199999999</v>
      </c>
      <c r="O951" s="31">
        <f t="shared" si="221"/>
        <v>0</v>
      </c>
      <c r="P951" s="31">
        <f t="shared" si="221"/>
        <v>0</v>
      </c>
      <c r="Q951" s="31">
        <f t="shared" si="221"/>
        <v>2886.45</v>
      </c>
      <c r="R951" s="31">
        <f t="shared" si="221"/>
        <v>4026652.81</v>
      </c>
      <c r="S951" s="31">
        <f t="shared" si="221"/>
        <v>0</v>
      </c>
      <c r="T951" s="31">
        <f t="shared" si="221"/>
        <v>0</v>
      </c>
      <c r="U951" s="31">
        <f t="shared" si="221"/>
        <v>0</v>
      </c>
      <c r="V951" s="31">
        <f t="shared" si="221"/>
        <v>0</v>
      </c>
      <c r="W951" s="31">
        <f t="shared" si="221"/>
        <v>0</v>
      </c>
      <c r="X951" s="31">
        <f t="shared" si="221"/>
        <v>0</v>
      </c>
      <c r="Y951" s="31">
        <f t="shared" si="221"/>
        <v>0</v>
      </c>
      <c r="Z951" s="31">
        <f t="shared" si="221"/>
        <v>0</v>
      </c>
      <c r="AA951" s="31">
        <f t="shared" si="221"/>
        <v>0</v>
      </c>
      <c r="AB951" s="31">
        <f t="shared" si="221"/>
        <v>0</v>
      </c>
      <c r="AC951" s="31">
        <f t="shared" si="221"/>
        <v>392809.36</v>
      </c>
      <c r="AD951" s="31">
        <f t="shared" si="221"/>
        <v>403188.83</v>
      </c>
      <c r="AE951" s="31">
        <f t="shared" si="221"/>
        <v>0</v>
      </c>
      <c r="AF951" s="65" t="s">
        <v>751</v>
      </c>
      <c r="AG951" s="65" t="s">
        <v>751</v>
      </c>
      <c r="AH951" s="79" t="s">
        <v>751</v>
      </c>
      <c r="AT951" s="20" t="e">
        <f t="shared" si="220"/>
        <v>#N/A</v>
      </c>
      <c r="BZ951" s="64">
        <v>16487311.32</v>
      </c>
      <c r="CD951" s="20" t="e">
        <f t="shared" si="215"/>
        <v>#N/A</v>
      </c>
    </row>
    <row r="952" spans="1:82" ht="61.5" x14ac:dyDescent="0.85">
      <c r="A952" s="20">
        <v>1</v>
      </c>
      <c r="B952" s="60">
        <f>SUBTOTAL(103,$A$558:A952)</f>
        <v>351</v>
      </c>
      <c r="C952" s="24" t="s">
        <v>60</v>
      </c>
      <c r="D952" s="31">
        <f t="shared" ref="D952:D959" si="222">E952+F952+G952+H952+I952+J952+L952+N952+P952+R952+T952+U952+V952+W952+X952+Y952+Z952+AA952+AB952+AC952+AD952+AE952</f>
        <v>3431912.32</v>
      </c>
      <c r="E952" s="31">
        <v>0</v>
      </c>
      <c r="F952" s="31">
        <v>0</v>
      </c>
      <c r="G952" s="31">
        <v>0</v>
      </c>
      <c r="H952" s="31">
        <v>0</v>
      </c>
      <c r="I952" s="31">
        <v>0</v>
      </c>
      <c r="J952" s="31">
        <v>0</v>
      </c>
      <c r="K952" s="67">
        <v>0</v>
      </c>
      <c r="L952" s="31">
        <v>0</v>
      </c>
      <c r="M952" s="31">
        <v>663</v>
      </c>
      <c r="N952" s="31">
        <f>3263106.8</f>
        <v>3263106.8</v>
      </c>
      <c r="O952" s="31">
        <v>0</v>
      </c>
      <c r="P952" s="31">
        <v>0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0</v>
      </c>
      <c r="W952" s="31">
        <v>0</v>
      </c>
      <c r="X952" s="31">
        <v>0</v>
      </c>
      <c r="Y952" s="31">
        <v>0</v>
      </c>
      <c r="Z952" s="31">
        <v>0</v>
      </c>
      <c r="AA952" s="31">
        <v>0</v>
      </c>
      <c r="AB952" s="31">
        <v>0</v>
      </c>
      <c r="AC952" s="31">
        <f>ROUND(N952*1.5%,2)</f>
        <v>48946.6</v>
      </c>
      <c r="AD952" s="31">
        <v>119858.92</v>
      </c>
      <c r="AE952" s="31">
        <v>0</v>
      </c>
      <c r="AF952" s="33">
        <v>2021</v>
      </c>
      <c r="AG952" s="33">
        <v>2021</v>
      </c>
      <c r="AH952" s="34">
        <v>2021</v>
      </c>
      <c r="AT952" s="20" t="e">
        <f t="shared" si="220"/>
        <v>#N/A</v>
      </c>
      <c r="BZ952" s="64"/>
      <c r="CD952" s="20" t="e">
        <f t="shared" si="215"/>
        <v>#N/A</v>
      </c>
    </row>
    <row r="953" spans="1:82" ht="61.5" x14ac:dyDescent="0.85">
      <c r="A953" s="20">
        <v>1</v>
      </c>
      <c r="B953" s="60">
        <f>SUBTOTAL(103,$A$558:A953)</f>
        <v>352</v>
      </c>
      <c r="C953" s="24" t="s">
        <v>61</v>
      </c>
      <c r="D953" s="31">
        <f t="shared" si="222"/>
        <v>3384156.05</v>
      </c>
      <c r="E953" s="31">
        <v>0</v>
      </c>
      <c r="F953" s="31">
        <v>0</v>
      </c>
      <c r="G953" s="31">
        <v>0</v>
      </c>
      <c r="H953" s="31">
        <v>0</v>
      </c>
      <c r="I953" s="31">
        <v>0</v>
      </c>
      <c r="J953" s="31">
        <v>0</v>
      </c>
      <c r="K953" s="67">
        <v>0</v>
      </c>
      <c r="L953" s="31">
        <v>0</v>
      </c>
      <c r="M953" s="31">
        <v>660</v>
      </c>
      <c r="N953" s="31">
        <f>3247672.91</f>
        <v>3247672.91</v>
      </c>
      <c r="O953" s="31">
        <v>0</v>
      </c>
      <c r="P953" s="31">
        <v>0</v>
      </c>
      <c r="Q953" s="31">
        <v>0</v>
      </c>
      <c r="R953" s="31">
        <v>0</v>
      </c>
      <c r="S953" s="31">
        <v>0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0</v>
      </c>
      <c r="AA953" s="31">
        <v>0</v>
      </c>
      <c r="AB953" s="31">
        <v>0</v>
      </c>
      <c r="AC953" s="31">
        <f>ROUND(N953*1.5%,2)</f>
        <v>48715.09</v>
      </c>
      <c r="AD953" s="31">
        <v>87768.05</v>
      </c>
      <c r="AE953" s="31">
        <v>0</v>
      </c>
      <c r="AF953" s="33">
        <v>2021</v>
      </c>
      <c r="AG953" s="33">
        <v>2021</v>
      </c>
      <c r="AH953" s="34">
        <v>2021</v>
      </c>
      <c r="AT953" s="20" t="e">
        <f t="shared" si="220"/>
        <v>#N/A</v>
      </c>
      <c r="BZ953" s="64"/>
      <c r="CD953" s="20" t="e">
        <f t="shared" si="215"/>
        <v>#N/A</v>
      </c>
    </row>
    <row r="954" spans="1:82" ht="61.5" x14ac:dyDescent="0.85">
      <c r="A954" s="20">
        <v>1</v>
      </c>
      <c r="B954" s="60">
        <f>SUBTOTAL(103,$A$558:A954)</f>
        <v>353</v>
      </c>
      <c r="C954" s="24" t="s">
        <v>59</v>
      </c>
      <c r="D954" s="31">
        <f t="shared" si="222"/>
        <v>2934622.81</v>
      </c>
      <c r="E954" s="31">
        <v>0</v>
      </c>
      <c r="F954" s="31">
        <v>0</v>
      </c>
      <c r="G954" s="31">
        <v>0</v>
      </c>
      <c r="H954" s="31">
        <v>0</v>
      </c>
      <c r="I954" s="31">
        <v>0</v>
      </c>
      <c r="J954" s="31">
        <v>0</v>
      </c>
      <c r="K954" s="67">
        <v>0</v>
      </c>
      <c r="L954" s="31">
        <v>0</v>
      </c>
      <c r="M954" s="31">
        <v>647</v>
      </c>
      <c r="N954" s="31">
        <v>2891254</v>
      </c>
      <c r="O954" s="31">
        <v>0</v>
      </c>
      <c r="P954" s="31">
        <v>0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  <c r="AC954" s="31">
        <f>ROUND(N954*1.5%,2)</f>
        <v>43368.81</v>
      </c>
      <c r="AD954" s="31">
        <v>0</v>
      </c>
      <c r="AE954" s="31">
        <v>0</v>
      </c>
      <c r="AF954" s="33" t="s">
        <v>268</v>
      </c>
      <c r="AG954" s="33">
        <v>2021</v>
      </c>
      <c r="AH954" s="34">
        <v>2021</v>
      </c>
      <c r="AT954" s="20" t="e">
        <f t="shared" si="220"/>
        <v>#N/A</v>
      </c>
      <c r="BZ954" s="64"/>
      <c r="CD954" s="20" t="e">
        <f t="shared" si="215"/>
        <v>#N/A</v>
      </c>
    </row>
    <row r="955" spans="1:82" ht="61.5" x14ac:dyDescent="0.85">
      <c r="A955" s="20">
        <v>1</v>
      </c>
      <c r="B955" s="60">
        <f>SUBTOTAL(103,$A$558:A955)</f>
        <v>354</v>
      </c>
      <c r="C955" s="24" t="s">
        <v>62</v>
      </c>
      <c r="D955" s="31">
        <f t="shared" si="222"/>
        <v>2725491.0199999996</v>
      </c>
      <c r="E955" s="31">
        <v>0</v>
      </c>
      <c r="F955" s="31">
        <v>0</v>
      </c>
      <c r="G955" s="31">
        <v>0</v>
      </c>
      <c r="H955" s="31">
        <v>0</v>
      </c>
      <c r="I955" s="31">
        <v>0</v>
      </c>
      <c r="J955" s="31">
        <v>0</v>
      </c>
      <c r="K955" s="67">
        <v>0</v>
      </c>
      <c r="L955" s="31">
        <v>0</v>
      </c>
      <c r="M955" s="31">
        <v>536.20000000000005</v>
      </c>
      <c r="N955" s="31">
        <v>2610767.65</v>
      </c>
      <c r="O955" s="31">
        <v>0</v>
      </c>
      <c r="P955" s="31">
        <v>0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  <c r="AC955" s="31">
        <f>ROUND(N955*1.5%,2)</f>
        <v>39161.51</v>
      </c>
      <c r="AD955" s="31">
        <v>75561.86</v>
      </c>
      <c r="AE955" s="31">
        <v>0</v>
      </c>
      <c r="AF955" s="33">
        <v>2021</v>
      </c>
      <c r="AG955" s="33">
        <v>2021</v>
      </c>
      <c r="AH955" s="34">
        <v>2021</v>
      </c>
      <c r="AT955" s="20" t="e">
        <f t="shared" si="220"/>
        <v>#N/A</v>
      </c>
      <c r="BZ955" s="64"/>
      <c r="CD955" s="20" t="e">
        <f t="shared" si="215"/>
        <v>#N/A</v>
      </c>
    </row>
    <row r="956" spans="1:82" ht="61.5" x14ac:dyDescent="0.85">
      <c r="A956" s="20">
        <v>1</v>
      </c>
      <c r="B956" s="60">
        <f>SUBTOTAL(103,$A$558:A956)</f>
        <v>355</v>
      </c>
      <c r="C956" s="24" t="s">
        <v>58</v>
      </c>
      <c r="D956" s="31">
        <f t="shared" si="222"/>
        <v>2871578.12</v>
      </c>
      <c r="E956" s="31">
        <v>0</v>
      </c>
      <c r="F956" s="31">
        <v>0</v>
      </c>
      <c r="G956" s="31">
        <v>0</v>
      </c>
      <c r="H956" s="31">
        <v>0</v>
      </c>
      <c r="I956" s="31">
        <v>0</v>
      </c>
      <c r="J956" s="31">
        <v>0</v>
      </c>
      <c r="K956" s="67">
        <v>0</v>
      </c>
      <c r="L956" s="31">
        <v>0</v>
      </c>
      <c r="M956" s="31">
        <v>651.20000000000005</v>
      </c>
      <c r="N956" s="31">
        <v>2829141</v>
      </c>
      <c r="O956" s="31">
        <v>0</v>
      </c>
      <c r="P956" s="31">
        <v>0</v>
      </c>
      <c r="Q956" s="31">
        <v>0</v>
      </c>
      <c r="R956" s="31">
        <v>0</v>
      </c>
      <c r="S956" s="31">
        <v>0</v>
      </c>
      <c r="T956" s="31">
        <v>0</v>
      </c>
      <c r="U956" s="31">
        <v>0</v>
      </c>
      <c r="V956" s="31">
        <v>0</v>
      </c>
      <c r="W956" s="31">
        <v>0</v>
      </c>
      <c r="X956" s="31">
        <v>0</v>
      </c>
      <c r="Y956" s="31">
        <v>0</v>
      </c>
      <c r="Z956" s="31">
        <v>0</v>
      </c>
      <c r="AA956" s="31">
        <v>0</v>
      </c>
      <c r="AB956" s="31">
        <v>0</v>
      </c>
      <c r="AC956" s="31">
        <f>ROUND(N956*1.5%,2)</f>
        <v>42437.120000000003</v>
      </c>
      <c r="AD956" s="31">
        <v>0</v>
      </c>
      <c r="AE956" s="31">
        <v>0</v>
      </c>
      <c r="AF956" s="33" t="s">
        <v>268</v>
      </c>
      <c r="AG956" s="33">
        <v>2021</v>
      </c>
      <c r="AH956" s="34">
        <v>2021</v>
      </c>
      <c r="AT956" s="20" t="e">
        <f t="shared" si="220"/>
        <v>#N/A</v>
      </c>
      <c r="BZ956" s="64"/>
      <c r="CD956" s="20" t="e">
        <f t="shared" si="215"/>
        <v>#N/A</v>
      </c>
    </row>
    <row r="957" spans="1:82" ht="61.5" x14ac:dyDescent="0.85">
      <c r="A957" s="20">
        <v>1</v>
      </c>
      <c r="B957" s="60">
        <f>SUBTOTAL(103,$A$558:A957)</f>
        <v>356</v>
      </c>
      <c r="C957" s="24" t="s">
        <v>1244</v>
      </c>
      <c r="D957" s="31">
        <f t="shared" si="222"/>
        <v>4087052.6</v>
      </c>
      <c r="E957" s="31">
        <v>0</v>
      </c>
      <c r="F957" s="31">
        <v>0</v>
      </c>
      <c r="G957" s="31">
        <v>0</v>
      </c>
      <c r="H957" s="31">
        <v>0</v>
      </c>
      <c r="I957" s="31">
        <v>0</v>
      </c>
      <c r="J957" s="31">
        <v>0</v>
      </c>
      <c r="K957" s="67">
        <v>0</v>
      </c>
      <c r="L957" s="31">
        <v>0</v>
      </c>
      <c r="M957" s="31">
        <v>0</v>
      </c>
      <c r="N957" s="31">
        <v>0</v>
      </c>
      <c r="O957" s="31">
        <v>0</v>
      </c>
      <c r="P957" s="31">
        <v>0</v>
      </c>
      <c r="Q957" s="31">
        <v>2886.45</v>
      </c>
      <c r="R957" s="38">
        <v>4026652.81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0</v>
      </c>
      <c r="Z957" s="31">
        <v>0</v>
      </c>
      <c r="AA957" s="31">
        <v>0</v>
      </c>
      <c r="AB957" s="31">
        <v>0</v>
      </c>
      <c r="AC957" s="31">
        <f>ROUND(R957*1.5%,2)</f>
        <v>60399.79</v>
      </c>
      <c r="AD957" s="31">
        <v>0</v>
      </c>
      <c r="AE957" s="31">
        <v>0</v>
      </c>
      <c r="AF957" s="33" t="s">
        <v>268</v>
      </c>
      <c r="AG957" s="33">
        <v>2021</v>
      </c>
      <c r="AH957" s="34">
        <v>2021</v>
      </c>
      <c r="BZ957" s="64"/>
      <c r="CD957" s="20" t="e">
        <f t="shared" si="215"/>
        <v>#N/A</v>
      </c>
    </row>
    <row r="958" spans="1:82" ht="61.5" x14ac:dyDescent="0.85">
      <c r="A958" s="20">
        <v>1</v>
      </c>
      <c r="B958" s="60">
        <f>SUBTOTAL(103,$A$558:A958)</f>
        <v>357</v>
      </c>
      <c r="C958" s="24" t="s">
        <v>49</v>
      </c>
      <c r="D958" s="31">
        <f t="shared" si="222"/>
        <v>4302586.0199999996</v>
      </c>
      <c r="E958" s="31">
        <v>0</v>
      </c>
      <c r="F958" s="31">
        <v>0</v>
      </c>
      <c r="G958" s="31">
        <v>0</v>
      </c>
      <c r="H958" s="31">
        <v>0</v>
      </c>
      <c r="I958" s="31">
        <v>0</v>
      </c>
      <c r="J958" s="31">
        <v>0</v>
      </c>
      <c r="K958" s="67">
        <v>0</v>
      </c>
      <c r="L958" s="31">
        <v>0</v>
      </c>
      <c r="M958" s="38">
        <v>913.83</v>
      </c>
      <c r="N958" s="38">
        <v>4239001</v>
      </c>
      <c r="O958" s="31">
        <v>0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0</v>
      </c>
      <c r="AC958" s="31">
        <f>ROUND(N958*1.5%,2)</f>
        <v>63585.02</v>
      </c>
      <c r="AD958" s="31">
        <v>0</v>
      </c>
      <c r="AE958" s="31">
        <v>0</v>
      </c>
      <c r="AF958" s="33" t="s">
        <v>268</v>
      </c>
      <c r="AG958" s="33">
        <v>2021</v>
      </c>
      <c r="AH958" s="34">
        <v>2021</v>
      </c>
      <c r="AT958" s="20">
        <v>1</v>
      </c>
      <c r="BZ958" s="64"/>
      <c r="CD958" s="20" t="e">
        <v>#N/A</v>
      </c>
    </row>
    <row r="959" spans="1:82" ht="61.5" x14ac:dyDescent="0.85">
      <c r="A959" s="20">
        <v>1</v>
      </c>
      <c r="B959" s="60">
        <f>SUBTOTAL(103,$A$558:A959)</f>
        <v>358</v>
      </c>
      <c r="C959" s="24" t="s">
        <v>2304</v>
      </c>
      <c r="D959" s="31">
        <f t="shared" si="222"/>
        <v>3245890.26</v>
      </c>
      <c r="E959" s="31">
        <v>0</v>
      </c>
      <c r="F959" s="31">
        <v>0</v>
      </c>
      <c r="G959" s="31">
        <v>0</v>
      </c>
      <c r="H959" s="31">
        <v>0</v>
      </c>
      <c r="I959" s="31">
        <v>0</v>
      </c>
      <c r="J959" s="31">
        <v>0</v>
      </c>
      <c r="K959" s="67">
        <v>0</v>
      </c>
      <c r="L959" s="31">
        <v>0</v>
      </c>
      <c r="M959" s="38">
        <v>667</v>
      </c>
      <c r="N959" s="38">
        <v>3079694.84</v>
      </c>
      <c r="O959" s="31">
        <v>0</v>
      </c>
      <c r="P959" s="31">
        <v>0</v>
      </c>
      <c r="Q959" s="31">
        <v>0</v>
      </c>
      <c r="R959" s="31">
        <v>0</v>
      </c>
      <c r="S959" s="31">
        <v>0</v>
      </c>
      <c r="T959" s="31">
        <v>0</v>
      </c>
      <c r="U959" s="31">
        <v>0</v>
      </c>
      <c r="V959" s="31">
        <v>0</v>
      </c>
      <c r="W959" s="31">
        <v>0</v>
      </c>
      <c r="X959" s="31">
        <v>0</v>
      </c>
      <c r="Y959" s="31">
        <v>0</v>
      </c>
      <c r="Z959" s="31">
        <v>0</v>
      </c>
      <c r="AA959" s="31">
        <v>0</v>
      </c>
      <c r="AB959" s="31">
        <v>0</v>
      </c>
      <c r="AC959" s="31">
        <f>ROUND(N959*1.5%,2)</f>
        <v>46195.42</v>
      </c>
      <c r="AD959" s="31">
        <v>120000</v>
      </c>
      <c r="AE959" s="31">
        <v>0</v>
      </c>
      <c r="AF959" s="33">
        <v>2021</v>
      </c>
      <c r="AG959" s="33">
        <v>2021</v>
      </c>
      <c r="AH959" s="34">
        <v>2021</v>
      </c>
      <c r="AT959" s="20">
        <v>1</v>
      </c>
      <c r="BZ959" s="64"/>
      <c r="CD959" s="20" t="e">
        <v>#N/A</v>
      </c>
    </row>
    <row r="960" spans="1:82" ht="61.5" x14ac:dyDescent="0.85">
      <c r="B960" s="24" t="s">
        <v>847</v>
      </c>
      <c r="C960" s="198"/>
      <c r="D960" s="199">
        <f>SUM(D961:D963)</f>
        <v>8165392.25</v>
      </c>
      <c r="E960" s="31">
        <f t="shared" ref="E960:AE960" si="223">SUM(E961:E963)</f>
        <v>0</v>
      </c>
      <c r="F960" s="31">
        <f t="shared" si="223"/>
        <v>0</v>
      </c>
      <c r="G960" s="31">
        <f t="shared" si="223"/>
        <v>0</v>
      </c>
      <c r="H960" s="31">
        <f t="shared" si="223"/>
        <v>0</v>
      </c>
      <c r="I960" s="31">
        <f t="shared" si="223"/>
        <v>0</v>
      </c>
      <c r="J960" s="31">
        <f t="shared" si="223"/>
        <v>0</v>
      </c>
      <c r="K960" s="67">
        <f t="shared" si="223"/>
        <v>0</v>
      </c>
      <c r="L960" s="31">
        <f t="shared" si="223"/>
        <v>0</v>
      </c>
      <c r="M960" s="31">
        <f t="shared" si="223"/>
        <v>1783</v>
      </c>
      <c r="N960" s="31">
        <f t="shared" si="223"/>
        <v>7741178.3399999999</v>
      </c>
      <c r="O960" s="31">
        <f t="shared" si="223"/>
        <v>0</v>
      </c>
      <c r="P960" s="31">
        <f t="shared" si="223"/>
        <v>0</v>
      </c>
      <c r="Q960" s="31">
        <f t="shared" si="223"/>
        <v>0</v>
      </c>
      <c r="R960" s="31">
        <f t="shared" si="223"/>
        <v>0</v>
      </c>
      <c r="S960" s="31">
        <f t="shared" si="223"/>
        <v>0</v>
      </c>
      <c r="T960" s="31">
        <f t="shared" si="223"/>
        <v>0</v>
      </c>
      <c r="U960" s="31">
        <f t="shared" si="223"/>
        <v>0</v>
      </c>
      <c r="V960" s="31">
        <f t="shared" si="223"/>
        <v>0</v>
      </c>
      <c r="W960" s="31">
        <f t="shared" si="223"/>
        <v>0</v>
      </c>
      <c r="X960" s="31">
        <f t="shared" si="223"/>
        <v>0</v>
      </c>
      <c r="Y960" s="31">
        <f t="shared" si="223"/>
        <v>0</v>
      </c>
      <c r="Z960" s="31">
        <f t="shared" si="223"/>
        <v>0</v>
      </c>
      <c r="AA960" s="31">
        <f t="shared" si="223"/>
        <v>0</v>
      </c>
      <c r="AB960" s="31">
        <f t="shared" si="223"/>
        <v>0</v>
      </c>
      <c r="AC960" s="31">
        <f t="shared" si="223"/>
        <v>116117.68000000001</v>
      </c>
      <c r="AD960" s="31">
        <f t="shared" si="223"/>
        <v>308096.23</v>
      </c>
      <c r="AE960" s="31">
        <f t="shared" si="223"/>
        <v>0</v>
      </c>
      <c r="AF960" s="65" t="s">
        <v>751</v>
      </c>
      <c r="AG960" s="65" t="s">
        <v>751</v>
      </c>
      <c r="AH960" s="79" t="s">
        <v>751</v>
      </c>
      <c r="AT960" s="20" t="e">
        <f>VLOOKUP(C960,AW:AX,2,FALSE)</f>
        <v>#N/A</v>
      </c>
      <c r="BZ960" s="64">
        <v>6032850.6600000001</v>
      </c>
      <c r="CD960" s="20" t="e">
        <f t="shared" ref="CD960:CD967" si="224">VLOOKUP(C960,CE:CF,2,FALSE)</f>
        <v>#N/A</v>
      </c>
    </row>
    <row r="961" spans="1:82" ht="61.5" x14ac:dyDescent="0.85">
      <c r="A961" s="20">
        <v>1</v>
      </c>
      <c r="B961" s="60">
        <f>SUBTOTAL(103,$A$558:A961)</f>
        <v>359</v>
      </c>
      <c r="C961" s="24" t="s">
        <v>229</v>
      </c>
      <c r="D961" s="31">
        <f>E961+F961+G961+H961+I961+J961+L961+N961+P961+R961+T961+U961+V961+W961+X961+Y961+Z961+AA961+AB961+AC961+AD961+AE961</f>
        <v>4231329.66</v>
      </c>
      <c r="E961" s="31">
        <v>0</v>
      </c>
      <c r="F961" s="31">
        <v>0</v>
      </c>
      <c r="G961" s="31">
        <v>0</v>
      </c>
      <c r="H961" s="31">
        <v>0</v>
      </c>
      <c r="I961" s="31">
        <v>0</v>
      </c>
      <c r="J961" s="31">
        <v>0</v>
      </c>
      <c r="K961" s="67">
        <v>0</v>
      </c>
      <c r="L961" s="31">
        <v>0</v>
      </c>
      <c r="M961" s="31">
        <v>858</v>
      </c>
      <c r="N961" s="31">
        <f>4021014.44+44076.59</f>
        <v>4065091.03</v>
      </c>
      <c r="O961" s="31">
        <v>0</v>
      </c>
      <c r="P961" s="31">
        <v>0</v>
      </c>
      <c r="Q961" s="31">
        <v>0</v>
      </c>
      <c r="R961" s="31">
        <v>0</v>
      </c>
      <c r="S961" s="31">
        <v>0</v>
      </c>
      <c r="T961" s="31">
        <v>0</v>
      </c>
      <c r="U961" s="31">
        <v>0</v>
      </c>
      <c r="V961" s="31">
        <v>0</v>
      </c>
      <c r="W961" s="31">
        <v>0</v>
      </c>
      <c r="X961" s="31">
        <v>0</v>
      </c>
      <c r="Y961" s="31">
        <v>0</v>
      </c>
      <c r="Z961" s="31">
        <v>0</v>
      </c>
      <c r="AA961" s="31">
        <v>0</v>
      </c>
      <c r="AB961" s="31">
        <v>0</v>
      </c>
      <c r="AC961" s="31">
        <f>ROUND(N961*1.5%,2)</f>
        <v>60976.37</v>
      </c>
      <c r="AD961" s="31">
        <v>105262.26</v>
      </c>
      <c r="AE961" s="31">
        <v>0</v>
      </c>
      <c r="AF961" s="33">
        <v>2021</v>
      </c>
      <c r="AG961" s="33">
        <v>2021</v>
      </c>
      <c r="AH961" s="34">
        <v>2021</v>
      </c>
      <c r="AT961" s="20" t="e">
        <f>VLOOKUP(C961,AW:AX,2,FALSE)</f>
        <v>#N/A</v>
      </c>
      <c r="BZ961" s="64"/>
      <c r="CD961" s="20" t="e">
        <f t="shared" si="224"/>
        <v>#N/A</v>
      </c>
    </row>
    <row r="962" spans="1:82" ht="61.5" x14ac:dyDescent="0.85">
      <c r="A962" s="20">
        <v>1</v>
      </c>
      <c r="B962" s="60">
        <f>SUBTOTAL(103,$A$558:A962)</f>
        <v>360</v>
      </c>
      <c r="C962" s="24" t="s">
        <v>228</v>
      </c>
      <c r="D962" s="31">
        <f>E962+F962+G962+H962+I962+J962+L962+N962+P962+R962+T962+U962+V962+W962+X962+Y962+Z962+AA962+AB962+AC962+AD962+AE962</f>
        <v>1801520.9999999998</v>
      </c>
      <c r="E962" s="31">
        <v>0</v>
      </c>
      <c r="F962" s="31">
        <v>0</v>
      </c>
      <c r="G962" s="31">
        <v>0</v>
      </c>
      <c r="H962" s="31">
        <v>0</v>
      </c>
      <c r="I962" s="31">
        <v>0</v>
      </c>
      <c r="J962" s="31">
        <v>0</v>
      </c>
      <c r="K962" s="67">
        <v>0</v>
      </c>
      <c r="L962" s="31">
        <v>0</v>
      </c>
      <c r="M962" s="31">
        <v>345</v>
      </c>
      <c r="N962" s="31">
        <f>1656670.94+66173.42</f>
        <v>1722844.3599999999</v>
      </c>
      <c r="O962" s="31">
        <v>0</v>
      </c>
      <c r="P962" s="31">
        <v>0</v>
      </c>
      <c r="Q962" s="31">
        <v>0</v>
      </c>
      <c r="R962" s="31">
        <v>0</v>
      </c>
      <c r="S962" s="31">
        <v>0</v>
      </c>
      <c r="T962" s="31">
        <v>0</v>
      </c>
      <c r="U962" s="31">
        <v>0</v>
      </c>
      <c r="V962" s="31">
        <v>0</v>
      </c>
      <c r="W962" s="31">
        <v>0</v>
      </c>
      <c r="X962" s="31">
        <v>0</v>
      </c>
      <c r="Y962" s="31">
        <v>0</v>
      </c>
      <c r="Z962" s="31">
        <v>0</v>
      </c>
      <c r="AA962" s="31">
        <v>0</v>
      </c>
      <c r="AB962" s="31">
        <v>0</v>
      </c>
      <c r="AC962" s="31">
        <f>ROUND(N962*1.5%,2)</f>
        <v>25842.67</v>
      </c>
      <c r="AD962" s="31">
        <v>52833.97</v>
      </c>
      <c r="AE962" s="31">
        <v>0</v>
      </c>
      <c r="AF962" s="33">
        <v>2021</v>
      </c>
      <c r="AG962" s="33">
        <v>2021</v>
      </c>
      <c r="AH962" s="34">
        <v>2021</v>
      </c>
      <c r="AT962" s="20" t="e">
        <f>VLOOKUP(C962,AW:AX,2,FALSE)</f>
        <v>#N/A</v>
      </c>
      <c r="BZ962" s="64"/>
      <c r="CD962" s="20" t="e">
        <f t="shared" si="224"/>
        <v>#N/A</v>
      </c>
    </row>
    <row r="963" spans="1:82" ht="61.5" x14ac:dyDescent="0.85">
      <c r="A963" s="20">
        <v>1</v>
      </c>
      <c r="B963" s="60">
        <f>SUBTOTAL(103,$A$558:A963)</f>
        <v>361</v>
      </c>
      <c r="C963" s="24" t="s">
        <v>1906</v>
      </c>
      <c r="D963" s="31">
        <f>E963+F963+G963+H963+I963+J963+L963+N963+P963+R963+T963+U963+V963+W963+X963+Y963+Z963+AA963+AB963+AC963+AD963+AE963</f>
        <v>2132541.59</v>
      </c>
      <c r="E963" s="31">
        <v>0</v>
      </c>
      <c r="F963" s="31">
        <v>0</v>
      </c>
      <c r="G963" s="31">
        <v>0</v>
      </c>
      <c r="H963" s="31">
        <v>0</v>
      </c>
      <c r="I963" s="31">
        <v>0</v>
      </c>
      <c r="J963" s="31">
        <v>0</v>
      </c>
      <c r="K963" s="67">
        <v>0</v>
      </c>
      <c r="L963" s="31">
        <v>0</v>
      </c>
      <c r="M963" s="31">
        <v>580</v>
      </c>
      <c r="N963" s="31">
        <v>1953242.95</v>
      </c>
      <c r="O963" s="31">
        <v>0</v>
      </c>
      <c r="P963" s="31">
        <v>0</v>
      </c>
      <c r="Q963" s="31">
        <v>0</v>
      </c>
      <c r="R963" s="31">
        <v>0</v>
      </c>
      <c r="S963" s="31">
        <v>0</v>
      </c>
      <c r="T963" s="31">
        <v>0</v>
      </c>
      <c r="U963" s="31">
        <v>0</v>
      </c>
      <c r="V963" s="31">
        <v>0</v>
      </c>
      <c r="W963" s="31">
        <v>0</v>
      </c>
      <c r="X963" s="31">
        <v>0</v>
      </c>
      <c r="Y963" s="31">
        <v>0</v>
      </c>
      <c r="Z963" s="31">
        <v>0</v>
      </c>
      <c r="AA963" s="31">
        <v>0</v>
      </c>
      <c r="AB963" s="31">
        <v>0</v>
      </c>
      <c r="AC963" s="31">
        <f>ROUND(N963*1.5%,2)</f>
        <v>29298.639999999999</v>
      </c>
      <c r="AD963" s="31">
        <v>150000</v>
      </c>
      <c r="AE963" s="31">
        <v>0</v>
      </c>
      <c r="AF963" s="33">
        <v>2021</v>
      </c>
      <c r="AG963" s="33">
        <v>2021</v>
      </c>
      <c r="AH963" s="34">
        <v>2021</v>
      </c>
      <c r="AT963" s="20" t="e">
        <f>VLOOKUP(C963,AW:AX,2,FALSE)</f>
        <v>#N/A</v>
      </c>
      <c r="BZ963" s="64"/>
      <c r="CD963" s="20" t="e">
        <f t="shared" si="224"/>
        <v>#N/A</v>
      </c>
    </row>
    <row r="964" spans="1:82" ht="61.5" x14ac:dyDescent="0.85">
      <c r="B964" s="24" t="s">
        <v>1288</v>
      </c>
      <c r="C964" s="198"/>
      <c r="D964" s="199">
        <f t="shared" ref="D964:AE964" si="225">D965</f>
        <v>4934808.4300000006</v>
      </c>
      <c r="E964" s="31">
        <f t="shared" si="225"/>
        <v>0</v>
      </c>
      <c r="F964" s="31">
        <f t="shared" si="225"/>
        <v>0</v>
      </c>
      <c r="G964" s="31">
        <f t="shared" si="225"/>
        <v>0</v>
      </c>
      <c r="H964" s="31">
        <f t="shared" si="225"/>
        <v>0</v>
      </c>
      <c r="I964" s="31">
        <f t="shared" si="225"/>
        <v>0</v>
      </c>
      <c r="J964" s="31">
        <f t="shared" si="225"/>
        <v>0</v>
      </c>
      <c r="K964" s="67">
        <f t="shared" si="225"/>
        <v>0</v>
      </c>
      <c r="L964" s="31">
        <f t="shared" si="225"/>
        <v>0</v>
      </c>
      <c r="M964" s="31">
        <f t="shared" si="225"/>
        <v>770</v>
      </c>
      <c r="N964" s="31">
        <f t="shared" si="225"/>
        <v>4861880.2300000004</v>
      </c>
      <c r="O964" s="31">
        <f t="shared" si="225"/>
        <v>0</v>
      </c>
      <c r="P964" s="31">
        <f t="shared" si="225"/>
        <v>0</v>
      </c>
      <c r="Q964" s="31">
        <f t="shared" si="225"/>
        <v>0</v>
      </c>
      <c r="R964" s="31">
        <f t="shared" si="225"/>
        <v>0</v>
      </c>
      <c r="S964" s="31">
        <f t="shared" si="225"/>
        <v>0</v>
      </c>
      <c r="T964" s="31">
        <f t="shared" si="225"/>
        <v>0</v>
      </c>
      <c r="U964" s="31">
        <f t="shared" si="225"/>
        <v>0</v>
      </c>
      <c r="V964" s="31">
        <f t="shared" si="225"/>
        <v>0</v>
      </c>
      <c r="W964" s="31">
        <f t="shared" si="225"/>
        <v>0</v>
      </c>
      <c r="X964" s="31">
        <f t="shared" si="225"/>
        <v>0</v>
      </c>
      <c r="Y964" s="31">
        <f t="shared" si="225"/>
        <v>0</v>
      </c>
      <c r="Z964" s="31">
        <f t="shared" si="225"/>
        <v>0</v>
      </c>
      <c r="AA964" s="31">
        <f t="shared" si="225"/>
        <v>0</v>
      </c>
      <c r="AB964" s="31">
        <f t="shared" si="225"/>
        <v>0</v>
      </c>
      <c r="AC964" s="31">
        <f t="shared" si="225"/>
        <v>72928.2</v>
      </c>
      <c r="AD964" s="31">
        <f t="shared" si="225"/>
        <v>0</v>
      </c>
      <c r="AE964" s="31">
        <f t="shared" si="225"/>
        <v>0</v>
      </c>
      <c r="AF964" s="65" t="s">
        <v>751</v>
      </c>
      <c r="AG964" s="65" t="s">
        <v>751</v>
      </c>
      <c r="AH964" s="79" t="s">
        <v>751</v>
      </c>
      <c r="AT964" s="20" t="e">
        <f>VLOOKUP(C964,AW:AX,2,FALSE)</f>
        <v>#N/A</v>
      </c>
      <c r="BZ964" s="64">
        <v>1799918.22</v>
      </c>
      <c r="CD964" s="20" t="e">
        <f t="shared" si="224"/>
        <v>#N/A</v>
      </c>
    </row>
    <row r="965" spans="1:82" ht="61.5" x14ac:dyDescent="0.85">
      <c r="A965" s="20">
        <v>1</v>
      </c>
      <c r="B965" s="60">
        <f>SUBTOTAL(103,$A$558:A965)</f>
        <v>362</v>
      </c>
      <c r="C965" s="24" t="s">
        <v>1289</v>
      </c>
      <c r="D965" s="31">
        <f>E965+F965+G965+H965+I965+J965+L965+N965+P965+R965+T965+U965+V965+W965+X965+Y965+Z965+AA965+AB965+AC965+AD965+AE965</f>
        <v>4934808.4300000006</v>
      </c>
      <c r="E965" s="31">
        <v>0</v>
      </c>
      <c r="F965" s="31">
        <v>0</v>
      </c>
      <c r="G965" s="31">
        <v>0</v>
      </c>
      <c r="H965" s="31">
        <v>0</v>
      </c>
      <c r="I965" s="31">
        <v>0</v>
      </c>
      <c r="J965" s="31">
        <v>0</v>
      </c>
      <c r="K965" s="67">
        <v>0</v>
      </c>
      <c r="L965" s="31">
        <v>0</v>
      </c>
      <c r="M965" s="38">
        <v>770</v>
      </c>
      <c r="N965" s="38">
        <f>3532234.65+1329645.58</f>
        <v>4861880.2300000004</v>
      </c>
      <c r="O965" s="31">
        <v>0</v>
      </c>
      <c r="P965" s="31">
        <v>0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0</v>
      </c>
      <c r="W965" s="31">
        <v>0</v>
      </c>
      <c r="X965" s="31">
        <v>0</v>
      </c>
      <c r="Y965" s="31">
        <v>0</v>
      </c>
      <c r="Z965" s="31">
        <v>0</v>
      </c>
      <c r="AA965" s="31">
        <v>0</v>
      </c>
      <c r="AB965" s="31">
        <v>0</v>
      </c>
      <c r="AC965" s="31">
        <f>ROUND(N965*1.5%,2)</f>
        <v>72928.2</v>
      </c>
      <c r="AD965" s="31">
        <v>0</v>
      </c>
      <c r="AE965" s="31">
        <v>0</v>
      </c>
      <c r="AF965" s="33" t="s">
        <v>268</v>
      </c>
      <c r="AG965" s="33">
        <v>2021</v>
      </c>
      <c r="AH965" s="34">
        <v>2021</v>
      </c>
      <c r="BZ965" s="64"/>
      <c r="CD965" s="20">
        <f t="shared" si="224"/>
        <v>735</v>
      </c>
    </row>
    <row r="966" spans="1:82" ht="61.5" x14ac:dyDescent="0.85">
      <c r="B966" s="24" t="s">
        <v>849</v>
      </c>
      <c r="C966" s="198"/>
      <c r="D966" s="199">
        <f>SUM(D967:D968)</f>
        <v>7040608.0200000005</v>
      </c>
      <c r="E966" s="31">
        <f t="shared" ref="E966:AE966" si="226">SUM(E967:E968)</f>
        <v>0</v>
      </c>
      <c r="F966" s="31">
        <f t="shared" si="226"/>
        <v>0</v>
      </c>
      <c r="G966" s="31">
        <f t="shared" si="226"/>
        <v>0</v>
      </c>
      <c r="H966" s="31">
        <f t="shared" si="226"/>
        <v>0</v>
      </c>
      <c r="I966" s="31">
        <f t="shared" si="226"/>
        <v>367412.22</v>
      </c>
      <c r="J966" s="31">
        <f t="shared" si="226"/>
        <v>0</v>
      </c>
      <c r="K966" s="67">
        <f t="shared" si="226"/>
        <v>0</v>
      </c>
      <c r="L966" s="31">
        <f t="shared" si="226"/>
        <v>0</v>
      </c>
      <c r="M966" s="31">
        <f t="shared" si="226"/>
        <v>1280</v>
      </c>
      <c r="N966" s="31">
        <f t="shared" si="226"/>
        <v>6450920.7999999998</v>
      </c>
      <c r="O966" s="31">
        <f t="shared" si="226"/>
        <v>0</v>
      </c>
      <c r="P966" s="31">
        <f t="shared" si="226"/>
        <v>0</v>
      </c>
      <c r="Q966" s="31">
        <f t="shared" si="226"/>
        <v>0</v>
      </c>
      <c r="R966" s="31">
        <f t="shared" si="226"/>
        <v>0</v>
      </c>
      <c r="S966" s="31">
        <f t="shared" si="226"/>
        <v>0</v>
      </c>
      <c r="T966" s="31">
        <f t="shared" si="226"/>
        <v>0</v>
      </c>
      <c r="U966" s="31">
        <f t="shared" si="226"/>
        <v>0</v>
      </c>
      <c r="V966" s="31">
        <f t="shared" si="226"/>
        <v>0</v>
      </c>
      <c r="W966" s="31">
        <f t="shared" si="226"/>
        <v>0</v>
      </c>
      <c r="X966" s="31">
        <f t="shared" si="226"/>
        <v>0</v>
      </c>
      <c r="Y966" s="31">
        <f t="shared" si="226"/>
        <v>0</v>
      </c>
      <c r="Z966" s="31">
        <f t="shared" si="226"/>
        <v>0</v>
      </c>
      <c r="AA966" s="31">
        <f t="shared" si="226"/>
        <v>0</v>
      </c>
      <c r="AB966" s="31">
        <f t="shared" si="226"/>
        <v>0</v>
      </c>
      <c r="AC966" s="31">
        <f t="shared" si="226"/>
        <v>102275</v>
      </c>
      <c r="AD966" s="31">
        <f t="shared" si="226"/>
        <v>120000</v>
      </c>
      <c r="AE966" s="31">
        <f t="shared" si="226"/>
        <v>0</v>
      </c>
      <c r="AF966" s="65" t="s">
        <v>751</v>
      </c>
      <c r="AG966" s="65" t="s">
        <v>751</v>
      </c>
      <c r="AH966" s="79" t="s">
        <v>751</v>
      </c>
      <c r="AT966" s="20" t="e">
        <f>VLOOKUP(C966,AW:AX,2,FALSE)</f>
        <v>#N/A</v>
      </c>
      <c r="BZ966" s="64">
        <v>1799918.22</v>
      </c>
      <c r="CD966" s="20" t="e">
        <f t="shared" si="224"/>
        <v>#N/A</v>
      </c>
    </row>
    <row r="967" spans="1:82" ht="61.5" x14ac:dyDescent="0.85">
      <c r="A967" s="20">
        <v>1</v>
      </c>
      <c r="B967" s="60">
        <f>SUBTOTAL(103,$A$558:A967)</f>
        <v>363</v>
      </c>
      <c r="C967" s="24" t="s">
        <v>149</v>
      </c>
      <c r="D967" s="31">
        <f>E967+F967+G967+H967+I967+J967+L967+N967+P967+R967+T967+U967+V967+W967+X967+Y967+Z967+AA967+AB967+AC967+AD967+AE967</f>
        <v>1822040.62</v>
      </c>
      <c r="E967" s="31">
        <v>0</v>
      </c>
      <c r="F967" s="31">
        <v>0</v>
      </c>
      <c r="G967" s="31">
        <v>0</v>
      </c>
      <c r="H967" s="31">
        <v>0</v>
      </c>
      <c r="I967" s="31">
        <v>367412.22</v>
      </c>
      <c r="J967" s="31">
        <v>0</v>
      </c>
      <c r="K967" s="67">
        <v>0</v>
      </c>
      <c r="L967" s="31">
        <v>0</v>
      </c>
      <c r="M967" s="31">
        <v>300</v>
      </c>
      <c r="N967" s="31">
        <f>1287679.62+21795.47</f>
        <v>1309475.0900000001</v>
      </c>
      <c r="O967" s="31">
        <v>0</v>
      </c>
      <c r="P967" s="31">
        <v>0</v>
      </c>
      <c r="Q967" s="31">
        <v>0</v>
      </c>
      <c r="R967" s="31">
        <v>0</v>
      </c>
      <c r="S967" s="31">
        <v>0</v>
      </c>
      <c r="T967" s="31">
        <v>0</v>
      </c>
      <c r="U967" s="31">
        <v>0</v>
      </c>
      <c r="V967" s="31">
        <v>0</v>
      </c>
      <c r="W967" s="31">
        <v>0</v>
      </c>
      <c r="X967" s="31">
        <v>0</v>
      </c>
      <c r="Y967" s="31">
        <v>0</v>
      </c>
      <c r="Z967" s="31">
        <v>0</v>
      </c>
      <c r="AA967" s="31">
        <v>0</v>
      </c>
      <c r="AB967" s="31">
        <v>0</v>
      </c>
      <c r="AC967" s="31">
        <f>ROUND((N967+I967)*1.5%,2)</f>
        <v>25153.31</v>
      </c>
      <c r="AD967" s="31">
        <v>120000</v>
      </c>
      <c r="AE967" s="31">
        <v>0</v>
      </c>
      <c r="AF967" s="33">
        <v>2021</v>
      </c>
      <c r="AG967" s="33">
        <v>2021</v>
      </c>
      <c r="AH967" s="34">
        <v>2021</v>
      </c>
      <c r="AT967" s="20" t="e">
        <f>VLOOKUP(C967,AW:AX,2,FALSE)</f>
        <v>#N/A</v>
      </c>
      <c r="BZ967" s="64"/>
      <c r="CD967" s="20" t="e">
        <f t="shared" si="224"/>
        <v>#N/A</v>
      </c>
    </row>
    <row r="968" spans="1:82" ht="61.5" x14ac:dyDescent="0.85">
      <c r="A968" s="20">
        <v>1</v>
      </c>
      <c r="B968" s="60">
        <f>SUBTOTAL(103,$A$558:A968)</f>
        <v>364</v>
      </c>
      <c r="C968" s="24" t="s">
        <v>139</v>
      </c>
      <c r="D968" s="31">
        <f>E968+F968+G968+H968+I968+J968+L968+N968+P968+R968+T968+U968+V968+W968+X968+Y968+Z968+AA968+AB968+AC968+AD968+AE968</f>
        <v>5218567.4000000004</v>
      </c>
      <c r="E968" s="31">
        <v>0</v>
      </c>
      <c r="F968" s="31">
        <v>0</v>
      </c>
      <c r="G968" s="31">
        <v>0</v>
      </c>
      <c r="H968" s="31">
        <v>0</v>
      </c>
      <c r="I968" s="31">
        <v>0</v>
      </c>
      <c r="J968" s="31">
        <v>0</v>
      </c>
      <c r="K968" s="67">
        <v>0</v>
      </c>
      <c r="L968" s="31">
        <v>0</v>
      </c>
      <c r="M968" s="31">
        <v>980</v>
      </c>
      <c r="N968" s="31">
        <v>5141445.71</v>
      </c>
      <c r="O968" s="31">
        <v>0</v>
      </c>
      <c r="P968" s="31">
        <v>0</v>
      </c>
      <c r="Q968" s="31">
        <v>0</v>
      </c>
      <c r="R968" s="31">
        <v>0</v>
      </c>
      <c r="S968" s="31">
        <v>0</v>
      </c>
      <c r="T968" s="31">
        <v>0</v>
      </c>
      <c r="U968" s="31">
        <v>0</v>
      </c>
      <c r="V968" s="31">
        <v>0</v>
      </c>
      <c r="W968" s="31">
        <v>0</v>
      </c>
      <c r="X968" s="31">
        <v>0</v>
      </c>
      <c r="Y968" s="31">
        <v>0</v>
      </c>
      <c r="Z968" s="31">
        <v>0</v>
      </c>
      <c r="AA968" s="31">
        <v>0</v>
      </c>
      <c r="AB968" s="31">
        <v>0</v>
      </c>
      <c r="AC968" s="31">
        <f>ROUND(N968*1.5%,2)</f>
        <v>77121.69</v>
      </c>
      <c r="AD968" s="31">
        <v>0</v>
      </c>
      <c r="AE968" s="31">
        <v>0</v>
      </c>
      <c r="AF968" s="33" t="s">
        <v>268</v>
      </c>
      <c r="AG968" s="33">
        <v>2021</v>
      </c>
      <c r="AH968" s="34">
        <v>2021</v>
      </c>
      <c r="AT968" s="20" t="e">
        <v>#N/A</v>
      </c>
      <c r="BZ968" s="64"/>
      <c r="CD968" s="20" t="e">
        <v>#N/A</v>
      </c>
    </row>
    <row r="969" spans="1:82" ht="61.5" x14ac:dyDescent="0.85">
      <c r="B969" s="24" t="s">
        <v>877</v>
      </c>
      <c r="C969" s="24"/>
      <c r="D969" s="199">
        <f t="shared" ref="D969:AE969" si="227">D970</f>
        <v>3974620.0799999996</v>
      </c>
      <c r="E969" s="31">
        <f t="shared" si="227"/>
        <v>0</v>
      </c>
      <c r="F969" s="31">
        <f t="shared" si="227"/>
        <v>0</v>
      </c>
      <c r="G969" s="31">
        <f t="shared" si="227"/>
        <v>0</v>
      </c>
      <c r="H969" s="31">
        <f t="shared" si="227"/>
        <v>0</v>
      </c>
      <c r="I969" s="31">
        <f t="shared" si="227"/>
        <v>0</v>
      </c>
      <c r="J969" s="31">
        <f t="shared" si="227"/>
        <v>0</v>
      </c>
      <c r="K969" s="67">
        <f t="shared" si="227"/>
        <v>0</v>
      </c>
      <c r="L969" s="31">
        <f t="shared" si="227"/>
        <v>0</v>
      </c>
      <c r="M969" s="31">
        <f t="shared" si="227"/>
        <v>660</v>
      </c>
      <c r="N969" s="31">
        <f t="shared" si="227"/>
        <v>3811664.28</v>
      </c>
      <c r="O969" s="31">
        <f t="shared" si="227"/>
        <v>0</v>
      </c>
      <c r="P969" s="31">
        <f t="shared" si="227"/>
        <v>0</v>
      </c>
      <c r="Q969" s="31">
        <f t="shared" si="227"/>
        <v>0</v>
      </c>
      <c r="R969" s="31">
        <f t="shared" si="227"/>
        <v>0</v>
      </c>
      <c r="S969" s="31">
        <f t="shared" si="227"/>
        <v>0</v>
      </c>
      <c r="T969" s="31">
        <f t="shared" si="227"/>
        <v>0</v>
      </c>
      <c r="U969" s="31">
        <f t="shared" si="227"/>
        <v>0</v>
      </c>
      <c r="V969" s="31">
        <f t="shared" si="227"/>
        <v>0</v>
      </c>
      <c r="W969" s="31">
        <f t="shared" si="227"/>
        <v>0</v>
      </c>
      <c r="X969" s="31">
        <f t="shared" si="227"/>
        <v>0</v>
      </c>
      <c r="Y969" s="31">
        <f t="shared" si="227"/>
        <v>0</v>
      </c>
      <c r="Z969" s="31">
        <f t="shared" si="227"/>
        <v>0</v>
      </c>
      <c r="AA969" s="31">
        <f t="shared" si="227"/>
        <v>0</v>
      </c>
      <c r="AB969" s="31">
        <f t="shared" si="227"/>
        <v>0</v>
      </c>
      <c r="AC969" s="31">
        <f t="shared" si="227"/>
        <v>57174.96</v>
      </c>
      <c r="AD969" s="31">
        <f t="shared" si="227"/>
        <v>105780.84</v>
      </c>
      <c r="AE969" s="31">
        <f t="shared" si="227"/>
        <v>0</v>
      </c>
      <c r="AF969" s="65" t="s">
        <v>751</v>
      </c>
      <c r="AG969" s="65" t="s">
        <v>751</v>
      </c>
      <c r="AH969" s="79" t="s">
        <v>751</v>
      </c>
      <c r="AT969" s="20" t="e">
        <f>VLOOKUP(C969,AW:AX,2,FALSE)</f>
        <v>#N/A</v>
      </c>
      <c r="BZ969" s="64">
        <v>3974620.0799999996</v>
      </c>
      <c r="CD969" s="20" t="e">
        <f>VLOOKUP(C969,CE:CF,2,FALSE)</f>
        <v>#N/A</v>
      </c>
    </row>
    <row r="970" spans="1:82" ht="61.5" x14ac:dyDescent="0.85">
      <c r="A970" s="20">
        <v>1</v>
      </c>
      <c r="B970" s="60">
        <f>SUBTOTAL(103,$A$558:A970)</f>
        <v>365</v>
      </c>
      <c r="C970" s="24" t="s">
        <v>150</v>
      </c>
      <c r="D970" s="31">
        <f>E970+F970+G970+H970+I970+J970+L970+N970+P970+R970+T970+U970+V970+W970+X970+Y970+Z970+AA970+AB970+AC970+AD970+AE970</f>
        <v>3974620.0799999996</v>
      </c>
      <c r="E970" s="31">
        <v>0</v>
      </c>
      <c r="F970" s="31">
        <v>0</v>
      </c>
      <c r="G970" s="31">
        <v>0</v>
      </c>
      <c r="H970" s="31">
        <v>0</v>
      </c>
      <c r="I970" s="31">
        <v>0</v>
      </c>
      <c r="J970" s="31">
        <v>0</v>
      </c>
      <c r="K970" s="67">
        <v>0</v>
      </c>
      <c r="L970" s="31">
        <v>0</v>
      </c>
      <c r="M970" s="31">
        <v>660</v>
      </c>
      <c r="N970" s="31">
        <f>3247692.88+520405.72+43565.68</f>
        <v>3811664.28</v>
      </c>
      <c r="O970" s="31">
        <v>0</v>
      </c>
      <c r="P970" s="31">
        <v>0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0</v>
      </c>
      <c r="W970" s="31">
        <v>0</v>
      </c>
      <c r="X970" s="31">
        <v>0</v>
      </c>
      <c r="Y970" s="31">
        <v>0</v>
      </c>
      <c r="Z970" s="31">
        <v>0</v>
      </c>
      <c r="AA970" s="31">
        <v>0</v>
      </c>
      <c r="AB970" s="31">
        <v>0</v>
      </c>
      <c r="AC970" s="31">
        <f>ROUND(N970*1.5%,2)</f>
        <v>57174.96</v>
      </c>
      <c r="AD970" s="31">
        <v>105780.84</v>
      </c>
      <c r="AE970" s="31">
        <v>0</v>
      </c>
      <c r="AF970" s="33">
        <v>2021</v>
      </c>
      <c r="AG970" s="33">
        <v>2021</v>
      </c>
      <c r="AH970" s="34">
        <v>2021</v>
      </c>
      <c r="AT970" s="20" t="e">
        <f>VLOOKUP(C970,AW:AX,2,FALSE)</f>
        <v>#N/A</v>
      </c>
      <c r="BZ970" s="64"/>
      <c r="CD970" s="20" t="e">
        <f>VLOOKUP(C970,CE:CF,2,FALSE)</f>
        <v>#N/A</v>
      </c>
    </row>
    <row r="971" spans="1:82" ht="61.5" x14ac:dyDescent="0.85">
      <c r="B971" s="24" t="s">
        <v>878</v>
      </c>
      <c r="C971" s="24"/>
      <c r="D971" s="199">
        <f t="shared" ref="D971:AE973" si="228">D972</f>
        <v>3001841.1700000004</v>
      </c>
      <c r="E971" s="31">
        <f t="shared" si="228"/>
        <v>0</v>
      </c>
      <c r="F971" s="31">
        <f t="shared" si="228"/>
        <v>0</v>
      </c>
      <c r="G971" s="31">
        <f t="shared" si="228"/>
        <v>0</v>
      </c>
      <c r="H971" s="31">
        <f t="shared" si="228"/>
        <v>0</v>
      </c>
      <c r="I971" s="31">
        <f t="shared" si="228"/>
        <v>0</v>
      </c>
      <c r="J971" s="31">
        <f t="shared" si="228"/>
        <v>0</v>
      </c>
      <c r="K971" s="67">
        <f t="shared" si="228"/>
        <v>0</v>
      </c>
      <c r="L971" s="31">
        <f t="shared" si="228"/>
        <v>0</v>
      </c>
      <c r="M971" s="31">
        <f t="shared" si="228"/>
        <v>600</v>
      </c>
      <c r="N971" s="31">
        <f t="shared" si="228"/>
        <v>2885703.89</v>
      </c>
      <c r="O971" s="31">
        <f t="shared" si="228"/>
        <v>0</v>
      </c>
      <c r="P971" s="31">
        <f t="shared" si="228"/>
        <v>0</v>
      </c>
      <c r="Q971" s="31">
        <f t="shared" si="228"/>
        <v>0</v>
      </c>
      <c r="R971" s="31">
        <f t="shared" si="228"/>
        <v>0</v>
      </c>
      <c r="S971" s="31">
        <f t="shared" si="228"/>
        <v>0</v>
      </c>
      <c r="T971" s="31">
        <f t="shared" si="228"/>
        <v>0</v>
      </c>
      <c r="U971" s="31">
        <f t="shared" si="228"/>
        <v>0</v>
      </c>
      <c r="V971" s="31">
        <f t="shared" si="228"/>
        <v>0</v>
      </c>
      <c r="W971" s="31">
        <f t="shared" si="228"/>
        <v>0</v>
      </c>
      <c r="X971" s="31">
        <f t="shared" si="228"/>
        <v>0</v>
      </c>
      <c r="Y971" s="31">
        <f t="shared" si="228"/>
        <v>0</v>
      </c>
      <c r="Z971" s="31">
        <f t="shared" si="228"/>
        <v>0</v>
      </c>
      <c r="AA971" s="31">
        <f t="shared" si="228"/>
        <v>0</v>
      </c>
      <c r="AB971" s="31">
        <f t="shared" si="228"/>
        <v>0</v>
      </c>
      <c r="AC971" s="31">
        <f t="shared" si="228"/>
        <v>43285.56</v>
      </c>
      <c r="AD971" s="31">
        <f t="shared" si="228"/>
        <v>72851.72</v>
      </c>
      <c r="AE971" s="31">
        <f t="shared" si="228"/>
        <v>0</v>
      </c>
      <c r="AF971" s="65" t="s">
        <v>751</v>
      </c>
      <c r="AG971" s="65" t="s">
        <v>751</v>
      </c>
      <c r="AH971" s="79" t="s">
        <v>751</v>
      </c>
      <c r="AT971" s="20" t="e">
        <f>VLOOKUP(C971,AW:AX,2,FALSE)</f>
        <v>#N/A</v>
      </c>
      <c r="BZ971" s="64">
        <v>2957808</v>
      </c>
      <c r="CD971" s="20" t="e">
        <f>VLOOKUP(C971,CE:CF,2,FALSE)</f>
        <v>#N/A</v>
      </c>
    </row>
    <row r="972" spans="1:82" ht="61.5" x14ac:dyDescent="0.85">
      <c r="A972" s="20">
        <v>1</v>
      </c>
      <c r="B972" s="60">
        <f>SUBTOTAL(103,$A$558:A972)</f>
        <v>366</v>
      </c>
      <c r="C972" s="24" t="s">
        <v>155</v>
      </c>
      <c r="D972" s="31">
        <f>E972+F972+G972+H972+I972+J972+L972+N972+P972+R972+T972+U972+V972+W972+X972+Y972+Z972+AA972+AB972+AC972+AD972+AE972</f>
        <v>3001841.1700000004</v>
      </c>
      <c r="E972" s="31">
        <v>0</v>
      </c>
      <c r="F972" s="31">
        <v>0</v>
      </c>
      <c r="G972" s="31">
        <v>0</v>
      </c>
      <c r="H972" s="31">
        <v>0</v>
      </c>
      <c r="I972" s="31">
        <v>0</v>
      </c>
      <c r="J972" s="31">
        <v>0</v>
      </c>
      <c r="K972" s="67">
        <v>0</v>
      </c>
      <c r="L972" s="31">
        <v>0</v>
      </c>
      <c r="M972" s="31">
        <v>600</v>
      </c>
      <c r="N972" s="31">
        <f>2766313.3+43382.43+76008.16</f>
        <v>2885703.89</v>
      </c>
      <c r="O972" s="31">
        <v>0</v>
      </c>
      <c r="P972" s="31">
        <v>0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1">
        <v>0</v>
      </c>
      <c r="X972" s="31">
        <v>0</v>
      </c>
      <c r="Y972" s="31">
        <v>0</v>
      </c>
      <c r="Z972" s="31">
        <v>0</v>
      </c>
      <c r="AA972" s="31">
        <v>0</v>
      </c>
      <c r="AB972" s="31">
        <v>0</v>
      </c>
      <c r="AC972" s="31">
        <f>ROUND(N972*1.5%,2)</f>
        <v>43285.56</v>
      </c>
      <c r="AD972" s="31">
        <v>72851.72</v>
      </c>
      <c r="AE972" s="31">
        <v>0</v>
      </c>
      <c r="AF972" s="33">
        <v>2021</v>
      </c>
      <c r="AG972" s="33">
        <v>2021</v>
      </c>
      <c r="AH972" s="34">
        <v>2021</v>
      </c>
      <c r="AT972" s="20" t="e">
        <f>VLOOKUP(C972,AW:AX,2,FALSE)</f>
        <v>#N/A</v>
      </c>
      <c r="BZ972" s="64"/>
      <c r="CD972" s="20" t="e">
        <f>VLOOKUP(C972,CE:CF,2,FALSE)</f>
        <v>#N/A</v>
      </c>
    </row>
    <row r="973" spans="1:82" ht="61.5" x14ac:dyDescent="0.85">
      <c r="B973" s="24" t="s">
        <v>850</v>
      </c>
      <c r="C973" s="24"/>
      <c r="D973" s="199">
        <f t="shared" si="228"/>
        <v>2594808.33</v>
      </c>
      <c r="E973" s="31">
        <f t="shared" si="228"/>
        <v>0</v>
      </c>
      <c r="F973" s="31">
        <f t="shared" si="228"/>
        <v>0</v>
      </c>
      <c r="G973" s="31">
        <f t="shared" si="228"/>
        <v>0</v>
      </c>
      <c r="H973" s="31">
        <f t="shared" si="228"/>
        <v>0</v>
      </c>
      <c r="I973" s="31">
        <f t="shared" si="228"/>
        <v>0</v>
      </c>
      <c r="J973" s="31">
        <f t="shared" si="228"/>
        <v>0</v>
      </c>
      <c r="K973" s="67">
        <f t="shared" si="228"/>
        <v>0</v>
      </c>
      <c r="L973" s="31">
        <f t="shared" si="228"/>
        <v>0</v>
      </c>
      <c r="M973" s="31">
        <f t="shared" si="228"/>
        <v>629.1</v>
      </c>
      <c r="N973" s="31">
        <f t="shared" si="228"/>
        <v>2556461.41</v>
      </c>
      <c r="O973" s="31">
        <f t="shared" si="228"/>
        <v>0</v>
      </c>
      <c r="P973" s="31">
        <f t="shared" si="228"/>
        <v>0</v>
      </c>
      <c r="Q973" s="31">
        <f t="shared" si="228"/>
        <v>0</v>
      </c>
      <c r="R973" s="31">
        <f t="shared" si="228"/>
        <v>0</v>
      </c>
      <c r="S973" s="31">
        <f t="shared" si="228"/>
        <v>0</v>
      </c>
      <c r="T973" s="31">
        <f t="shared" si="228"/>
        <v>0</v>
      </c>
      <c r="U973" s="31">
        <f t="shared" si="228"/>
        <v>0</v>
      </c>
      <c r="V973" s="31">
        <f t="shared" si="228"/>
        <v>0</v>
      </c>
      <c r="W973" s="31">
        <f t="shared" si="228"/>
        <v>0</v>
      </c>
      <c r="X973" s="31">
        <f t="shared" si="228"/>
        <v>0</v>
      </c>
      <c r="Y973" s="31">
        <f t="shared" si="228"/>
        <v>0</v>
      </c>
      <c r="Z973" s="31">
        <f t="shared" si="228"/>
        <v>0</v>
      </c>
      <c r="AA973" s="31">
        <f t="shared" si="228"/>
        <v>0</v>
      </c>
      <c r="AB973" s="31">
        <f t="shared" si="228"/>
        <v>0</v>
      </c>
      <c r="AC973" s="31">
        <f t="shared" si="228"/>
        <v>38346.92</v>
      </c>
      <c r="AD973" s="31">
        <f t="shared" si="228"/>
        <v>0</v>
      </c>
      <c r="AE973" s="31">
        <f t="shared" si="228"/>
        <v>0</v>
      </c>
      <c r="AF973" s="65" t="s">
        <v>751</v>
      </c>
      <c r="AG973" s="65" t="s">
        <v>751</v>
      </c>
      <c r="AH973" s="79" t="s">
        <v>751</v>
      </c>
      <c r="AT973" s="20" t="e">
        <f>VLOOKUP(C973,AW:AX,2,FALSE)</f>
        <v>#N/A</v>
      </c>
      <c r="BZ973" s="64">
        <v>2957808</v>
      </c>
      <c r="CD973" s="20" t="e">
        <f>VLOOKUP(C973,CE:CF,2,FALSE)</f>
        <v>#N/A</v>
      </c>
    </row>
    <row r="974" spans="1:82" ht="61.5" x14ac:dyDescent="0.85">
      <c r="A974" s="20">
        <v>1</v>
      </c>
      <c r="B974" s="60">
        <f>SUBTOTAL(103,$A$558:A974)</f>
        <v>367</v>
      </c>
      <c r="C974" s="24" t="s">
        <v>144</v>
      </c>
      <c r="D974" s="31">
        <f>E974+F974+G974+H974+I974+J974+L974+N974+P974+R974+T974+U974+V974+W974+X974+Y974+Z974+AA974+AB974+AC974+AD974+AE974</f>
        <v>2594808.33</v>
      </c>
      <c r="E974" s="31">
        <v>0</v>
      </c>
      <c r="F974" s="31">
        <v>0</v>
      </c>
      <c r="G974" s="31">
        <v>0</v>
      </c>
      <c r="H974" s="31">
        <v>0</v>
      </c>
      <c r="I974" s="31">
        <v>0</v>
      </c>
      <c r="J974" s="31">
        <v>0</v>
      </c>
      <c r="K974" s="67">
        <v>0</v>
      </c>
      <c r="L974" s="31">
        <v>0</v>
      </c>
      <c r="M974" s="31">
        <v>629.1</v>
      </c>
      <c r="N974" s="31">
        <f>2494957.68+61503.73</f>
        <v>2556461.41</v>
      </c>
      <c r="O974" s="31">
        <v>0</v>
      </c>
      <c r="P974" s="31">
        <v>0</v>
      </c>
      <c r="Q974" s="31">
        <v>0</v>
      </c>
      <c r="R974" s="31">
        <v>0</v>
      </c>
      <c r="S974" s="31">
        <v>0</v>
      </c>
      <c r="T974" s="31">
        <v>0</v>
      </c>
      <c r="U974" s="31">
        <v>0</v>
      </c>
      <c r="V974" s="31">
        <v>0</v>
      </c>
      <c r="W974" s="31">
        <v>0</v>
      </c>
      <c r="X974" s="31">
        <v>0</v>
      </c>
      <c r="Y974" s="31">
        <v>0</v>
      </c>
      <c r="Z974" s="31">
        <v>0</v>
      </c>
      <c r="AA974" s="31">
        <v>0</v>
      </c>
      <c r="AB974" s="31">
        <v>0</v>
      </c>
      <c r="AC974" s="31">
        <f>ROUND(N974*1.5%,2)</f>
        <v>38346.92</v>
      </c>
      <c r="AD974" s="31">
        <v>0</v>
      </c>
      <c r="AE974" s="31">
        <v>0</v>
      </c>
      <c r="AF974" s="33" t="s">
        <v>268</v>
      </c>
      <c r="AG974" s="33">
        <v>2021</v>
      </c>
      <c r="AH974" s="34">
        <v>2021</v>
      </c>
      <c r="AT974" s="20" t="e">
        <v>#N/A</v>
      </c>
      <c r="BZ974" s="64"/>
      <c r="CD974" s="20" t="e">
        <v>#N/A</v>
      </c>
    </row>
    <row r="975" spans="1:82" ht="61.5" x14ac:dyDescent="0.85">
      <c r="B975" s="24" t="s">
        <v>851</v>
      </c>
      <c r="C975" s="24"/>
      <c r="D975" s="199">
        <f>SUM(D976:D978)</f>
        <v>12428636.060000001</v>
      </c>
      <c r="E975" s="31">
        <f t="shared" ref="E975:AE975" si="229">SUM(E976:E978)</f>
        <v>0</v>
      </c>
      <c r="F975" s="31">
        <f t="shared" si="229"/>
        <v>0</v>
      </c>
      <c r="G975" s="31">
        <f t="shared" si="229"/>
        <v>0</v>
      </c>
      <c r="H975" s="31">
        <f t="shared" si="229"/>
        <v>0</v>
      </c>
      <c r="I975" s="31">
        <f t="shared" si="229"/>
        <v>0</v>
      </c>
      <c r="J975" s="31">
        <f t="shared" si="229"/>
        <v>0</v>
      </c>
      <c r="K975" s="67">
        <f t="shared" si="229"/>
        <v>0</v>
      </c>
      <c r="L975" s="31">
        <f t="shared" si="229"/>
        <v>0</v>
      </c>
      <c r="M975" s="31">
        <f t="shared" si="229"/>
        <v>1381.8</v>
      </c>
      <c r="N975" s="31">
        <f t="shared" si="229"/>
        <v>7383806.4299999997</v>
      </c>
      <c r="O975" s="31">
        <f t="shared" si="229"/>
        <v>0</v>
      </c>
      <c r="P975" s="31">
        <f t="shared" si="229"/>
        <v>0</v>
      </c>
      <c r="Q975" s="31">
        <f t="shared" si="229"/>
        <v>0</v>
      </c>
      <c r="R975" s="31">
        <f t="shared" si="229"/>
        <v>0</v>
      </c>
      <c r="S975" s="31">
        <f t="shared" si="229"/>
        <v>0</v>
      </c>
      <c r="T975" s="31">
        <f t="shared" si="229"/>
        <v>0</v>
      </c>
      <c r="U975" s="31">
        <f t="shared" si="229"/>
        <v>4756801.37</v>
      </c>
      <c r="V975" s="31">
        <f t="shared" si="229"/>
        <v>0</v>
      </c>
      <c r="W975" s="31">
        <f t="shared" si="229"/>
        <v>0</v>
      </c>
      <c r="X975" s="31">
        <f t="shared" si="229"/>
        <v>0</v>
      </c>
      <c r="Y975" s="31">
        <f t="shared" si="229"/>
        <v>0</v>
      </c>
      <c r="Z975" s="31">
        <f t="shared" si="229"/>
        <v>0</v>
      </c>
      <c r="AA975" s="31">
        <f t="shared" si="229"/>
        <v>0</v>
      </c>
      <c r="AB975" s="31">
        <f t="shared" si="229"/>
        <v>0</v>
      </c>
      <c r="AC975" s="31">
        <f t="shared" si="229"/>
        <v>182109.11</v>
      </c>
      <c r="AD975" s="31">
        <f t="shared" si="229"/>
        <v>105919.15</v>
      </c>
      <c r="AE975" s="31">
        <f t="shared" si="229"/>
        <v>0</v>
      </c>
      <c r="AF975" s="65" t="s">
        <v>751</v>
      </c>
      <c r="AG975" s="65" t="s">
        <v>751</v>
      </c>
      <c r="AH975" s="79" t="s">
        <v>751</v>
      </c>
      <c r="AT975" s="20" t="e">
        <f>VLOOKUP(C975,AW:AX,2,FALSE)</f>
        <v>#N/A</v>
      </c>
      <c r="BZ975" s="64">
        <v>4651054.3499999996</v>
      </c>
      <c r="CD975" s="20" t="e">
        <f>VLOOKUP(C975,CE:CF,2,FALSE)</f>
        <v>#N/A</v>
      </c>
    </row>
    <row r="976" spans="1:82" ht="61.5" x14ac:dyDescent="0.85">
      <c r="A976" s="20">
        <v>1</v>
      </c>
      <c r="B976" s="60">
        <f>SUBTOTAL(103,$A$558:A976)</f>
        <v>368</v>
      </c>
      <c r="C976" s="24" t="s">
        <v>154</v>
      </c>
      <c r="D976" s="31">
        <f>E976+F976+G976+H976+I976+J976+L976+N976+P976+R976+T976+U976+V976+W976+X976+Y976+Z976+AA976+AB976+AC976+AD976+AE976</f>
        <v>4621140.7</v>
      </c>
      <c r="E976" s="31">
        <v>0</v>
      </c>
      <c r="F976" s="31">
        <v>0</v>
      </c>
      <c r="G976" s="31">
        <v>0</v>
      </c>
      <c r="H976" s="31">
        <v>0</v>
      </c>
      <c r="I976" s="31">
        <v>0</v>
      </c>
      <c r="J976" s="31">
        <v>0</v>
      </c>
      <c r="K976" s="67">
        <v>0</v>
      </c>
      <c r="L976" s="31">
        <v>0</v>
      </c>
      <c r="M976" s="31">
        <v>785</v>
      </c>
      <c r="N976" s="31">
        <f>4434536.31+13957.83</f>
        <v>4448494.1399999997</v>
      </c>
      <c r="O976" s="31">
        <v>0</v>
      </c>
      <c r="P976" s="31">
        <v>0</v>
      </c>
      <c r="Q976" s="31">
        <v>0</v>
      </c>
      <c r="R976" s="31">
        <v>0</v>
      </c>
      <c r="S976" s="31">
        <v>0</v>
      </c>
      <c r="T976" s="31">
        <v>0</v>
      </c>
      <c r="U976" s="31">
        <v>0</v>
      </c>
      <c r="V976" s="31">
        <v>0</v>
      </c>
      <c r="W976" s="31">
        <v>0</v>
      </c>
      <c r="X976" s="31">
        <v>0</v>
      </c>
      <c r="Y976" s="31">
        <v>0</v>
      </c>
      <c r="Z976" s="31">
        <v>0</v>
      </c>
      <c r="AA976" s="31">
        <v>0</v>
      </c>
      <c r="AB976" s="31">
        <v>0</v>
      </c>
      <c r="AC976" s="31">
        <f>ROUND(N976*1.5%,2)</f>
        <v>66727.41</v>
      </c>
      <c r="AD976" s="31">
        <v>105919.15</v>
      </c>
      <c r="AE976" s="31">
        <v>0</v>
      </c>
      <c r="AF976" s="33">
        <v>2021</v>
      </c>
      <c r="AG976" s="33">
        <v>2021</v>
      </c>
      <c r="AH976" s="34">
        <v>2021</v>
      </c>
      <c r="AT976" s="20" t="e">
        <f>VLOOKUP(C976,AW:AX,2,FALSE)</f>
        <v>#N/A</v>
      </c>
      <c r="BZ976" s="64"/>
      <c r="CD976" s="20" t="e">
        <f>VLOOKUP(C976,CE:CF,2,FALSE)</f>
        <v>#N/A</v>
      </c>
    </row>
    <row r="977" spans="1:82" ht="61.5" x14ac:dyDescent="0.85">
      <c r="A977" s="20">
        <v>1</v>
      </c>
      <c r="B977" s="60">
        <f>SUBTOTAL(103,$A$558:A977)</f>
        <v>369</v>
      </c>
      <c r="C977" s="24" t="s">
        <v>142</v>
      </c>
      <c r="D977" s="31">
        <f>E977+F977+G977+H977+I977+J977+L977+N977+P977+R977+T977+U977+V977+W977+X977+Y977+Z977+AA977+AB977+AC977+AD977+AE977</f>
        <v>4828153.3899999997</v>
      </c>
      <c r="E977" s="31">
        <v>0</v>
      </c>
      <c r="F977" s="31">
        <v>0</v>
      </c>
      <c r="G977" s="31">
        <v>0</v>
      </c>
      <c r="H977" s="31">
        <v>0</v>
      </c>
      <c r="I977" s="31">
        <v>0</v>
      </c>
      <c r="J977" s="31">
        <v>0</v>
      </c>
      <c r="K977" s="67">
        <v>0</v>
      </c>
      <c r="L977" s="31">
        <v>0</v>
      </c>
      <c r="M977" s="31">
        <v>0</v>
      </c>
      <c r="N977" s="31">
        <v>0</v>
      </c>
      <c r="O977" s="31">
        <v>0</v>
      </c>
      <c r="P977" s="31">
        <v>0</v>
      </c>
      <c r="Q977" s="31">
        <v>0</v>
      </c>
      <c r="R977" s="31">
        <v>0</v>
      </c>
      <c r="S977" s="31">
        <v>0</v>
      </c>
      <c r="T977" s="31">
        <v>0</v>
      </c>
      <c r="U977" s="31">
        <f>4750000-23149.57+29950.94</f>
        <v>4756801.37</v>
      </c>
      <c r="V977" s="31">
        <v>0</v>
      </c>
      <c r="W977" s="31">
        <v>0</v>
      </c>
      <c r="X977" s="31">
        <v>0</v>
      </c>
      <c r="Y977" s="31">
        <v>0</v>
      </c>
      <c r="Z977" s="31">
        <v>0</v>
      </c>
      <c r="AA977" s="31">
        <v>0</v>
      </c>
      <c r="AB977" s="31">
        <v>0</v>
      </c>
      <c r="AC977" s="31">
        <f>ROUND(U977*1.5%,2)</f>
        <v>71352.02</v>
      </c>
      <c r="AD977" s="31">
        <v>0</v>
      </c>
      <c r="AE977" s="31">
        <v>0</v>
      </c>
      <c r="AF977" s="33" t="s">
        <v>268</v>
      </c>
      <c r="AG977" s="33">
        <v>2021</v>
      </c>
      <c r="AH977" s="34">
        <v>2021</v>
      </c>
      <c r="AT977" s="20" t="e">
        <v>#N/A</v>
      </c>
      <c r="BZ977" s="64"/>
      <c r="CD977" s="20" t="e">
        <v>#N/A</v>
      </c>
    </row>
    <row r="978" spans="1:82" ht="61.5" x14ac:dyDescent="0.85">
      <c r="A978" s="20">
        <v>1</v>
      </c>
      <c r="B978" s="60">
        <f>SUBTOTAL(103,$A$558:A978)</f>
        <v>370</v>
      </c>
      <c r="C978" s="24" t="s">
        <v>1295</v>
      </c>
      <c r="D978" s="31">
        <f>E978+F978+G978+H978+I978+J978+L978+N978+P978+R978+T978+U978+V978+W978+X978+Y978+Z978+AA978+AB978+AC978+AD978+AE978</f>
        <v>2979341.97</v>
      </c>
      <c r="E978" s="31">
        <v>0</v>
      </c>
      <c r="F978" s="31">
        <v>0</v>
      </c>
      <c r="G978" s="31">
        <v>0</v>
      </c>
      <c r="H978" s="31">
        <v>0</v>
      </c>
      <c r="I978" s="31">
        <v>0</v>
      </c>
      <c r="J978" s="31">
        <v>0</v>
      </c>
      <c r="K978" s="67">
        <v>0</v>
      </c>
      <c r="L978" s="31">
        <v>0</v>
      </c>
      <c r="M978" s="31">
        <v>596.79999999999995</v>
      </c>
      <c r="N978" s="31">
        <f>2367388.18+29318.77+538605.34</f>
        <v>2935312.29</v>
      </c>
      <c r="O978" s="31">
        <v>0</v>
      </c>
      <c r="P978" s="31">
        <v>0</v>
      </c>
      <c r="Q978" s="31">
        <v>0</v>
      </c>
      <c r="R978" s="31">
        <v>0</v>
      </c>
      <c r="S978" s="31">
        <v>0</v>
      </c>
      <c r="T978" s="31">
        <v>0</v>
      </c>
      <c r="U978" s="31">
        <v>0</v>
      </c>
      <c r="V978" s="31">
        <v>0</v>
      </c>
      <c r="W978" s="31">
        <v>0</v>
      </c>
      <c r="X978" s="31">
        <v>0</v>
      </c>
      <c r="Y978" s="31">
        <v>0</v>
      </c>
      <c r="Z978" s="31">
        <v>0</v>
      </c>
      <c r="AA978" s="31">
        <v>0</v>
      </c>
      <c r="AB978" s="31">
        <v>0</v>
      </c>
      <c r="AC978" s="31">
        <f>ROUND(N978*1.5%,2)</f>
        <v>44029.68</v>
      </c>
      <c r="AD978" s="31">
        <v>0</v>
      </c>
      <c r="AE978" s="31">
        <v>0</v>
      </c>
      <c r="AF978" s="33" t="s">
        <v>268</v>
      </c>
      <c r="AG978" s="33">
        <v>2021</v>
      </c>
      <c r="AH978" s="34">
        <v>2021</v>
      </c>
      <c r="BZ978" s="64"/>
      <c r="CD978" s="20" t="e">
        <f t="shared" ref="CD978:CD987" si="230">VLOOKUP(C978,CE:CF,2,FALSE)</f>
        <v>#N/A</v>
      </c>
    </row>
    <row r="979" spans="1:82" ht="61.5" x14ac:dyDescent="0.85">
      <c r="B979" s="24" t="s">
        <v>852</v>
      </c>
      <c r="C979" s="24"/>
      <c r="D979" s="199">
        <f t="shared" ref="D979:AE979" si="231">SUM(D980:D984)</f>
        <v>18338882.109999999</v>
      </c>
      <c r="E979" s="31">
        <f t="shared" si="231"/>
        <v>0</v>
      </c>
      <c r="F979" s="31">
        <f t="shared" si="231"/>
        <v>0</v>
      </c>
      <c r="G979" s="31">
        <f t="shared" si="231"/>
        <v>0</v>
      </c>
      <c r="H979" s="31">
        <f t="shared" si="231"/>
        <v>0</v>
      </c>
      <c r="I979" s="31">
        <f t="shared" si="231"/>
        <v>0</v>
      </c>
      <c r="J979" s="31">
        <f t="shared" si="231"/>
        <v>0</v>
      </c>
      <c r="K979" s="67">
        <f t="shared" si="231"/>
        <v>0</v>
      </c>
      <c r="L979" s="31">
        <f t="shared" si="231"/>
        <v>0</v>
      </c>
      <c r="M979" s="31">
        <f t="shared" si="231"/>
        <v>3179.1099999999997</v>
      </c>
      <c r="N979" s="31">
        <f t="shared" si="231"/>
        <v>17244218.830000002</v>
      </c>
      <c r="O979" s="31">
        <f t="shared" si="231"/>
        <v>0</v>
      </c>
      <c r="P979" s="31">
        <f t="shared" si="231"/>
        <v>0</v>
      </c>
      <c r="Q979" s="31">
        <f t="shared" si="231"/>
        <v>0</v>
      </c>
      <c r="R979" s="31">
        <f t="shared" si="231"/>
        <v>0</v>
      </c>
      <c r="S979" s="31">
        <f t="shared" si="231"/>
        <v>0</v>
      </c>
      <c r="T979" s="31">
        <f t="shared" si="231"/>
        <v>0</v>
      </c>
      <c r="U979" s="31">
        <f t="shared" si="231"/>
        <v>0</v>
      </c>
      <c r="V979" s="31">
        <f t="shared" si="231"/>
        <v>0</v>
      </c>
      <c r="W979" s="31">
        <f t="shared" si="231"/>
        <v>0</v>
      </c>
      <c r="X979" s="31">
        <f t="shared" si="231"/>
        <v>0</v>
      </c>
      <c r="Y979" s="31">
        <f t="shared" si="231"/>
        <v>0</v>
      </c>
      <c r="Z979" s="31">
        <f t="shared" si="231"/>
        <v>0</v>
      </c>
      <c r="AA979" s="31">
        <f t="shared" si="231"/>
        <v>400000</v>
      </c>
      <c r="AB979" s="31">
        <f t="shared" si="231"/>
        <v>0</v>
      </c>
      <c r="AC979" s="31">
        <f t="shared" si="231"/>
        <v>264663.28000000003</v>
      </c>
      <c r="AD979" s="31">
        <f t="shared" si="231"/>
        <v>430000</v>
      </c>
      <c r="AE979" s="31">
        <f t="shared" si="231"/>
        <v>0</v>
      </c>
      <c r="AF979" s="65" t="s">
        <v>751</v>
      </c>
      <c r="AG979" s="65" t="s">
        <v>751</v>
      </c>
      <c r="AH979" s="79" t="s">
        <v>751</v>
      </c>
      <c r="AT979" s="20" t="e">
        <f>VLOOKUP(C979,AW:AX,2,FALSE)</f>
        <v>#N/A</v>
      </c>
      <c r="BZ979" s="31">
        <v>3145116.58</v>
      </c>
      <c r="CA979" s="31"/>
      <c r="CB979" s="31">
        <f>BZ979-D979</f>
        <v>-15193765.529999999</v>
      </c>
      <c r="CD979" s="20" t="e">
        <f t="shared" si="230"/>
        <v>#N/A</v>
      </c>
    </row>
    <row r="980" spans="1:82" ht="61.5" x14ac:dyDescent="0.85">
      <c r="A980" s="20">
        <v>1</v>
      </c>
      <c r="B980" s="60">
        <f>SUBTOTAL(103,$A$558:A980)</f>
        <v>371</v>
      </c>
      <c r="C980" s="24" t="s">
        <v>153</v>
      </c>
      <c r="D980" s="31">
        <f>E980+F980+G980+H980+I980+J980+L980+N980+P980+R980+T980+U980+V980+W980+X980+Y980+Z980+AA980+AB980+AC980+AD980+AE980</f>
        <v>4319701.45</v>
      </c>
      <c r="E980" s="31">
        <v>0</v>
      </c>
      <c r="F980" s="31">
        <v>0</v>
      </c>
      <c r="G980" s="31">
        <v>0</v>
      </c>
      <c r="H980" s="31">
        <v>0</v>
      </c>
      <c r="I980" s="31">
        <v>0</v>
      </c>
      <c r="J980" s="31">
        <v>0</v>
      </c>
      <c r="K980" s="67">
        <v>0</v>
      </c>
      <c r="L980" s="31">
        <v>0</v>
      </c>
      <c r="M980" s="31">
        <v>602.30999999999995</v>
      </c>
      <c r="N980" s="31">
        <f>2950853.77+1157226.48</f>
        <v>4108080.25</v>
      </c>
      <c r="O980" s="31">
        <v>0</v>
      </c>
      <c r="P980" s="31">
        <v>0</v>
      </c>
      <c r="Q980" s="31">
        <v>0</v>
      </c>
      <c r="R980" s="31">
        <v>0</v>
      </c>
      <c r="S980" s="31">
        <v>0</v>
      </c>
      <c r="T980" s="31">
        <v>0</v>
      </c>
      <c r="U980" s="31">
        <v>0</v>
      </c>
      <c r="V980" s="31">
        <v>0</v>
      </c>
      <c r="W980" s="31">
        <v>0</v>
      </c>
      <c r="X980" s="31">
        <v>0</v>
      </c>
      <c r="Y980" s="31">
        <v>0</v>
      </c>
      <c r="Z980" s="31">
        <v>0</v>
      </c>
      <c r="AA980" s="31">
        <v>0</v>
      </c>
      <c r="AB980" s="31">
        <v>0</v>
      </c>
      <c r="AC980" s="31">
        <f>ROUND(N980*1.5%,2)</f>
        <v>61621.2</v>
      </c>
      <c r="AD980" s="31">
        <v>150000</v>
      </c>
      <c r="AE980" s="31">
        <v>0</v>
      </c>
      <c r="AF980" s="33">
        <v>2021</v>
      </c>
      <c r="AG980" s="33">
        <v>2021</v>
      </c>
      <c r="AH980" s="34">
        <v>2021</v>
      </c>
      <c r="AT980" s="20" t="e">
        <f>VLOOKUP(C980,AW:AX,2,FALSE)</f>
        <v>#N/A</v>
      </c>
      <c r="BZ980" s="64"/>
      <c r="CD980" s="20" t="e">
        <f t="shared" si="230"/>
        <v>#N/A</v>
      </c>
    </row>
    <row r="981" spans="1:82" ht="61.5" x14ac:dyDescent="0.85">
      <c r="A981" s="20">
        <v>1</v>
      </c>
      <c r="B981" s="60">
        <f>SUBTOTAL(103,$A$558:A981)</f>
        <v>372</v>
      </c>
      <c r="C981" s="24" t="s">
        <v>1253</v>
      </c>
      <c r="D981" s="31">
        <f>E981+F981+G981+H981+I981+J981+L981+N981+P981+R981+T981+U981+V981+W981+X981+Y981+Z981+AA981+AB981+AC981+AD981+AE981</f>
        <v>506000</v>
      </c>
      <c r="E981" s="31">
        <v>0</v>
      </c>
      <c r="F981" s="31">
        <v>0</v>
      </c>
      <c r="G981" s="31">
        <v>0</v>
      </c>
      <c r="H981" s="31">
        <v>0</v>
      </c>
      <c r="I981" s="31">
        <v>0</v>
      </c>
      <c r="J981" s="31">
        <v>0</v>
      </c>
      <c r="K981" s="67">
        <v>0</v>
      </c>
      <c r="L981" s="31">
        <v>0</v>
      </c>
      <c r="M981" s="31">
        <v>0</v>
      </c>
      <c r="N981" s="31">
        <v>0</v>
      </c>
      <c r="O981" s="31">
        <v>0</v>
      </c>
      <c r="P981" s="31">
        <v>0</v>
      </c>
      <c r="Q981" s="31">
        <v>0</v>
      </c>
      <c r="R981" s="31">
        <v>0</v>
      </c>
      <c r="S981" s="31">
        <v>0</v>
      </c>
      <c r="T981" s="31">
        <v>0</v>
      </c>
      <c r="U981" s="31">
        <v>0</v>
      </c>
      <c r="V981" s="31">
        <v>0</v>
      </c>
      <c r="W981" s="31">
        <v>0</v>
      </c>
      <c r="X981" s="31">
        <v>0</v>
      </c>
      <c r="Y981" s="31">
        <v>0</v>
      </c>
      <c r="Z981" s="31">
        <v>0</v>
      </c>
      <c r="AA981" s="31">
        <v>400000</v>
      </c>
      <c r="AB981" s="31">
        <v>0</v>
      </c>
      <c r="AC981" s="31">
        <f>ROUND(AA981*1.5%,2)</f>
        <v>6000</v>
      </c>
      <c r="AD981" s="31">
        <v>100000</v>
      </c>
      <c r="AE981" s="31">
        <v>0</v>
      </c>
      <c r="AF981" s="33">
        <v>2021</v>
      </c>
      <c r="AG981" s="33">
        <v>2021</v>
      </c>
      <c r="AH981" s="34">
        <v>2021</v>
      </c>
      <c r="BZ981" s="64"/>
      <c r="CD981" s="20" t="e">
        <f t="shared" si="230"/>
        <v>#N/A</v>
      </c>
    </row>
    <row r="982" spans="1:82" ht="61.5" x14ac:dyDescent="0.85">
      <c r="A982" s="20">
        <v>1</v>
      </c>
      <c r="B982" s="60">
        <f>SUBTOTAL(103,$A$558:A982)</f>
        <v>373</v>
      </c>
      <c r="C982" s="24" t="s">
        <v>1281</v>
      </c>
      <c r="D982" s="31">
        <f>E982+F982+G982+H982+I982+J982+L982+N982+P982+R982+T982+U982+V982+W982+X982+Y982+Z982+AA982+AB982+AC982+AD982+AE982</f>
        <v>3777135.1</v>
      </c>
      <c r="E982" s="31">
        <v>0</v>
      </c>
      <c r="F982" s="31">
        <v>0</v>
      </c>
      <c r="G982" s="31">
        <v>0</v>
      </c>
      <c r="H982" s="31">
        <v>0</v>
      </c>
      <c r="I982" s="31">
        <v>0</v>
      </c>
      <c r="J982" s="31">
        <v>0</v>
      </c>
      <c r="K982" s="67">
        <v>0</v>
      </c>
      <c r="L982" s="31">
        <v>0</v>
      </c>
      <c r="M982" s="31">
        <v>500</v>
      </c>
      <c r="N982" s="31">
        <v>3721315.37</v>
      </c>
      <c r="O982" s="31">
        <v>0</v>
      </c>
      <c r="P982" s="31">
        <v>0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0</v>
      </c>
      <c r="AB982" s="31">
        <v>0</v>
      </c>
      <c r="AC982" s="31">
        <f>ROUND(N982*1.5%,2)</f>
        <v>55819.73</v>
      </c>
      <c r="AD982" s="31">
        <v>0</v>
      </c>
      <c r="AE982" s="31">
        <v>0</v>
      </c>
      <c r="AF982" s="33" t="s">
        <v>268</v>
      </c>
      <c r="AG982" s="33">
        <v>2021</v>
      </c>
      <c r="AH982" s="34">
        <v>2021</v>
      </c>
      <c r="BZ982" s="64"/>
      <c r="CD982" s="20">
        <f t="shared" si="230"/>
        <v>500</v>
      </c>
    </row>
    <row r="983" spans="1:82" ht="61.5" x14ac:dyDescent="0.85">
      <c r="A983" s="20">
        <v>1</v>
      </c>
      <c r="B983" s="60">
        <f>SUBTOTAL(103,$A$558:A983)</f>
        <v>374</v>
      </c>
      <c r="C983" s="24" t="s">
        <v>1282</v>
      </c>
      <c r="D983" s="31">
        <f>E983+F983+G983+H983+I983+J983+L983+N983+P983+R983+T983+U983+V983+W983+X983+Y983+Z983+AA983+AB983+AC983+AD983+AE983</f>
        <v>4895345</v>
      </c>
      <c r="E983" s="31">
        <v>0</v>
      </c>
      <c r="F983" s="31">
        <v>0</v>
      </c>
      <c r="G983" s="31">
        <v>0</v>
      </c>
      <c r="H983" s="31">
        <v>0</v>
      </c>
      <c r="I983" s="31">
        <v>0</v>
      </c>
      <c r="J983" s="31">
        <v>0</v>
      </c>
      <c r="K983" s="67">
        <v>0</v>
      </c>
      <c r="L983" s="31">
        <v>0</v>
      </c>
      <c r="M983" s="31">
        <v>958</v>
      </c>
      <c r="N983" s="31">
        <v>4823000</v>
      </c>
      <c r="O983" s="31">
        <v>0</v>
      </c>
      <c r="P983" s="31">
        <v>0</v>
      </c>
      <c r="Q983" s="31">
        <v>0</v>
      </c>
      <c r="R983" s="31">
        <v>0</v>
      </c>
      <c r="S983" s="31">
        <v>0</v>
      </c>
      <c r="T983" s="31">
        <v>0</v>
      </c>
      <c r="U983" s="31">
        <v>0</v>
      </c>
      <c r="V983" s="31">
        <v>0</v>
      </c>
      <c r="W983" s="31">
        <v>0</v>
      </c>
      <c r="X983" s="31">
        <v>0</v>
      </c>
      <c r="Y983" s="31">
        <v>0</v>
      </c>
      <c r="Z983" s="31">
        <v>0</v>
      </c>
      <c r="AA983" s="31">
        <v>0</v>
      </c>
      <c r="AB983" s="31">
        <v>0</v>
      </c>
      <c r="AC983" s="31">
        <f>ROUND(N983*1.5%,2)</f>
        <v>72345</v>
      </c>
      <c r="AD983" s="31">
        <v>0</v>
      </c>
      <c r="AE983" s="31">
        <v>0</v>
      </c>
      <c r="AF983" s="33" t="s">
        <v>268</v>
      </c>
      <c r="AG983" s="33">
        <v>2021</v>
      </c>
      <c r="AH983" s="34">
        <v>2021</v>
      </c>
      <c r="BZ983" s="64"/>
      <c r="CD983" s="20">
        <f t="shared" si="230"/>
        <v>958</v>
      </c>
    </row>
    <row r="984" spans="1:82" ht="61.5" x14ac:dyDescent="0.85">
      <c r="A984" s="20">
        <v>1</v>
      </c>
      <c r="B984" s="60">
        <f>SUBTOTAL(103,$A$558:A984)</f>
        <v>375</v>
      </c>
      <c r="C984" s="24" t="s">
        <v>1945</v>
      </c>
      <c r="D984" s="31">
        <f>E984+F984+G984+H984+I984+J984+L984+N984+P984+R984+T984+U984+V984+W984+X984+Y984+Z984+AA984+AB984+AC984+AD984+AE984</f>
        <v>4840700.5599999996</v>
      </c>
      <c r="E984" s="31">
        <v>0</v>
      </c>
      <c r="F984" s="31">
        <v>0</v>
      </c>
      <c r="G984" s="31">
        <v>0</v>
      </c>
      <c r="H984" s="31">
        <v>0</v>
      </c>
      <c r="I984" s="31">
        <v>0</v>
      </c>
      <c r="J984" s="31">
        <v>0</v>
      </c>
      <c r="K984" s="67">
        <v>0</v>
      </c>
      <c r="L984" s="31">
        <v>0</v>
      </c>
      <c r="M984" s="31">
        <v>1118.8</v>
      </c>
      <c r="N984" s="31">
        <f>4264392.52+327430.69</f>
        <v>4591823.21</v>
      </c>
      <c r="O984" s="31">
        <v>0</v>
      </c>
      <c r="P984" s="31">
        <v>0</v>
      </c>
      <c r="Q984" s="31">
        <v>0</v>
      </c>
      <c r="R984" s="31">
        <v>0</v>
      </c>
      <c r="S984" s="31">
        <v>0</v>
      </c>
      <c r="T984" s="31">
        <v>0</v>
      </c>
      <c r="U984" s="31">
        <v>0</v>
      </c>
      <c r="V984" s="31">
        <v>0</v>
      </c>
      <c r="W984" s="31">
        <v>0</v>
      </c>
      <c r="X984" s="31">
        <v>0</v>
      </c>
      <c r="Y984" s="31">
        <v>0</v>
      </c>
      <c r="Z984" s="31">
        <v>0</v>
      </c>
      <c r="AA984" s="31">
        <v>0</v>
      </c>
      <c r="AB984" s="31">
        <v>0</v>
      </c>
      <c r="AC984" s="31">
        <f>ROUND(N984*1.5%,2)</f>
        <v>68877.350000000006</v>
      </c>
      <c r="AD984" s="31">
        <v>180000</v>
      </c>
      <c r="AE984" s="31">
        <v>0</v>
      </c>
      <c r="AF984" s="33">
        <v>2021</v>
      </c>
      <c r="AG984" s="33">
        <v>2021</v>
      </c>
      <c r="AH984" s="34">
        <v>2021</v>
      </c>
      <c r="AT984" s="20" t="e">
        <f>VLOOKUP(C984,AW:AX,2,FALSE)</f>
        <v>#N/A</v>
      </c>
      <c r="BZ984" s="64"/>
      <c r="CD984" s="20" t="e">
        <f t="shared" si="230"/>
        <v>#N/A</v>
      </c>
    </row>
    <row r="985" spans="1:82" ht="61.5" x14ac:dyDescent="0.85">
      <c r="B985" s="24" t="s">
        <v>853</v>
      </c>
      <c r="C985" s="24"/>
      <c r="D985" s="199">
        <f t="shared" ref="D985:AE985" si="232">SUM(D986:D991)</f>
        <v>32249890.370000001</v>
      </c>
      <c r="E985" s="31">
        <f t="shared" si="232"/>
        <v>0</v>
      </c>
      <c r="F985" s="31">
        <f t="shared" si="232"/>
        <v>0</v>
      </c>
      <c r="G985" s="31">
        <f t="shared" si="232"/>
        <v>0</v>
      </c>
      <c r="H985" s="31">
        <f t="shared" si="232"/>
        <v>0</v>
      </c>
      <c r="I985" s="31">
        <f t="shared" si="232"/>
        <v>0</v>
      </c>
      <c r="J985" s="31">
        <f t="shared" si="232"/>
        <v>0</v>
      </c>
      <c r="K985" s="69">
        <f t="shared" si="232"/>
        <v>0</v>
      </c>
      <c r="L985" s="31">
        <f t="shared" si="232"/>
        <v>0</v>
      </c>
      <c r="M985" s="31">
        <f t="shared" si="232"/>
        <v>6249.48</v>
      </c>
      <c r="N985" s="31">
        <f t="shared" si="232"/>
        <v>31044939.370000001</v>
      </c>
      <c r="O985" s="31">
        <f t="shared" si="232"/>
        <v>0</v>
      </c>
      <c r="P985" s="31">
        <f t="shared" si="232"/>
        <v>0</v>
      </c>
      <c r="Q985" s="31">
        <f t="shared" si="232"/>
        <v>0</v>
      </c>
      <c r="R985" s="31">
        <f t="shared" si="232"/>
        <v>0</v>
      </c>
      <c r="S985" s="31">
        <f t="shared" si="232"/>
        <v>0</v>
      </c>
      <c r="T985" s="31">
        <f t="shared" si="232"/>
        <v>0</v>
      </c>
      <c r="U985" s="31">
        <f t="shared" si="232"/>
        <v>0</v>
      </c>
      <c r="V985" s="31">
        <f t="shared" si="232"/>
        <v>0</v>
      </c>
      <c r="W985" s="31">
        <f t="shared" si="232"/>
        <v>0</v>
      </c>
      <c r="X985" s="31">
        <f t="shared" si="232"/>
        <v>0</v>
      </c>
      <c r="Y985" s="31">
        <f t="shared" si="232"/>
        <v>0</v>
      </c>
      <c r="Z985" s="31">
        <f t="shared" si="232"/>
        <v>0</v>
      </c>
      <c r="AA985" s="31">
        <f t="shared" si="232"/>
        <v>0</v>
      </c>
      <c r="AB985" s="31">
        <f t="shared" si="232"/>
        <v>0</v>
      </c>
      <c r="AC985" s="31">
        <f t="shared" si="232"/>
        <v>465674.07999999996</v>
      </c>
      <c r="AD985" s="31">
        <f t="shared" si="232"/>
        <v>619276.91999999993</v>
      </c>
      <c r="AE985" s="31">
        <f t="shared" si="232"/>
        <v>120000</v>
      </c>
      <c r="AF985" s="65" t="s">
        <v>751</v>
      </c>
      <c r="AG985" s="65" t="s">
        <v>751</v>
      </c>
      <c r="AH985" s="79" t="s">
        <v>751</v>
      </c>
      <c r="AT985" s="20" t="e">
        <f>VLOOKUP(C985,AW:AX,2,FALSE)</f>
        <v>#N/A</v>
      </c>
      <c r="BZ985" s="64">
        <v>13767321.040000001</v>
      </c>
      <c r="CD985" s="20" t="e">
        <f t="shared" si="230"/>
        <v>#N/A</v>
      </c>
    </row>
    <row r="986" spans="1:82" ht="61.5" x14ac:dyDescent="0.85">
      <c r="A986" s="20">
        <v>1</v>
      </c>
      <c r="B986" s="60">
        <f>SUBTOTAL(103,$A$558:A986)</f>
        <v>376</v>
      </c>
      <c r="C986" s="24" t="s">
        <v>146</v>
      </c>
      <c r="D986" s="31">
        <f t="shared" ref="D986:D991" si="233">E986+F986+G986+H986+I986+J986+L986+N986+P986+R986+T986+U986+V986+W986+X986+Y986+Z986+AA986+AB986+AC986+AD986+AE986</f>
        <v>6331475.6600000011</v>
      </c>
      <c r="E986" s="31">
        <v>0</v>
      </c>
      <c r="F986" s="31">
        <v>0</v>
      </c>
      <c r="G986" s="31">
        <v>0</v>
      </c>
      <c r="H986" s="31">
        <v>0</v>
      </c>
      <c r="I986" s="31">
        <v>0</v>
      </c>
      <c r="J986" s="31">
        <v>0</v>
      </c>
      <c r="K986" s="67">
        <v>0</v>
      </c>
      <c r="L986" s="31">
        <v>0</v>
      </c>
      <c r="M986" s="31">
        <v>1101.8</v>
      </c>
      <c r="N986" s="31">
        <v>6119495.9400000004</v>
      </c>
      <c r="O986" s="31">
        <v>0</v>
      </c>
      <c r="P986" s="31">
        <v>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  <c r="AA986" s="31">
        <v>0</v>
      </c>
      <c r="AB986" s="31">
        <v>0</v>
      </c>
      <c r="AC986" s="31">
        <f t="shared" ref="AC986:AC991" si="234">ROUND(N986*1.5%,2)</f>
        <v>91792.44</v>
      </c>
      <c r="AD986" s="31">
        <v>120187.28</v>
      </c>
      <c r="AE986" s="31">
        <v>0</v>
      </c>
      <c r="AF986" s="33">
        <v>2021</v>
      </c>
      <c r="AG986" s="33">
        <v>2021</v>
      </c>
      <c r="AH986" s="34">
        <v>2021</v>
      </c>
      <c r="AT986" s="20" t="e">
        <f>VLOOKUP(C986,AW:AX,2,FALSE)</f>
        <v>#N/A</v>
      </c>
      <c r="BZ986" s="64"/>
      <c r="CD986" s="20" t="e">
        <f t="shared" si="230"/>
        <v>#N/A</v>
      </c>
    </row>
    <row r="987" spans="1:82" ht="61.5" x14ac:dyDescent="0.85">
      <c r="A987" s="20">
        <v>1</v>
      </c>
      <c r="B987" s="60">
        <f>SUBTOTAL(103,$A$558:A987)</f>
        <v>377</v>
      </c>
      <c r="C987" s="24" t="s">
        <v>157</v>
      </c>
      <c r="D987" s="31">
        <f t="shared" si="233"/>
        <v>6774880.0600000005</v>
      </c>
      <c r="E987" s="31">
        <v>0</v>
      </c>
      <c r="F987" s="31">
        <v>0</v>
      </c>
      <c r="G987" s="31">
        <v>0</v>
      </c>
      <c r="H987" s="31">
        <v>0</v>
      </c>
      <c r="I987" s="31">
        <v>0</v>
      </c>
      <c r="J987" s="31">
        <v>0</v>
      </c>
      <c r="K987" s="67">
        <v>0</v>
      </c>
      <c r="L987" s="31">
        <v>0</v>
      </c>
      <c r="M987" s="31">
        <v>1541.85</v>
      </c>
      <c r="N987" s="31">
        <v>6556429.21</v>
      </c>
      <c r="O987" s="31">
        <v>0</v>
      </c>
      <c r="P987" s="31">
        <v>0</v>
      </c>
      <c r="Q987" s="31">
        <v>0</v>
      </c>
      <c r="R987" s="31">
        <v>0</v>
      </c>
      <c r="S987" s="31">
        <v>0</v>
      </c>
      <c r="T987" s="31">
        <v>0</v>
      </c>
      <c r="U987" s="31">
        <v>0</v>
      </c>
      <c r="V987" s="31">
        <v>0</v>
      </c>
      <c r="W987" s="31">
        <v>0</v>
      </c>
      <c r="X987" s="31">
        <v>0</v>
      </c>
      <c r="Y987" s="31">
        <v>0</v>
      </c>
      <c r="Z987" s="31">
        <v>0</v>
      </c>
      <c r="AA987" s="31">
        <v>0</v>
      </c>
      <c r="AB987" s="31">
        <v>0</v>
      </c>
      <c r="AC987" s="31">
        <f t="shared" si="234"/>
        <v>98346.44</v>
      </c>
      <c r="AD987" s="31">
        <v>120104.41</v>
      </c>
      <c r="AE987" s="31">
        <v>0</v>
      </c>
      <c r="AF987" s="33">
        <v>2021</v>
      </c>
      <c r="AG987" s="33">
        <v>2021</v>
      </c>
      <c r="AH987" s="34">
        <v>2021</v>
      </c>
      <c r="AT987" s="20" t="e">
        <f>VLOOKUP(C987,AW$987:AX$987,2,FALSE)</f>
        <v>#N/A</v>
      </c>
      <c r="BZ987" s="64"/>
      <c r="CD987" s="20" t="e">
        <f t="shared" si="230"/>
        <v>#N/A</v>
      </c>
    </row>
    <row r="988" spans="1:82" ht="61.5" x14ac:dyDescent="0.85">
      <c r="A988" s="20">
        <v>1</v>
      </c>
      <c r="B988" s="60">
        <f>SUBTOTAL(103,$A$558:A988)</f>
        <v>378</v>
      </c>
      <c r="C988" s="101" t="s">
        <v>158</v>
      </c>
      <c r="D988" s="31">
        <f t="shared" si="233"/>
        <v>3822464.25</v>
      </c>
      <c r="E988" s="31">
        <v>0</v>
      </c>
      <c r="F988" s="31">
        <v>0</v>
      </c>
      <c r="G988" s="31">
        <v>0</v>
      </c>
      <c r="H988" s="31">
        <v>0</v>
      </c>
      <c r="I988" s="31">
        <v>0</v>
      </c>
      <c r="J988" s="31">
        <v>0</v>
      </c>
      <c r="K988" s="67">
        <v>0</v>
      </c>
      <c r="L988" s="31">
        <v>0</v>
      </c>
      <c r="M988" s="31">
        <v>741.79</v>
      </c>
      <c r="N988" s="31">
        <f>3668452.24</f>
        <v>3668452.24</v>
      </c>
      <c r="O988" s="31">
        <v>0</v>
      </c>
      <c r="P988" s="31">
        <v>0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0</v>
      </c>
      <c r="W988" s="31">
        <v>0</v>
      </c>
      <c r="X988" s="31">
        <v>0</v>
      </c>
      <c r="Y988" s="31">
        <v>0</v>
      </c>
      <c r="Z988" s="31">
        <v>0</v>
      </c>
      <c r="AA988" s="31">
        <v>0</v>
      </c>
      <c r="AB988" s="31">
        <v>0</v>
      </c>
      <c r="AC988" s="31">
        <f t="shared" si="234"/>
        <v>55026.78</v>
      </c>
      <c r="AD988" s="31">
        <v>98985.23</v>
      </c>
      <c r="AE988" s="31">
        <v>0</v>
      </c>
      <c r="AF988" s="33">
        <v>2021</v>
      </c>
      <c r="AG988" s="33">
        <v>2021</v>
      </c>
      <c r="AH988" s="34">
        <v>2021</v>
      </c>
      <c r="AT988" s="20" t="e">
        <f>VLOOKUP(C988,AW:AX,2,FALSE)</f>
        <v>#N/A</v>
      </c>
      <c r="BZ988" s="64"/>
    </row>
    <row r="989" spans="1:82" ht="61.5" x14ac:dyDescent="0.85">
      <c r="A989" s="20">
        <v>1</v>
      </c>
      <c r="B989" s="60">
        <f>SUBTOTAL(103,$A$558:A989)</f>
        <v>379</v>
      </c>
      <c r="C989" s="24" t="s">
        <v>1256</v>
      </c>
      <c r="D989" s="31">
        <f t="shared" si="233"/>
        <v>4749951.8099999996</v>
      </c>
      <c r="E989" s="31">
        <v>0</v>
      </c>
      <c r="F989" s="31">
        <v>0</v>
      </c>
      <c r="G989" s="31">
        <v>0</v>
      </c>
      <c r="H989" s="31">
        <v>0</v>
      </c>
      <c r="I989" s="31">
        <v>0</v>
      </c>
      <c r="J989" s="31">
        <v>0</v>
      </c>
      <c r="K989" s="67">
        <v>0</v>
      </c>
      <c r="L989" s="31">
        <v>0</v>
      </c>
      <c r="M989" s="31">
        <v>1105</v>
      </c>
      <c r="N989" s="31">
        <f>4517697.52+533230.86-489399.5</f>
        <v>4561528.88</v>
      </c>
      <c r="O989" s="31">
        <v>0</v>
      </c>
      <c r="P989" s="31">
        <v>0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0</v>
      </c>
      <c r="W989" s="31">
        <v>0</v>
      </c>
      <c r="X989" s="31">
        <v>0</v>
      </c>
      <c r="Y989" s="31">
        <v>0</v>
      </c>
      <c r="Z989" s="31">
        <v>0</v>
      </c>
      <c r="AA989" s="31">
        <v>0</v>
      </c>
      <c r="AB989" s="31">
        <v>0</v>
      </c>
      <c r="AC989" s="31">
        <f t="shared" si="234"/>
        <v>68422.929999999993</v>
      </c>
      <c r="AD989" s="38">
        <v>0</v>
      </c>
      <c r="AE989" s="31">
        <v>120000</v>
      </c>
      <c r="AF989" s="33" t="s">
        <v>268</v>
      </c>
      <c r="AG989" s="33">
        <v>2021</v>
      </c>
      <c r="AH989" s="34">
        <v>2021</v>
      </c>
      <c r="BZ989" s="64"/>
      <c r="CD989" s="20">
        <f t="shared" ref="CD989:CD1026" si="235">VLOOKUP(C989,CE:CF,2,FALSE)</f>
        <v>1105</v>
      </c>
    </row>
    <row r="990" spans="1:82" ht="61.5" x14ac:dyDescent="0.85">
      <c r="A990" s="20">
        <v>1</v>
      </c>
      <c r="B990" s="60">
        <f>SUBTOTAL(103,$A$558:A990)</f>
        <v>380</v>
      </c>
      <c r="C990" s="101" t="s">
        <v>1955</v>
      </c>
      <c r="D990" s="31">
        <f t="shared" si="233"/>
        <v>6346318.1600000001</v>
      </c>
      <c r="E990" s="31">
        <v>0</v>
      </c>
      <c r="F990" s="31">
        <v>0</v>
      </c>
      <c r="G990" s="31">
        <v>0</v>
      </c>
      <c r="H990" s="31">
        <v>0</v>
      </c>
      <c r="I990" s="31">
        <v>0</v>
      </c>
      <c r="J990" s="31">
        <v>0</v>
      </c>
      <c r="K990" s="67">
        <v>0</v>
      </c>
      <c r="L990" s="31">
        <v>0</v>
      </c>
      <c r="M990" s="31">
        <v>1233.22</v>
      </c>
      <c r="N990" s="31">
        <v>6104746.96</v>
      </c>
      <c r="O990" s="31">
        <v>0</v>
      </c>
      <c r="P990" s="31">
        <v>0</v>
      </c>
      <c r="Q990" s="31">
        <v>0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  <c r="AC990" s="31">
        <f t="shared" si="234"/>
        <v>91571.199999999997</v>
      </c>
      <c r="AD990" s="31">
        <v>150000</v>
      </c>
      <c r="AE990" s="31">
        <v>0</v>
      </c>
      <c r="AF990" s="33">
        <v>2021</v>
      </c>
      <c r="AG990" s="33">
        <v>2021</v>
      </c>
      <c r="AH990" s="34">
        <v>2021</v>
      </c>
      <c r="AT990" s="20" t="e">
        <f>VLOOKUP(C990,AW:AX,2,FALSE)</f>
        <v>#N/A</v>
      </c>
      <c r="BZ990" s="64"/>
      <c r="CD990" s="20" t="e">
        <f t="shared" si="235"/>
        <v>#N/A</v>
      </c>
    </row>
    <row r="991" spans="1:82" ht="61.5" x14ac:dyDescent="0.85">
      <c r="A991" s="20">
        <v>1</v>
      </c>
      <c r="B991" s="60">
        <f>SUBTOTAL(103,$A$558:A991)</f>
        <v>381</v>
      </c>
      <c r="C991" s="24" t="s">
        <v>2311</v>
      </c>
      <c r="D991" s="31">
        <f t="shared" si="233"/>
        <v>4224800.43</v>
      </c>
      <c r="E991" s="35">
        <v>0</v>
      </c>
      <c r="F991" s="35">
        <v>0</v>
      </c>
      <c r="G991" s="35">
        <v>0</v>
      </c>
      <c r="H991" s="35">
        <v>0</v>
      </c>
      <c r="I991" s="35">
        <v>0</v>
      </c>
      <c r="J991" s="35">
        <v>0</v>
      </c>
      <c r="K991" s="67">
        <v>0</v>
      </c>
      <c r="L991" s="31">
        <v>0</v>
      </c>
      <c r="M991" s="31">
        <v>525.82000000000005</v>
      </c>
      <c r="N991" s="31">
        <v>4034286.14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0</v>
      </c>
      <c r="AC991" s="31">
        <f t="shared" si="234"/>
        <v>60514.29</v>
      </c>
      <c r="AD991" s="31">
        <v>130000</v>
      </c>
      <c r="AE991" s="31">
        <v>0</v>
      </c>
      <c r="AF991" s="33">
        <v>2021</v>
      </c>
      <c r="AG991" s="33">
        <v>2021</v>
      </c>
      <c r="AH991" s="34">
        <v>2021</v>
      </c>
      <c r="AT991" s="20" t="e">
        <f>VLOOKUP(C991,AW:AX,2,FALSE)</f>
        <v>#N/A</v>
      </c>
      <c r="BZ991" s="64"/>
      <c r="CD991" s="20" t="e">
        <f t="shared" si="235"/>
        <v>#N/A</v>
      </c>
    </row>
    <row r="992" spans="1:82" ht="61.5" x14ac:dyDescent="0.85">
      <c r="B992" s="24" t="s">
        <v>854</v>
      </c>
      <c r="C992" s="198"/>
      <c r="D992" s="199">
        <f>SUM(D993:D995)</f>
        <v>14837581.219999999</v>
      </c>
      <c r="E992" s="31">
        <f t="shared" ref="E992:AE992" si="236">SUM(E993:E995)</f>
        <v>0</v>
      </c>
      <c r="F992" s="31">
        <f t="shared" si="236"/>
        <v>0</v>
      </c>
      <c r="G992" s="31">
        <f t="shared" si="236"/>
        <v>0</v>
      </c>
      <c r="H992" s="31">
        <f t="shared" si="236"/>
        <v>0</v>
      </c>
      <c r="I992" s="31">
        <f t="shared" si="236"/>
        <v>0</v>
      </c>
      <c r="J992" s="31">
        <f t="shared" si="236"/>
        <v>0</v>
      </c>
      <c r="K992" s="67">
        <f t="shared" si="236"/>
        <v>0</v>
      </c>
      <c r="L992" s="31">
        <f t="shared" si="236"/>
        <v>0</v>
      </c>
      <c r="M992" s="31">
        <f t="shared" si="236"/>
        <v>2086.42</v>
      </c>
      <c r="N992" s="31">
        <f t="shared" si="236"/>
        <v>11583008.75</v>
      </c>
      <c r="O992" s="31">
        <f t="shared" si="236"/>
        <v>0</v>
      </c>
      <c r="P992" s="31">
        <f t="shared" si="236"/>
        <v>0</v>
      </c>
      <c r="Q992" s="31">
        <f t="shared" si="236"/>
        <v>729.1</v>
      </c>
      <c r="R992" s="31">
        <f t="shared" si="236"/>
        <v>2503278.17</v>
      </c>
      <c r="S992" s="31">
        <f t="shared" si="236"/>
        <v>0</v>
      </c>
      <c r="T992" s="31">
        <f t="shared" si="236"/>
        <v>0</v>
      </c>
      <c r="U992" s="31">
        <f t="shared" si="236"/>
        <v>0</v>
      </c>
      <c r="V992" s="31">
        <f t="shared" si="236"/>
        <v>0</v>
      </c>
      <c r="W992" s="31">
        <f t="shared" si="236"/>
        <v>0</v>
      </c>
      <c r="X992" s="31">
        <f t="shared" si="236"/>
        <v>0</v>
      </c>
      <c r="Y992" s="31">
        <f t="shared" si="236"/>
        <v>0</v>
      </c>
      <c r="Z992" s="31">
        <f t="shared" si="236"/>
        <v>0</v>
      </c>
      <c r="AA992" s="31">
        <f t="shared" si="236"/>
        <v>0</v>
      </c>
      <c r="AB992" s="31">
        <f t="shared" si="236"/>
        <v>0</v>
      </c>
      <c r="AC992" s="31">
        <f t="shared" si="236"/>
        <v>211294.30000000002</v>
      </c>
      <c r="AD992" s="31">
        <f t="shared" si="236"/>
        <v>300000</v>
      </c>
      <c r="AE992" s="31">
        <f t="shared" si="236"/>
        <v>240000</v>
      </c>
      <c r="AF992" s="65" t="s">
        <v>751</v>
      </c>
      <c r="AG992" s="65" t="s">
        <v>751</v>
      </c>
      <c r="AH992" s="79" t="s">
        <v>751</v>
      </c>
      <c r="AT992" s="20" t="e">
        <f>VLOOKUP(C992,AW:AX,2,FALSE)</f>
        <v>#N/A</v>
      </c>
      <c r="BZ992" s="64">
        <v>9023270.3999999985</v>
      </c>
      <c r="CD992" s="20" t="e">
        <f t="shared" si="235"/>
        <v>#N/A</v>
      </c>
    </row>
    <row r="993" spans="1:82" ht="61.5" x14ac:dyDescent="0.85">
      <c r="A993" s="20">
        <v>1</v>
      </c>
      <c r="B993" s="60">
        <f>SUBTOTAL(103,$A$558:A993)</f>
        <v>382</v>
      </c>
      <c r="C993" s="24" t="s">
        <v>96</v>
      </c>
      <c r="D993" s="31">
        <f>E993+F993+G993+H993+I993+J993+L993+N993+P993+R993+T993+U993+V993+W993+X993+Y993+Z993+AA993+AB993+AC993+AD993+AE993</f>
        <v>4020786</v>
      </c>
      <c r="E993" s="31">
        <v>0</v>
      </c>
      <c r="F993" s="31">
        <v>0</v>
      </c>
      <c r="G993" s="31">
        <v>0</v>
      </c>
      <c r="H993" s="31">
        <v>0</v>
      </c>
      <c r="I993" s="31">
        <v>0</v>
      </c>
      <c r="J993" s="31">
        <v>0</v>
      </c>
      <c r="K993" s="67">
        <v>0</v>
      </c>
      <c r="L993" s="31">
        <v>0</v>
      </c>
      <c r="M993" s="31">
        <v>770</v>
      </c>
      <c r="N993" s="31">
        <v>3813582.27</v>
      </c>
      <c r="O993" s="31">
        <v>0</v>
      </c>
      <c r="P993" s="31">
        <v>0</v>
      </c>
      <c r="Q993" s="31">
        <v>0</v>
      </c>
      <c r="R993" s="31">
        <v>0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0</v>
      </c>
      <c r="AB993" s="31">
        <v>0</v>
      </c>
      <c r="AC993" s="31">
        <f>ROUND(N993*1.5%,2)</f>
        <v>57203.73</v>
      </c>
      <c r="AD993" s="31">
        <v>150000</v>
      </c>
      <c r="AE993" s="31">
        <v>0</v>
      </c>
      <c r="AF993" s="33">
        <v>2021</v>
      </c>
      <c r="AG993" s="33">
        <v>2021</v>
      </c>
      <c r="AH993" s="34">
        <v>2021</v>
      </c>
      <c r="AT993" s="20" t="e">
        <f>VLOOKUP(C993,AW:AX,2,FALSE)</f>
        <v>#N/A</v>
      </c>
      <c r="BZ993" s="64"/>
      <c r="CD993" s="20" t="e">
        <f t="shared" si="235"/>
        <v>#N/A</v>
      </c>
    </row>
    <row r="994" spans="1:82" ht="61.5" x14ac:dyDescent="0.85">
      <c r="A994" s="20">
        <v>1</v>
      </c>
      <c r="B994" s="60">
        <f>SUBTOTAL(103,$A$558:A994)</f>
        <v>383</v>
      </c>
      <c r="C994" s="24" t="s">
        <v>95</v>
      </c>
      <c r="D994" s="31">
        <f>E994+F994+G994+H994+I994+J994+L994+N994+P994+R994+T994+U994+V994+W994+X994+Y994+Z994+AA994+AB994+AC994+AD994+AE994</f>
        <v>5034262.3099999996</v>
      </c>
      <c r="E994" s="31">
        <v>0</v>
      </c>
      <c r="F994" s="31">
        <v>0</v>
      </c>
      <c r="G994" s="31">
        <v>0</v>
      </c>
      <c r="H994" s="31">
        <v>0</v>
      </c>
      <c r="I994" s="31">
        <v>0</v>
      </c>
      <c r="J994" s="31">
        <v>0</v>
      </c>
      <c r="K994" s="67">
        <v>0</v>
      </c>
      <c r="L994" s="31">
        <v>0</v>
      </c>
      <c r="M994" s="31">
        <v>958</v>
      </c>
      <c r="N994" s="31">
        <f>4780772.81+31308.28</f>
        <v>4812081.09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0</v>
      </c>
      <c r="AB994" s="31">
        <v>0</v>
      </c>
      <c r="AC994" s="31">
        <f>ROUND(N994*1.5%,2)</f>
        <v>72181.22</v>
      </c>
      <c r="AD994" s="31">
        <v>150000</v>
      </c>
      <c r="AE994" s="31">
        <v>0</v>
      </c>
      <c r="AF994" s="33">
        <v>2021</v>
      </c>
      <c r="AG994" s="33">
        <v>2021</v>
      </c>
      <c r="AH994" s="34">
        <v>2021</v>
      </c>
      <c r="AT994" s="20" t="e">
        <f>VLOOKUP(C994,AW:AX,2,FALSE)</f>
        <v>#N/A</v>
      </c>
      <c r="BZ994" s="64"/>
      <c r="CD994" s="20" t="e">
        <f t="shared" si="235"/>
        <v>#N/A</v>
      </c>
    </row>
    <row r="995" spans="1:82" ht="61.5" x14ac:dyDescent="0.85">
      <c r="A995" s="20">
        <v>1</v>
      </c>
      <c r="B995" s="60">
        <f>SUBTOTAL(103,$A$558:A995)</f>
        <v>384</v>
      </c>
      <c r="C995" s="24" t="s">
        <v>1262</v>
      </c>
      <c r="D995" s="31">
        <f>E995+F995+G995+H995+I995+J995+L995+N995+P995+R995+T995+U995+V995+W995+X995+Y995+Z995+AA995+AB995+AC995+AD995+AE995</f>
        <v>5782532.9099999992</v>
      </c>
      <c r="E995" s="31">
        <v>0</v>
      </c>
      <c r="F995" s="31">
        <v>0</v>
      </c>
      <c r="G995" s="31">
        <v>0</v>
      </c>
      <c r="H995" s="31">
        <v>0</v>
      </c>
      <c r="I995" s="31">
        <v>0</v>
      </c>
      <c r="J995" s="31">
        <v>0</v>
      </c>
      <c r="K995" s="67">
        <v>0</v>
      </c>
      <c r="L995" s="31">
        <v>0</v>
      </c>
      <c r="M995" s="31">
        <v>358.42</v>
      </c>
      <c r="N995" s="31">
        <f>1852079.29+1040558.72+64707.38</f>
        <v>2957345.3899999997</v>
      </c>
      <c r="O995" s="31">
        <v>0</v>
      </c>
      <c r="P995" s="31">
        <v>0</v>
      </c>
      <c r="Q995" s="31">
        <v>729.1</v>
      </c>
      <c r="R995" s="31">
        <f>1721236.56+ROUND(1721236.56*0.15,2)+523856.13</f>
        <v>2503278.17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0</v>
      </c>
      <c r="AA995" s="31">
        <v>0</v>
      </c>
      <c r="AB995" s="31">
        <v>0</v>
      </c>
      <c r="AC995" s="31">
        <f>ROUND((N995+R995)*1.5%,2)</f>
        <v>81909.350000000006</v>
      </c>
      <c r="AD995" s="31">
        <v>0</v>
      </c>
      <c r="AE995" s="31">
        <v>240000</v>
      </c>
      <c r="AF995" s="33" t="s">
        <v>268</v>
      </c>
      <c r="AG995" s="33">
        <v>2021</v>
      </c>
      <c r="AH995" s="34">
        <v>2021</v>
      </c>
      <c r="BZ995" s="64"/>
      <c r="CD995" s="20" t="e">
        <f t="shared" si="235"/>
        <v>#N/A</v>
      </c>
    </row>
    <row r="996" spans="1:82" ht="61.5" x14ac:dyDescent="0.85">
      <c r="B996" s="24" t="s">
        <v>855</v>
      </c>
      <c r="C996" s="24"/>
      <c r="D996" s="199">
        <f>D997</f>
        <v>3029954.81</v>
      </c>
      <c r="E996" s="31">
        <f t="shared" ref="E996:AE996" si="237">E997</f>
        <v>0</v>
      </c>
      <c r="F996" s="31">
        <f t="shared" si="237"/>
        <v>0</v>
      </c>
      <c r="G996" s="31">
        <f t="shared" si="237"/>
        <v>0</v>
      </c>
      <c r="H996" s="31">
        <f t="shared" si="237"/>
        <v>0</v>
      </c>
      <c r="I996" s="31">
        <f t="shared" si="237"/>
        <v>0</v>
      </c>
      <c r="J996" s="31">
        <f t="shared" si="237"/>
        <v>0</v>
      </c>
      <c r="K996" s="67">
        <f t="shared" si="237"/>
        <v>0</v>
      </c>
      <c r="L996" s="31">
        <f t="shared" si="237"/>
        <v>0</v>
      </c>
      <c r="M996" s="31">
        <f t="shared" si="237"/>
        <v>590</v>
      </c>
      <c r="N996" s="31">
        <f t="shared" si="237"/>
        <v>2985177.15</v>
      </c>
      <c r="O996" s="31">
        <f t="shared" si="237"/>
        <v>0</v>
      </c>
      <c r="P996" s="31">
        <f t="shared" si="237"/>
        <v>0</v>
      </c>
      <c r="Q996" s="31">
        <f t="shared" si="237"/>
        <v>0</v>
      </c>
      <c r="R996" s="31">
        <f t="shared" si="237"/>
        <v>0</v>
      </c>
      <c r="S996" s="31">
        <f t="shared" si="237"/>
        <v>0</v>
      </c>
      <c r="T996" s="31">
        <f t="shared" si="237"/>
        <v>0</v>
      </c>
      <c r="U996" s="31">
        <f t="shared" si="237"/>
        <v>0</v>
      </c>
      <c r="V996" s="31">
        <f t="shared" si="237"/>
        <v>0</v>
      </c>
      <c r="W996" s="31">
        <f t="shared" si="237"/>
        <v>0</v>
      </c>
      <c r="X996" s="31">
        <f t="shared" si="237"/>
        <v>0</v>
      </c>
      <c r="Y996" s="31">
        <f t="shared" si="237"/>
        <v>0</v>
      </c>
      <c r="Z996" s="31">
        <f t="shared" si="237"/>
        <v>0</v>
      </c>
      <c r="AA996" s="31">
        <f t="shared" si="237"/>
        <v>0</v>
      </c>
      <c r="AB996" s="31">
        <f t="shared" si="237"/>
        <v>0</v>
      </c>
      <c r="AC996" s="31">
        <f t="shared" si="237"/>
        <v>44777.66</v>
      </c>
      <c r="AD996" s="31">
        <f t="shared" si="237"/>
        <v>0</v>
      </c>
      <c r="AE996" s="31">
        <f t="shared" si="237"/>
        <v>0</v>
      </c>
      <c r="AF996" s="65" t="s">
        <v>751</v>
      </c>
      <c r="AG996" s="65" t="s">
        <v>751</v>
      </c>
      <c r="AH996" s="79" t="s">
        <v>751</v>
      </c>
      <c r="AT996" s="20" t="e">
        <f>VLOOKUP(C996,AW:AX,2,FALSE)</f>
        <v>#N/A</v>
      </c>
      <c r="BZ996" s="64">
        <v>3080862</v>
      </c>
      <c r="CD996" s="20" t="e">
        <f t="shared" si="235"/>
        <v>#N/A</v>
      </c>
    </row>
    <row r="997" spans="1:82" ht="61.5" x14ac:dyDescent="0.85">
      <c r="A997" s="20">
        <v>1</v>
      </c>
      <c r="B997" s="60">
        <f>SUBTOTAL(103,$A$558:A997)</f>
        <v>385</v>
      </c>
      <c r="C997" s="24" t="s">
        <v>97</v>
      </c>
      <c r="D997" s="31">
        <f>E997+F997+G997+H997+I997+J997+L997+N997+P997+R997+T997+U997+V997+W997+X997+Y997+Z997+AA997+AB997+AC997+AD997+AE997</f>
        <v>3029954.81</v>
      </c>
      <c r="E997" s="31">
        <v>0</v>
      </c>
      <c r="F997" s="31">
        <v>0</v>
      </c>
      <c r="G997" s="31">
        <v>0</v>
      </c>
      <c r="H997" s="31">
        <v>0</v>
      </c>
      <c r="I997" s="31">
        <v>0</v>
      </c>
      <c r="J997" s="31">
        <v>0</v>
      </c>
      <c r="K997" s="67">
        <v>0</v>
      </c>
      <c r="L997" s="31">
        <v>0</v>
      </c>
      <c r="M997" s="31">
        <v>590</v>
      </c>
      <c r="N997" s="31">
        <f>2887548.77+22124.08+1669+62272.69+1669+9893.61</f>
        <v>2985177.15</v>
      </c>
      <c r="O997" s="31">
        <v>0</v>
      </c>
      <c r="P997" s="31">
        <v>0</v>
      </c>
      <c r="Q997" s="31">
        <v>0</v>
      </c>
      <c r="R997" s="31">
        <v>0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0</v>
      </c>
      <c r="AA997" s="31">
        <v>0</v>
      </c>
      <c r="AB997" s="31">
        <v>0</v>
      </c>
      <c r="AC997" s="31">
        <f>ROUND(N997*1.5%,2)</f>
        <v>44777.66</v>
      </c>
      <c r="AD997" s="31">
        <v>0</v>
      </c>
      <c r="AE997" s="31">
        <v>0</v>
      </c>
      <c r="AF997" s="33" t="s">
        <v>268</v>
      </c>
      <c r="AG997" s="33">
        <v>2021</v>
      </c>
      <c r="AH997" s="34">
        <v>2021</v>
      </c>
      <c r="AT997" s="20" t="e">
        <f>VLOOKUP(C997,AW:AX,2,FALSE)</f>
        <v>#N/A</v>
      </c>
      <c r="BZ997" s="64"/>
      <c r="CD997" s="20" t="e">
        <f t="shared" si="235"/>
        <v>#N/A</v>
      </c>
    </row>
    <row r="998" spans="1:82" ht="61.5" x14ac:dyDescent="0.85">
      <c r="B998" s="24" t="s">
        <v>879</v>
      </c>
      <c r="C998" s="24"/>
      <c r="D998" s="199">
        <f>D999</f>
        <v>4784142.66</v>
      </c>
      <c r="E998" s="31">
        <f t="shared" ref="E998:AA998" si="238">E999</f>
        <v>0</v>
      </c>
      <c r="F998" s="31">
        <f t="shared" si="238"/>
        <v>0</v>
      </c>
      <c r="G998" s="31">
        <f t="shared" si="238"/>
        <v>0</v>
      </c>
      <c r="H998" s="31">
        <f t="shared" si="238"/>
        <v>0</v>
      </c>
      <c r="I998" s="31">
        <f t="shared" si="238"/>
        <v>0</v>
      </c>
      <c r="J998" s="31">
        <f t="shared" si="238"/>
        <v>0</v>
      </c>
      <c r="K998" s="67">
        <f t="shared" si="238"/>
        <v>0</v>
      </c>
      <c r="L998" s="31">
        <f t="shared" si="238"/>
        <v>0</v>
      </c>
      <c r="M998" s="31">
        <f t="shared" si="238"/>
        <v>700</v>
      </c>
      <c r="N998" s="31">
        <f t="shared" si="238"/>
        <v>4713441.04</v>
      </c>
      <c r="O998" s="31">
        <f t="shared" si="238"/>
        <v>0</v>
      </c>
      <c r="P998" s="31">
        <f t="shared" si="238"/>
        <v>0</v>
      </c>
      <c r="Q998" s="31">
        <f t="shared" si="238"/>
        <v>0</v>
      </c>
      <c r="R998" s="31">
        <f t="shared" si="238"/>
        <v>0</v>
      </c>
      <c r="S998" s="31">
        <f t="shared" si="238"/>
        <v>0</v>
      </c>
      <c r="T998" s="31">
        <f t="shared" si="238"/>
        <v>0</v>
      </c>
      <c r="U998" s="31">
        <f t="shared" si="238"/>
        <v>0</v>
      </c>
      <c r="V998" s="31">
        <f t="shared" si="238"/>
        <v>0</v>
      </c>
      <c r="W998" s="31">
        <f t="shared" si="238"/>
        <v>0</v>
      </c>
      <c r="X998" s="31">
        <f t="shared" si="238"/>
        <v>0</v>
      </c>
      <c r="Y998" s="31">
        <f t="shared" si="238"/>
        <v>0</v>
      </c>
      <c r="Z998" s="31">
        <f t="shared" si="238"/>
        <v>0</v>
      </c>
      <c r="AA998" s="31">
        <f t="shared" si="238"/>
        <v>0</v>
      </c>
      <c r="AB998" s="31">
        <f>AB999</f>
        <v>0</v>
      </c>
      <c r="AC998" s="31">
        <f>AC999</f>
        <v>70701.62</v>
      </c>
      <c r="AD998" s="31">
        <f>AD999</f>
        <v>0</v>
      </c>
      <c r="AE998" s="31">
        <f>AE999</f>
        <v>0</v>
      </c>
      <c r="AF998" s="65" t="s">
        <v>751</v>
      </c>
      <c r="AG998" s="65" t="s">
        <v>751</v>
      </c>
      <c r="AH998" s="79" t="s">
        <v>751</v>
      </c>
      <c r="AT998" s="20" t="e">
        <f>VLOOKUP(C998,AW:AX,2,FALSE)</f>
        <v>#N/A</v>
      </c>
      <c r="BZ998" s="64">
        <v>3655260</v>
      </c>
      <c r="CD998" s="20" t="e">
        <f t="shared" si="235"/>
        <v>#N/A</v>
      </c>
    </row>
    <row r="999" spans="1:82" ht="61.5" x14ac:dyDescent="0.85">
      <c r="A999" s="20">
        <v>1</v>
      </c>
      <c r="B999" s="60">
        <f>SUBTOTAL(103,$A$558:A999)</f>
        <v>386</v>
      </c>
      <c r="C999" s="24" t="s">
        <v>98</v>
      </c>
      <c r="D999" s="31">
        <f>E999+F999+G999+H999+I999+J999+L999+N999+P999+R999+T999+U999+V999+W999+X999+Y999+Z999+AA999+AB999+AC999+AD999+AE999</f>
        <v>4784142.66</v>
      </c>
      <c r="E999" s="31">
        <v>0</v>
      </c>
      <c r="F999" s="31">
        <v>0</v>
      </c>
      <c r="G999" s="31">
        <v>0</v>
      </c>
      <c r="H999" s="31">
        <v>0</v>
      </c>
      <c r="I999" s="31">
        <v>0</v>
      </c>
      <c r="J999" s="31">
        <v>0</v>
      </c>
      <c r="K999" s="67">
        <v>0</v>
      </c>
      <c r="L999" s="31">
        <v>0</v>
      </c>
      <c r="M999" s="31">
        <v>700</v>
      </c>
      <c r="N999" s="31">
        <f>3453458.13+61790.32+1198192.59</f>
        <v>4713441.04</v>
      </c>
      <c r="O999" s="31">
        <v>0</v>
      </c>
      <c r="P999" s="31">
        <v>0</v>
      </c>
      <c r="Q999" s="31">
        <v>0</v>
      </c>
      <c r="R999" s="31">
        <v>0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  <c r="AC999" s="31">
        <f>ROUND(N999*1.5%,2)</f>
        <v>70701.62</v>
      </c>
      <c r="AD999" s="31">
        <v>0</v>
      </c>
      <c r="AE999" s="31">
        <v>0</v>
      </c>
      <c r="AF999" s="33" t="s">
        <v>268</v>
      </c>
      <c r="AG999" s="33">
        <v>2021</v>
      </c>
      <c r="AH999" s="34">
        <v>2021</v>
      </c>
      <c r="AT999" s="20" t="e">
        <f>VLOOKUP(C999,AW:AX,2,FALSE)</f>
        <v>#N/A</v>
      </c>
      <c r="BZ999" s="64"/>
      <c r="CD999" s="20" t="e">
        <f t="shared" si="235"/>
        <v>#N/A</v>
      </c>
    </row>
    <row r="1000" spans="1:82" ht="61.5" x14ac:dyDescent="0.85">
      <c r="B1000" s="24" t="s">
        <v>856</v>
      </c>
      <c r="C1000" s="24"/>
      <c r="D1000" s="199">
        <f>D1001</f>
        <v>877727.45000000007</v>
      </c>
      <c r="E1000" s="31">
        <f t="shared" ref="E1000:AE1002" si="239">E1001</f>
        <v>0</v>
      </c>
      <c r="F1000" s="31">
        <f t="shared" si="239"/>
        <v>0</v>
      </c>
      <c r="G1000" s="31">
        <f t="shared" si="239"/>
        <v>0</v>
      </c>
      <c r="H1000" s="31">
        <f t="shared" si="239"/>
        <v>864756.1100000001</v>
      </c>
      <c r="I1000" s="31">
        <f t="shared" si="239"/>
        <v>0</v>
      </c>
      <c r="J1000" s="31">
        <f t="shared" si="239"/>
        <v>0</v>
      </c>
      <c r="K1000" s="67">
        <f t="shared" si="239"/>
        <v>0</v>
      </c>
      <c r="L1000" s="31">
        <f t="shared" si="239"/>
        <v>0</v>
      </c>
      <c r="M1000" s="31">
        <f t="shared" si="239"/>
        <v>0</v>
      </c>
      <c r="N1000" s="31">
        <f t="shared" si="239"/>
        <v>0</v>
      </c>
      <c r="O1000" s="31">
        <f t="shared" si="239"/>
        <v>0</v>
      </c>
      <c r="P1000" s="31">
        <f t="shared" si="239"/>
        <v>0</v>
      </c>
      <c r="Q1000" s="31">
        <f t="shared" si="239"/>
        <v>0</v>
      </c>
      <c r="R1000" s="31">
        <f t="shared" si="239"/>
        <v>0</v>
      </c>
      <c r="S1000" s="31">
        <f t="shared" si="239"/>
        <v>0</v>
      </c>
      <c r="T1000" s="31">
        <f t="shared" si="239"/>
        <v>0</v>
      </c>
      <c r="U1000" s="31">
        <f t="shared" si="239"/>
        <v>0</v>
      </c>
      <c r="V1000" s="31">
        <f t="shared" si="239"/>
        <v>0</v>
      </c>
      <c r="W1000" s="31">
        <f t="shared" si="239"/>
        <v>0</v>
      </c>
      <c r="X1000" s="31">
        <f t="shared" si="239"/>
        <v>0</v>
      </c>
      <c r="Y1000" s="31">
        <f t="shared" si="239"/>
        <v>0</v>
      </c>
      <c r="Z1000" s="31">
        <f t="shared" si="239"/>
        <v>0</v>
      </c>
      <c r="AA1000" s="31">
        <f t="shared" si="239"/>
        <v>0</v>
      </c>
      <c r="AB1000" s="31">
        <f t="shared" si="239"/>
        <v>0</v>
      </c>
      <c r="AC1000" s="31">
        <f t="shared" si="239"/>
        <v>12971.34</v>
      </c>
      <c r="AD1000" s="31">
        <f t="shared" si="239"/>
        <v>0</v>
      </c>
      <c r="AE1000" s="31">
        <f t="shared" si="239"/>
        <v>0</v>
      </c>
      <c r="AF1000" s="65" t="s">
        <v>751</v>
      </c>
      <c r="AG1000" s="65" t="s">
        <v>751</v>
      </c>
      <c r="AH1000" s="79" t="s">
        <v>751</v>
      </c>
      <c r="AT1000" s="20" t="e">
        <f>VLOOKUP(C1000,AW:AX,2,FALSE)</f>
        <v>#N/A</v>
      </c>
      <c r="BZ1000" s="64">
        <v>3080862</v>
      </c>
      <c r="CD1000" s="20" t="e">
        <f t="shared" si="235"/>
        <v>#N/A</v>
      </c>
    </row>
    <row r="1001" spans="1:82" ht="61.5" x14ac:dyDescent="0.85">
      <c r="A1001" s="20">
        <v>1</v>
      </c>
      <c r="B1001" s="60">
        <f>SUBTOTAL(103,$A$558:A1001)</f>
        <v>387</v>
      </c>
      <c r="C1001" s="24" t="s">
        <v>1607</v>
      </c>
      <c r="D1001" s="31">
        <f>E1001+F1001+G1001+H1001+I1001+J1001+L1001+N1001+P1001+R1001+T1001+U1001+V1001+W1001+X1001+Y1001+Z1001+AA1001+AB1001+AC1001+AD1001+AE1001</f>
        <v>877727.45000000007</v>
      </c>
      <c r="E1001" s="31">
        <v>0</v>
      </c>
      <c r="F1001" s="31">
        <v>0</v>
      </c>
      <c r="G1001" s="31">
        <v>0</v>
      </c>
      <c r="H1001" s="31">
        <f>818295.28+39111.04+7349.79</f>
        <v>864756.1100000001</v>
      </c>
      <c r="I1001" s="31">
        <v>0</v>
      </c>
      <c r="J1001" s="31">
        <v>0</v>
      </c>
      <c r="K1001" s="67">
        <v>0</v>
      </c>
      <c r="L1001" s="31">
        <v>0</v>
      </c>
      <c r="M1001" s="31">
        <v>0</v>
      </c>
      <c r="N1001" s="31">
        <v>0</v>
      </c>
      <c r="O1001" s="31">
        <v>0</v>
      </c>
      <c r="P1001" s="31">
        <v>0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0</v>
      </c>
      <c r="AA1001" s="31">
        <v>0</v>
      </c>
      <c r="AB1001" s="31">
        <v>0</v>
      </c>
      <c r="AC1001" s="31">
        <f>ROUND(H1001*1.5%,2)</f>
        <v>12971.34</v>
      </c>
      <c r="AD1001" s="31">
        <v>0</v>
      </c>
      <c r="AE1001" s="31">
        <v>0</v>
      </c>
      <c r="AF1001" s="33" t="s">
        <v>268</v>
      </c>
      <c r="AG1001" s="33">
        <v>2021</v>
      </c>
      <c r="AH1001" s="34">
        <v>2021</v>
      </c>
      <c r="BZ1001" s="64"/>
      <c r="CD1001" s="20" t="e">
        <f t="shared" si="235"/>
        <v>#N/A</v>
      </c>
    </row>
    <row r="1002" spans="1:82" ht="61.5" x14ac:dyDescent="0.85">
      <c r="B1002" s="24" t="s">
        <v>857</v>
      </c>
      <c r="C1002" s="24"/>
      <c r="D1002" s="199">
        <f>D1003</f>
        <v>3108475.73</v>
      </c>
      <c r="E1002" s="31">
        <f t="shared" si="239"/>
        <v>0</v>
      </c>
      <c r="F1002" s="31">
        <f t="shared" si="239"/>
        <v>0</v>
      </c>
      <c r="G1002" s="31">
        <f t="shared" si="239"/>
        <v>0</v>
      </c>
      <c r="H1002" s="31">
        <f t="shared" si="239"/>
        <v>0</v>
      </c>
      <c r="I1002" s="31">
        <f t="shared" si="239"/>
        <v>0</v>
      </c>
      <c r="J1002" s="31">
        <f t="shared" si="239"/>
        <v>0</v>
      </c>
      <c r="K1002" s="67">
        <f t="shared" si="239"/>
        <v>0</v>
      </c>
      <c r="L1002" s="31">
        <f t="shared" si="239"/>
        <v>0</v>
      </c>
      <c r="M1002" s="31">
        <f t="shared" si="239"/>
        <v>590</v>
      </c>
      <c r="N1002" s="31">
        <f t="shared" si="239"/>
        <v>2914754.41</v>
      </c>
      <c r="O1002" s="31">
        <f t="shared" si="239"/>
        <v>0</v>
      </c>
      <c r="P1002" s="31">
        <f t="shared" si="239"/>
        <v>0</v>
      </c>
      <c r="Q1002" s="31">
        <f t="shared" si="239"/>
        <v>0</v>
      </c>
      <c r="R1002" s="31">
        <f t="shared" si="239"/>
        <v>0</v>
      </c>
      <c r="S1002" s="31">
        <f t="shared" si="239"/>
        <v>0</v>
      </c>
      <c r="T1002" s="31">
        <f t="shared" si="239"/>
        <v>0</v>
      </c>
      <c r="U1002" s="31">
        <f t="shared" si="239"/>
        <v>0</v>
      </c>
      <c r="V1002" s="31">
        <f t="shared" si="239"/>
        <v>0</v>
      </c>
      <c r="W1002" s="31">
        <f t="shared" si="239"/>
        <v>0</v>
      </c>
      <c r="X1002" s="31">
        <f t="shared" si="239"/>
        <v>0</v>
      </c>
      <c r="Y1002" s="31">
        <f t="shared" si="239"/>
        <v>0</v>
      </c>
      <c r="Z1002" s="31">
        <f t="shared" si="239"/>
        <v>0</v>
      </c>
      <c r="AA1002" s="31">
        <f t="shared" si="239"/>
        <v>0</v>
      </c>
      <c r="AB1002" s="31">
        <f t="shared" si="239"/>
        <v>0</v>
      </c>
      <c r="AC1002" s="31">
        <f t="shared" si="239"/>
        <v>43721.32</v>
      </c>
      <c r="AD1002" s="31">
        <f t="shared" si="239"/>
        <v>150000</v>
      </c>
      <c r="AE1002" s="31">
        <f t="shared" si="239"/>
        <v>0</v>
      </c>
      <c r="AF1002" s="65" t="s">
        <v>751</v>
      </c>
      <c r="AG1002" s="65" t="s">
        <v>751</v>
      </c>
      <c r="AH1002" s="79" t="s">
        <v>751</v>
      </c>
      <c r="AT1002" s="20" t="e">
        <f t="shared" ref="AT1002:AT1008" si="240">VLOOKUP(C1002,AW:AX,2,FALSE)</f>
        <v>#N/A</v>
      </c>
      <c r="BZ1002" s="64">
        <v>3080862</v>
      </c>
      <c r="CD1002" s="20" t="e">
        <f t="shared" si="235"/>
        <v>#N/A</v>
      </c>
    </row>
    <row r="1003" spans="1:82" ht="61.5" x14ac:dyDescent="0.85">
      <c r="A1003" s="20">
        <v>1</v>
      </c>
      <c r="B1003" s="60">
        <f>SUBTOTAL(103,$A$558:A1003)</f>
        <v>388</v>
      </c>
      <c r="C1003" s="24" t="s">
        <v>99</v>
      </c>
      <c r="D1003" s="31">
        <f>E1003+F1003+G1003+H1003+I1003+J1003+L1003+N1003+P1003+R1003+T1003+U1003+V1003+W1003+X1003+Y1003+Z1003+AA1003+AB1003+AC1003+AD1003+AE1003</f>
        <v>3108475.73</v>
      </c>
      <c r="E1003" s="31">
        <v>0</v>
      </c>
      <c r="F1003" s="31">
        <v>0</v>
      </c>
      <c r="G1003" s="31">
        <v>0</v>
      </c>
      <c r="H1003" s="31">
        <v>0</v>
      </c>
      <c r="I1003" s="31">
        <v>0</v>
      </c>
      <c r="J1003" s="31">
        <v>0</v>
      </c>
      <c r="K1003" s="67">
        <v>0</v>
      </c>
      <c r="L1003" s="31">
        <v>0</v>
      </c>
      <c r="M1003" s="31">
        <v>590</v>
      </c>
      <c r="N1003" s="31">
        <f>2887548.77+27205.64</f>
        <v>2914754.41</v>
      </c>
      <c r="O1003" s="31">
        <v>0</v>
      </c>
      <c r="P1003" s="31">
        <v>0</v>
      </c>
      <c r="Q1003" s="31">
        <v>0</v>
      </c>
      <c r="R1003" s="31">
        <v>0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0</v>
      </c>
      <c r="AA1003" s="31">
        <v>0</v>
      </c>
      <c r="AB1003" s="31">
        <v>0</v>
      </c>
      <c r="AC1003" s="31">
        <f>ROUND(N1003*1.5%,2)</f>
        <v>43721.32</v>
      </c>
      <c r="AD1003" s="31">
        <v>150000</v>
      </c>
      <c r="AE1003" s="31">
        <v>0</v>
      </c>
      <c r="AF1003" s="33">
        <v>2021</v>
      </c>
      <c r="AG1003" s="33">
        <v>2021</v>
      </c>
      <c r="AH1003" s="34">
        <v>2021</v>
      </c>
      <c r="AT1003" s="20" t="e">
        <f t="shared" si="240"/>
        <v>#N/A</v>
      </c>
      <c r="BZ1003" s="64"/>
      <c r="CD1003" s="20" t="e">
        <f t="shared" si="235"/>
        <v>#N/A</v>
      </c>
    </row>
    <row r="1004" spans="1:82" ht="61.5" x14ac:dyDescent="0.85">
      <c r="B1004" s="24" t="s">
        <v>858</v>
      </c>
      <c r="C1004" s="198"/>
      <c r="D1004" s="199">
        <f>SUM(D1005:D1009)</f>
        <v>10682268.789999999</v>
      </c>
      <c r="E1004" s="31">
        <f t="shared" ref="E1004:AE1004" si="241">SUM(E1005:E1009)</f>
        <v>0</v>
      </c>
      <c r="F1004" s="31">
        <f t="shared" si="241"/>
        <v>0</v>
      </c>
      <c r="G1004" s="31">
        <f t="shared" si="241"/>
        <v>0</v>
      </c>
      <c r="H1004" s="31">
        <f t="shared" si="241"/>
        <v>0</v>
      </c>
      <c r="I1004" s="31">
        <f t="shared" si="241"/>
        <v>715768.27</v>
      </c>
      <c r="J1004" s="31">
        <f t="shared" si="241"/>
        <v>0</v>
      </c>
      <c r="K1004" s="67">
        <f t="shared" si="241"/>
        <v>0</v>
      </c>
      <c r="L1004" s="31">
        <f t="shared" si="241"/>
        <v>0</v>
      </c>
      <c r="M1004" s="31">
        <f t="shared" si="241"/>
        <v>1508</v>
      </c>
      <c r="N1004" s="31">
        <f t="shared" si="241"/>
        <v>7823843.5200000005</v>
      </c>
      <c r="O1004" s="31">
        <f t="shared" si="241"/>
        <v>0</v>
      </c>
      <c r="P1004" s="31">
        <f t="shared" si="241"/>
        <v>0</v>
      </c>
      <c r="Q1004" s="31">
        <f t="shared" si="241"/>
        <v>531</v>
      </c>
      <c r="R1004" s="31">
        <f t="shared" si="241"/>
        <v>1471743.09</v>
      </c>
      <c r="S1004" s="31">
        <f t="shared" si="241"/>
        <v>0</v>
      </c>
      <c r="T1004" s="31">
        <f t="shared" si="241"/>
        <v>0</v>
      </c>
      <c r="U1004" s="31">
        <f t="shared" si="241"/>
        <v>0</v>
      </c>
      <c r="V1004" s="31">
        <f t="shared" si="241"/>
        <v>0</v>
      </c>
      <c r="W1004" s="31">
        <f t="shared" si="241"/>
        <v>0</v>
      </c>
      <c r="X1004" s="31">
        <f t="shared" si="241"/>
        <v>0</v>
      </c>
      <c r="Y1004" s="31">
        <f t="shared" si="241"/>
        <v>0</v>
      </c>
      <c r="Z1004" s="31">
        <f t="shared" si="241"/>
        <v>0</v>
      </c>
      <c r="AA1004" s="31">
        <f t="shared" si="241"/>
        <v>0</v>
      </c>
      <c r="AB1004" s="31">
        <f t="shared" si="241"/>
        <v>0</v>
      </c>
      <c r="AC1004" s="31">
        <f t="shared" si="241"/>
        <v>150170.32</v>
      </c>
      <c r="AD1004" s="31">
        <f t="shared" si="241"/>
        <v>280743.58999999997</v>
      </c>
      <c r="AE1004" s="31">
        <f t="shared" si="241"/>
        <v>240000</v>
      </c>
      <c r="AF1004" s="65" t="s">
        <v>751</v>
      </c>
      <c r="AG1004" s="65" t="s">
        <v>751</v>
      </c>
      <c r="AH1004" s="79" t="s">
        <v>751</v>
      </c>
      <c r="AT1004" s="20" t="e">
        <f t="shared" si="240"/>
        <v>#N/A</v>
      </c>
      <c r="BZ1004" s="64">
        <v>7774419.2400000002</v>
      </c>
      <c r="CD1004" s="20" t="e">
        <f t="shared" si="235"/>
        <v>#N/A</v>
      </c>
    </row>
    <row r="1005" spans="1:82" ht="61.5" x14ac:dyDescent="0.85">
      <c r="A1005" s="20">
        <v>1</v>
      </c>
      <c r="B1005" s="60">
        <f>SUBTOTAL(103,$A$558:A1005)</f>
        <v>389</v>
      </c>
      <c r="C1005" s="24" t="s">
        <v>188</v>
      </c>
      <c r="D1005" s="31">
        <f>E1005+F1005+G1005+H1005+I1005+J1005+L1005+N1005+P1005+R1005+T1005+U1005+V1005+W1005+X1005+Y1005+Z1005+AA1005+AB1005+AC1005+AD1005+AE1005</f>
        <v>3570649.73</v>
      </c>
      <c r="E1005" s="31">
        <v>0</v>
      </c>
      <c r="F1005" s="31">
        <v>0</v>
      </c>
      <c r="G1005" s="31">
        <v>0</v>
      </c>
      <c r="H1005" s="31">
        <v>0</v>
      </c>
      <c r="I1005" s="31">
        <v>0</v>
      </c>
      <c r="J1005" s="31">
        <v>0</v>
      </c>
      <c r="K1005" s="67">
        <v>0</v>
      </c>
      <c r="L1005" s="31">
        <v>0</v>
      </c>
      <c r="M1005" s="31">
        <v>696</v>
      </c>
      <c r="N1005" s="31">
        <f>3349359.61+110436.76</f>
        <v>3459796.3699999996</v>
      </c>
      <c r="O1005" s="31">
        <v>0</v>
      </c>
      <c r="P1005" s="31">
        <v>0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0</v>
      </c>
      <c r="AA1005" s="31">
        <v>0</v>
      </c>
      <c r="AB1005" s="31">
        <v>0</v>
      </c>
      <c r="AC1005" s="31">
        <f>ROUND(N1005*1.5%,2)</f>
        <v>51896.95</v>
      </c>
      <c r="AD1005" s="38">
        <v>58956.41</v>
      </c>
      <c r="AE1005" s="31">
        <v>0</v>
      </c>
      <c r="AF1005" s="33">
        <v>2021</v>
      </c>
      <c r="AG1005" s="33">
        <v>2021</v>
      </c>
      <c r="AH1005" s="34">
        <v>2021</v>
      </c>
      <c r="AT1005" s="20" t="e">
        <f t="shared" si="240"/>
        <v>#N/A</v>
      </c>
      <c r="BZ1005" s="64"/>
      <c r="CD1005" s="20" t="e">
        <f t="shared" si="235"/>
        <v>#N/A</v>
      </c>
    </row>
    <row r="1006" spans="1:82" ht="61.5" x14ac:dyDescent="0.85">
      <c r="A1006" s="20">
        <v>1</v>
      </c>
      <c r="B1006" s="60">
        <f>SUBTOTAL(103,$A$558:A1006)</f>
        <v>390</v>
      </c>
      <c r="C1006" s="24" t="s">
        <v>189</v>
      </c>
      <c r="D1006" s="31">
        <f>E1006+F1006+G1006+H1006+I1006+J1006+L1006+N1006+P1006+R1006+T1006+U1006+V1006+W1006+X1006+Y1006+Z1006+AA1006+AB1006+AC1006+AD1006+AE1006</f>
        <v>3173802.39</v>
      </c>
      <c r="E1006" s="31">
        <v>0</v>
      </c>
      <c r="F1006" s="31">
        <v>0</v>
      </c>
      <c r="G1006" s="31">
        <v>0</v>
      </c>
      <c r="H1006" s="31">
        <v>0</v>
      </c>
      <c r="I1006" s="31">
        <v>0</v>
      </c>
      <c r="J1006" s="31">
        <v>0</v>
      </c>
      <c r="K1006" s="67">
        <v>0</v>
      </c>
      <c r="L1006" s="31">
        <v>0</v>
      </c>
      <c r="M1006" s="31">
        <v>510</v>
      </c>
      <c r="N1006" s="31">
        <f>2414778.33-118226.61+564337.33-4926.1</f>
        <v>2855962.95</v>
      </c>
      <c r="O1006" s="31">
        <v>0</v>
      </c>
      <c r="P1006" s="31">
        <v>0</v>
      </c>
      <c r="Q1006" s="31">
        <v>0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0</v>
      </c>
      <c r="AA1006" s="31">
        <v>0</v>
      </c>
      <c r="AB1006" s="31">
        <v>0</v>
      </c>
      <c r="AC1006" s="31">
        <f>ROUND(N1006*1.5%,2)</f>
        <v>42839.44</v>
      </c>
      <c r="AD1006" s="31">
        <v>155000</v>
      </c>
      <c r="AE1006" s="31">
        <v>120000</v>
      </c>
      <c r="AF1006" s="33">
        <v>2021</v>
      </c>
      <c r="AG1006" s="33">
        <v>2021</v>
      </c>
      <c r="AH1006" s="34">
        <v>2021</v>
      </c>
      <c r="AT1006" s="20" t="e">
        <f t="shared" si="240"/>
        <v>#N/A</v>
      </c>
      <c r="BZ1006" s="64"/>
      <c r="CD1006" s="20" t="e">
        <f t="shared" si="235"/>
        <v>#N/A</v>
      </c>
    </row>
    <row r="1007" spans="1:82" ht="61.5" x14ac:dyDescent="0.85">
      <c r="A1007" s="20">
        <v>1</v>
      </c>
      <c r="B1007" s="60">
        <f>SUBTOTAL(103,$A$558:A1007)</f>
        <v>391</v>
      </c>
      <c r="C1007" s="24" t="s">
        <v>190</v>
      </c>
      <c r="D1007" s="31">
        <f>E1007+F1007+G1007+H1007+I1007+J1007+L1007+N1007+P1007+R1007+T1007+U1007+V1007+W1007+X1007+Y1007+Z1007+AA1007+AB1007+AC1007+AD1007+AE1007</f>
        <v>1560606.42</v>
      </c>
      <c r="E1007" s="31">
        <v>0</v>
      </c>
      <c r="F1007" s="31">
        <v>0</v>
      </c>
      <c r="G1007" s="31">
        <v>0</v>
      </c>
      <c r="H1007" s="31">
        <v>0</v>
      </c>
      <c r="I1007" s="31">
        <v>0</v>
      </c>
      <c r="J1007" s="31">
        <v>0</v>
      </c>
      <c r="K1007" s="67">
        <v>0</v>
      </c>
      <c r="L1007" s="31">
        <v>0</v>
      </c>
      <c r="M1007" s="31">
        <v>0</v>
      </c>
      <c r="N1007" s="31">
        <v>0</v>
      </c>
      <c r="O1007" s="31">
        <v>0</v>
      </c>
      <c r="P1007" s="31">
        <v>0</v>
      </c>
      <c r="Q1007" s="31">
        <v>531</v>
      </c>
      <c r="R1007" s="31">
        <v>1471743.09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0</v>
      </c>
      <c r="AA1007" s="31">
        <v>0</v>
      </c>
      <c r="AB1007" s="31">
        <v>0</v>
      </c>
      <c r="AC1007" s="31">
        <f>ROUND(R1007*1.5%,2)</f>
        <v>22076.15</v>
      </c>
      <c r="AD1007" s="38">
        <v>66787.179999999993</v>
      </c>
      <c r="AE1007" s="31">
        <v>0</v>
      </c>
      <c r="AF1007" s="33">
        <v>2021</v>
      </c>
      <c r="AG1007" s="33">
        <v>2021</v>
      </c>
      <c r="AH1007" s="34">
        <v>2021</v>
      </c>
      <c r="AT1007" s="20" t="e">
        <f t="shared" si="240"/>
        <v>#N/A</v>
      </c>
      <c r="BZ1007" s="64"/>
      <c r="CD1007" s="20" t="e">
        <f t="shared" si="235"/>
        <v>#N/A</v>
      </c>
    </row>
    <row r="1008" spans="1:82" ht="61.5" x14ac:dyDescent="0.85">
      <c r="A1008" s="20">
        <v>1</v>
      </c>
      <c r="B1008" s="60">
        <f>SUBTOTAL(103,$A$558:A1008)</f>
        <v>392</v>
      </c>
      <c r="C1008" s="24" t="s">
        <v>183</v>
      </c>
      <c r="D1008" s="31">
        <f>E1008+F1008+G1008+H1008+I1008+J1008+L1008+N1008+P1008+R1008+T1008+U1008+V1008+W1008+X1008+Y1008+Z1008+AA1008+AB1008+AC1008+AD1008+AE1008</f>
        <v>1650705.4600000002</v>
      </c>
      <c r="E1008" s="31">
        <v>0</v>
      </c>
      <c r="F1008" s="31">
        <v>0</v>
      </c>
      <c r="G1008" s="31">
        <v>0</v>
      </c>
      <c r="H1008" s="31">
        <v>0</v>
      </c>
      <c r="I1008" s="31">
        <v>0</v>
      </c>
      <c r="J1008" s="31">
        <v>0</v>
      </c>
      <c r="K1008" s="67">
        <v>0</v>
      </c>
      <c r="L1008" s="31">
        <v>0</v>
      </c>
      <c r="M1008" s="31">
        <v>302</v>
      </c>
      <c r="N1008" s="31">
        <f>1502078.33+6005.87</f>
        <v>1508084.2000000002</v>
      </c>
      <c r="O1008" s="31">
        <v>0</v>
      </c>
      <c r="P1008" s="31">
        <v>0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0</v>
      </c>
      <c r="AA1008" s="31">
        <v>0</v>
      </c>
      <c r="AB1008" s="31">
        <v>0</v>
      </c>
      <c r="AC1008" s="31">
        <f>ROUND(N1008*1.5%,2)</f>
        <v>22621.26</v>
      </c>
      <c r="AD1008" s="38">
        <v>0</v>
      </c>
      <c r="AE1008" s="31">
        <v>120000</v>
      </c>
      <c r="AF1008" s="33" t="s">
        <v>268</v>
      </c>
      <c r="AG1008" s="33">
        <v>2021</v>
      </c>
      <c r="AH1008" s="33">
        <v>2021</v>
      </c>
      <c r="AT1008" s="20" t="e">
        <f t="shared" si="240"/>
        <v>#N/A</v>
      </c>
      <c r="BZ1008" s="64"/>
      <c r="CD1008" s="20" t="e">
        <f t="shared" si="235"/>
        <v>#N/A</v>
      </c>
    </row>
    <row r="1009" spans="1:82" ht="61.5" x14ac:dyDescent="0.85">
      <c r="A1009" s="20">
        <v>1</v>
      </c>
      <c r="B1009" s="60">
        <f>SUBTOTAL(103,$A$558:A1009)</f>
        <v>393</v>
      </c>
      <c r="C1009" s="24" t="s">
        <v>1269</v>
      </c>
      <c r="D1009" s="31">
        <f>E1009+F1009+G1009+H1009+I1009+J1009+L1009+N1009+P1009+R1009+T1009+U1009+V1009+W1009+X1009+Y1009+Z1009+AA1009+AB1009+AC1009+AD1009+AE1009</f>
        <v>726504.79</v>
      </c>
      <c r="E1009" s="31">
        <v>0</v>
      </c>
      <c r="F1009" s="31">
        <v>0</v>
      </c>
      <c r="G1009" s="31">
        <v>0</v>
      </c>
      <c r="H1009" s="31">
        <v>0</v>
      </c>
      <c r="I1009" s="31">
        <v>715768.27</v>
      </c>
      <c r="J1009" s="31">
        <v>0</v>
      </c>
      <c r="K1009" s="67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0</v>
      </c>
      <c r="AA1009" s="31">
        <v>0</v>
      </c>
      <c r="AB1009" s="31">
        <v>0</v>
      </c>
      <c r="AC1009" s="31">
        <f>ROUND(I1009*1.5%,2)</f>
        <v>10736.52</v>
      </c>
      <c r="AD1009" s="31">
        <v>0</v>
      </c>
      <c r="AE1009" s="31">
        <v>0</v>
      </c>
      <c r="AF1009" s="33" t="s">
        <v>268</v>
      </c>
      <c r="AG1009" s="33">
        <v>2021</v>
      </c>
      <c r="AH1009" s="34">
        <v>2021</v>
      </c>
      <c r="BZ1009" s="64"/>
      <c r="CD1009" s="20" t="e">
        <f t="shared" si="235"/>
        <v>#N/A</v>
      </c>
    </row>
    <row r="1010" spans="1:82" ht="61.5" x14ac:dyDescent="0.85">
      <c r="B1010" s="24" t="s">
        <v>859</v>
      </c>
      <c r="C1010" s="24"/>
      <c r="D1010" s="199">
        <f>D1011</f>
        <v>2150000</v>
      </c>
      <c r="E1010" s="31">
        <f t="shared" ref="E1010:AE1014" si="242">E1011</f>
        <v>0</v>
      </c>
      <c r="F1010" s="31">
        <f t="shared" si="242"/>
        <v>0</v>
      </c>
      <c r="G1010" s="31">
        <f t="shared" si="242"/>
        <v>0</v>
      </c>
      <c r="H1010" s="31">
        <f t="shared" si="242"/>
        <v>0</v>
      </c>
      <c r="I1010" s="31">
        <f t="shared" si="242"/>
        <v>0</v>
      </c>
      <c r="J1010" s="31">
        <f t="shared" si="242"/>
        <v>0</v>
      </c>
      <c r="K1010" s="67">
        <f t="shared" si="242"/>
        <v>0</v>
      </c>
      <c r="L1010" s="31">
        <f t="shared" si="242"/>
        <v>0</v>
      </c>
      <c r="M1010" s="31">
        <f t="shared" si="242"/>
        <v>600</v>
      </c>
      <c r="N1010" s="31">
        <f t="shared" si="242"/>
        <v>2000000</v>
      </c>
      <c r="O1010" s="31">
        <f t="shared" si="242"/>
        <v>0</v>
      </c>
      <c r="P1010" s="31">
        <f t="shared" si="242"/>
        <v>0</v>
      </c>
      <c r="Q1010" s="31">
        <f t="shared" si="242"/>
        <v>0</v>
      </c>
      <c r="R1010" s="31">
        <f t="shared" si="242"/>
        <v>0</v>
      </c>
      <c r="S1010" s="31">
        <f t="shared" si="242"/>
        <v>0</v>
      </c>
      <c r="T1010" s="31">
        <f t="shared" si="242"/>
        <v>0</v>
      </c>
      <c r="U1010" s="31">
        <f t="shared" si="242"/>
        <v>0</v>
      </c>
      <c r="V1010" s="31">
        <f t="shared" si="242"/>
        <v>0</v>
      </c>
      <c r="W1010" s="31">
        <f t="shared" si="242"/>
        <v>0</v>
      </c>
      <c r="X1010" s="31">
        <f t="shared" si="242"/>
        <v>0</v>
      </c>
      <c r="Y1010" s="31">
        <f t="shared" si="242"/>
        <v>0</v>
      </c>
      <c r="Z1010" s="31">
        <f t="shared" si="242"/>
        <v>0</v>
      </c>
      <c r="AA1010" s="31">
        <f t="shared" si="242"/>
        <v>0</v>
      </c>
      <c r="AB1010" s="31">
        <f t="shared" si="242"/>
        <v>0</v>
      </c>
      <c r="AC1010" s="31">
        <f t="shared" si="242"/>
        <v>30000</v>
      </c>
      <c r="AD1010" s="31">
        <f t="shared" si="242"/>
        <v>120000</v>
      </c>
      <c r="AE1010" s="31">
        <f t="shared" si="242"/>
        <v>0</v>
      </c>
      <c r="AF1010" s="65" t="s">
        <v>751</v>
      </c>
      <c r="AG1010" s="65" t="s">
        <v>751</v>
      </c>
      <c r="AH1010" s="79" t="s">
        <v>751</v>
      </c>
      <c r="AT1010" s="20" t="e">
        <f t="shared" ref="AT1010:AT1019" si="243">VLOOKUP(C1010,AW:AX,2,FALSE)</f>
        <v>#N/A</v>
      </c>
      <c r="BZ1010" s="64">
        <v>4275483</v>
      </c>
      <c r="CD1010" s="20" t="e">
        <f t="shared" si="235"/>
        <v>#N/A</v>
      </c>
    </row>
    <row r="1011" spans="1:82" ht="61.5" x14ac:dyDescent="0.85">
      <c r="A1011" s="20">
        <v>1</v>
      </c>
      <c r="B1011" s="60">
        <f>SUBTOTAL(103,$A$558:A1011)</f>
        <v>394</v>
      </c>
      <c r="C1011" s="24" t="s">
        <v>2300</v>
      </c>
      <c r="D1011" s="31">
        <f>E1011+F1011+G1011+H1011+I1011+J1011+L1011+N1011+P1011+R1011+T1011+U1011+V1011+W1011+X1011+Y1011+Z1011+AA1011+AB1011+AC1011+AD1011+AE1011</f>
        <v>2150000</v>
      </c>
      <c r="E1011" s="31">
        <v>0</v>
      </c>
      <c r="F1011" s="31">
        <v>0</v>
      </c>
      <c r="G1011" s="31">
        <v>0</v>
      </c>
      <c r="H1011" s="31">
        <v>0</v>
      </c>
      <c r="I1011" s="31">
        <v>0</v>
      </c>
      <c r="J1011" s="31">
        <v>0</v>
      </c>
      <c r="K1011" s="67">
        <v>0</v>
      </c>
      <c r="L1011" s="31">
        <v>0</v>
      </c>
      <c r="M1011" s="31">
        <v>600</v>
      </c>
      <c r="N1011" s="31">
        <v>2000000</v>
      </c>
      <c r="O1011" s="31">
        <v>0</v>
      </c>
      <c r="P1011" s="31">
        <v>0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0</v>
      </c>
      <c r="AA1011" s="31">
        <v>0</v>
      </c>
      <c r="AB1011" s="31">
        <v>0</v>
      </c>
      <c r="AC1011" s="31">
        <f>ROUND(N1011*1.5%,2)</f>
        <v>30000</v>
      </c>
      <c r="AD1011" s="38">
        <v>120000</v>
      </c>
      <c r="AE1011" s="31">
        <v>0</v>
      </c>
      <c r="AF1011" s="33">
        <v>2021</v>
      </c>
      <c r="AG1011" s="33">
        <v>2021</v>
      </c>
      <c r="AH1011" s="34">
        <v>2021</v>
      </c>
      <c r="AT1011" s="20" t="e">
        <f t="shared" si="243"/>
        <v>#N/A</v>
      </c>
      <c r="BZ1011" s="64"/>
      <c r="CD1011" s="20" t="e">
        <f t="shared" si="235"/>
        <v>#N/A</v>
      </c>
    </row>
    <row r="1012" spans="1:82" ht="61.5" x14ac:dyDescent="0.85">
      <c r="B1012" s="24" t="s">
        <v>860</v>
      </c>
      <c r="C1012" s="24"/>
      <c r="D1012" s="199">
        <f>D1013</f>
        <v>4822502.0600000005</v>
      </c>
      <c r="E1012" s="31">
        <f t="shared" si="242"/>
        <v>0</v>
      </c>
      <c r="F1012" s="31">
        <f t="shared" si="242"/>
        <v>0</v>
      </c>
      <c r="G1012" s="31">
        <f t="shared" si="242"/>
        <v>0</v>
      </c>
      <c r="H1012" s="31">
        <f t="shared" si="242"/>
        <v>0</v>
      </c>
      <c r="I1012" s="31">
        <f t="shared" si="242"/>
        <v>0</v>
      </c>
      <c r="J1012" s="31">
        <f t="shared" si="242"/>
        <v>0</v>
      </c>
      <c r="K1012" s="67">
        <f t="shared" si="242"/>
        <v>0</v>
      </c>
      <c r="L1012" s="31">
        <f t="shared" si="242"/>
        <v>0</v>
      </c>
      <c r="M1012" s="31">
        <f t="shared" si="242"/>
        <v>838.33</v>
      </c>
      <c r="N1012" s="31">
        <f t="shared" si="242"/>
        <v>4676458.57</v>
      </c>
      <c r="O1012" s="31">
        <f t="shared" si="242"/>
        <v>0</v>
      </c>
      <c r="P1012" s="31">
        <f t="shared" si="242"/>
        <v>0</v>
      </c>
      <c r="Q1012" s="31">
        <f t="shared" si="242"/>
        <v>0</v>
      </c>
      <c r="R1012" s="31">
        <f t="shared" si="242"/>
        <v>0</v>
      </c>
      <c r="S1012" s="31">
        <f t="shared" si="242"/>
        <v>0</v>
      </c>
      <c r="T1012" s="31">
        <f t="shared" si="242"/>
        <v>0</v>
      </c>
      <c r="U1012" s="31">
        <f t="shared" si="242"/>
        <v>0</v>
      </c>
      <c r="V1012" s="31">
        <f t="shared" si="242"/>
        <v>0</v>
      </c>
      <c r="W1012" s="31">
        <f t="shared" si="242"/>
        <v>0</v>
      </c>
      <c r="X1012" s="31">
        <f t="shared" si="242"/>
        <v>0</v>
      </c>
      <c r="Y1012" s="31">
        <f t="shared" si="242"/>
        <v>0</v>
      </c>
      <c r="Z1012" s="31">
        <f t="shared" si="242"/>
        <v>0</v>
      </c>
      <c r="AA1012" s="31">
        <f t="shared" si="242"/>
        <v>0</v>
      </c>
      <c r="AB1012" s="31">
        <f t="shared" si="242"/>
        <v>0</v>
      </c>
      <c r="AC1012" s="31">
        <f t="shared" si="242"/>
        <v>70146.880000000005</v>
      </c>
      <c r="AD1012" s="31">
        <f t="shared" si="242"/>
        <v>75896.61</v>
      </c>
      <c r="AE1012" s="31">
        <f t="shared" si="242"/>
        <v>0</v>
      </c>
      <c r="AF1012" s="65" t="s">
        <v>751</v>
      </c>
      <c r="AG1012" s="65" t="s">
        <v>751</v>
      </c>
      <c r="AH1012" s="79" t="s">
        <v>751</v>
      </c>
      <c r="AT1012" s="20" t="e">
        <f t="shared" si="243"/>
        <v>#N/A</v>
      </c>
      <c r="BZ1012" s="64">
        <v>4275483</v>
      </c>
      <c r="CD1012" s="20" t="e">
        <f t="shared" si="235"/>
        <v>#N/A</v>
      </c>
    </row>
    <row r="1013" spans="1:82" ht="61.5" x14ac:dyDescent="0.85">
      <c r="A1013" s="20">
        <v>1</v>
      </c>
      <c r="B1013" s="60">
        <f>SUBTOTAL(103,$A$558:A1013)</f>
        <v>395</v>
      </c>
      <c r="C1013" s="24" t="s">
        <v>192</v>
      </c>
      <c r="D1013" s="31">
        <f>E1013+F1013+G1013+H1013+I1013+J1013+L1013+N1013+P1013+R1013+T1013+U1013+V1013+W1013+X1013+Y1013+Z1013+AA1013+AB1013+AC1013+AD1013+AE1013</f>
        <v>4822502.0600000005</v>
      </c>
      <c r="E1013" s="31">
        <v>0</v>
      </c>
      <c r="F1013" s="31">
        <v>0</v>
      </c>
      <c r="G1013" s="31">
        <v>0</v>
      </c>
      <c r="H1013" s="31">
        <v>0</v>
      </c>
      <c r="I1013" s="31">
        <v>0</v>
      </c>
      <c r="J1013" s="31">
        <v>0</v>
      </c>
      <c r="K1013" s="67">
        <v>0</v>
      </c>
      <c r="L1013" s="31">
        <v>0</v>
      </c>
      <c r="M1013" s="31">
        <v>838.33</v>
      </c>
      <c r="N1013" s="31">
        <f>4064515.27+475443.22+136500.08</f>
        <v>4676458.57</v>
      </c>
      <c r="O1013" s="31">
        <v>0</v>
      </c>
      <c r="P1013" s="31">
        <v>0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0</v>
      </c>
      <c r="AA1013" s="31">
        <v>0</v>
      </c>
      <c r="AB1013" s="31">
        <v>0</v>
      </c>
      <c r="AC1013" s="31">
        <f>ROUND(N1013*1.5%,2)</f>
        <v>70146.880000000005</v>
      </c>
      <c r="AD1013" s="38">
        <v>75896.61</v>
      </c>
      <c r="AE1013" s="31">
        <v>0</v>
      </c>
      <c r="AF1013" s="33">
        <v>2021</v>
      </c>
      <c r="AG1013" s="33">
        <v>2021</v>
      </c>
      <c r="AH1013" s="34">
        <v>2021</v>
      </c>
      <c r="AT1013" s="20" t="e">
        <f t="shared" si="243"/>
        <v>#N/A</v>
      </c>
      <c r="BZ1013" s="64"/>
      <c r="CD1013" s="20" t="e">
        <f t="shared" si="235"/>
        <v>#N/A</v>
      </c>
    </row>
    <row r="1014" spans="1:82" ht="61.5" x14ac:dyDescent="0.85">
      <c r="B1014" s="24" t="s">
        <v>861</v>
      </c>
      <c r="C1014" s="24"/>
      <c r="D1014" s="199">
        <f>D1015</f>
        <v>1403643.06</v>
      </c>
      <c r="E1014" s="31">
        <f t="shared" si="242"/>
        <v>0</v>
      </c>
      <c r="F1014" s="31">
        <f t="shared" si="242"/>
        <v>0</v>
      </c>
      <c r="G1014" s="31">
        <f t="shared" si="242"/>
        <v>0</v>
      </c>
      <c r="H1014" s="31">
        <f t="shared" si="242"/>
        <v>0</v>
      </c>
      <c r="I1014" s="31">
        <f t="shared" si="242"/>
        <v>0</v>
      </c>
      <c r="J1014" s="31">
        <f t="shared" si="242"/>
        <v>0</v>
      </c>
      <c r="K1014" s="67">
        <f t="shared" si="242"/>
        <v>0</v>
      </c>
      <c r="L1014" s="31">
        <f t="shared" si="242"/>
        <v>0</v>
      </c>
      <c r="M1014" s="31">
        <f t="shared" si="242"/>
        <v>333.73</v>
      </c>
      <c r="N1014" s="31">
        <f t="shared" si="242"/>
        <v>1235116.32</v>
      </c>
      <c r="O1014" s="31">
        <f t="shared" si="242"/>
        <v>0</v>
      </c>
      <c r="P1014" s="31">
        <f t="shared" si="242"/>
        <v>0</v>
      </c>
      <c r="Q1014" s="31">
        <f t="shared" si="242"/>
        <v>0</v>
      </c>
      <c r="R1014" s="31">
        <f t="shared" si="242"/>
        <v>0</v>
      </c>
      <c r="S1014" s="31">
        <f t="shared" si="242"/>
        <v>0</v>
      </c>
      <c r="T1014" s="31">
        <f t="shared" si="242"/>
        <v>0</v>
      </c>
      <c r="U1014" s="31">
        <f t="shared" si="242"/>
        <v>0</v>
      </c>
      <c r="V1014" s="31">
        <f t="shared" si="242"/>
        <v>0</v>
      </c>
      <c r="W1014" s="31">
        <f t="shared" si="242"/>
        <v>0</v>
      </c>
      <c r="X1014" s="31">
        <f t="shared" si="242"/>
        <v>0</v>
      </c>
      <c r="Y1014" s="31">
        <f t="shared" si="242"/>
        <v>0</v>
      </c>
      <c r="Z1014" s="31">
        <f t="shared" si="242"/>
        <v>0</v>
      </c>
      <c r="AA1014" s="31">
        <f t="shared" si="242"/>
        <v>0</v>
      </c>
      <c r="AB1014" s="31">
        <f t="shared" si="242"/>
        <v>0</v>
      </c>
      <c r="AC1014" s="31">
        <f t="shared" si="242"/>
        <v>18526.740000000002</v>
      </c>
      <c r="AD1014" s="31">
        <f t="shared" si="242"/>
        <v>150000</v>
      </c>
      <c r="AE1014" s="31">
        <f t="shared" si="242"/>
        <v>0</v>
      </c>
      <c r="AF1014" s="65" t="s">
        <v>751</v>
      </c>
      <c r="AG1014" s="65" t="s">
        <v>751</v>
      </c>
      <c r="AH1014" s="79" t="s">
        <v>751</v>
      </c>
      <c r="AT1014" s="20" t="e">
        <f t="shared" si="243"/>
        <v>#N/A</v>
      </c>
      <c r="BZ1014" s="64">
        <v>4275483</v>
      </c>
      <c r="CD1014" s="20" t="e">
        <f t="shared" si="235"/>
        <v>#N/A</v>
      </c>
    </row>
    <row r="1015" spans="1:82" ht="61.5" x14ac:dyDescent="0.85">
      <c r="A1015" s="20">
        <v>1</v>
      </c>
      <c r="B1015" s="60">
        <f>SUBTOTAL(103,$A$558:A1015)</f>
        <v>396</v>
      </c>
      <c r="C1015" s="24" t="s">
        <v>794</v>
      </c>
      <c r="D1015" s="31">
        <f>E1015+F1015+G1015+H1015+I1015+J1015+L1015+N1015+P1015+R1015+T1015+U1015+V1015+W1015+X1015+Y1015+Z1015+AA1015+AB1015+AC1015+AD1015+AE1015</f>
        <v>1403643.06</v>
      </c>
      <c r="E1015" s="31">
        <v>0</v>
      </c>
      <c r="F1015" s="31">
        <v>0</v>
      </c>
      <c r="G1015" s="31">
        <v>0</v>
      </c>
      <c r="H1015" s="31">
        <v>0</v>
      </c>
      <c r="I1015" s="31">
        <v>0</v>
      </c>
      <c r="J1015" s="31">
        <v>0</v>
      </c>
      <c r="K1015" s="67">
        <v>0</v>
      </c>
      <c r="L1015" s="31">
        <v>0</v>
      </c>
      <c r="M1015" s="31">
        <v>333.73</v>
      </c>
      <c r="N1015" s="31">
        <v>1235116.32</v>
      </c>
      <c r="O1015" s="31">
        <v>0</v>
      </c>
      <c r="P1015" s="31">
        <v>0</v>
      </c>
      <c r="Q1015" s="31">
        <v>0</v>
      </c>
      <c r="R1015" s="31">
        <v>0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0</v>
      </c>
      <c r="AA1015" s="31">
        <v>0</v>
      </c>
      <c r="AB1015" s="31">
        <v>0</v>
      </c>
      <c r="AC1015" s="31">
        <f>ROUND(N1015*1.5%,2)</f>
        <v>18526.740000000002</v>
      </c>
      <c r="AD1015" s="31">
        <v>150000</v>
      </c>
      <c r="AE1015" s="31">
        <v>0</v>
      </c>
      <c r="AF1015" s="33">
        <v>2021</v>
      </c>
      <c r="AG1015" s="33">
        <v>2021</v>
      </c>
      <c r="AH1015" s="34">
        <v>2021</v>
      </c>
      <c r="AT1015" s="20" t="e">
        <f t="shared" si="243"/>
        <v>#N/A</v>
      </c>
      <c r="BZ1015" s="64"/>
      <c r="CD1015" s="20" t="e">
        <f t="shared" si="235"/>
        <v>#N/A</v>
      </c>
    </row>
    <row r="1016" spans="1:82" ht="61.5" x14ac:dyDescent="0.85">
      <c r="B1016" s="24" t="s">
        <v>862</v>
      </c>
      <c r="C1016" s="198"/>
      <c r="D1016" s="199">
        <f t="shared" ref="D1016:AE1016" si="244">SUM(D1017:D1023)</f>
        <v>16542453.889999999</v>
      </c>
      <c r="E1016" s="31">
        <f t="shared" si="244"/>
        <v>0</v>
      </c>
      <c r="F1016" s="31">
        <f t="shared" si="244"/>
        <v>0</v>
      </c>
      <c r="G1016" s="31">
        <f t="shared" si="244"/>
        <v>4040895.01</v>
      </c>
      <c r="H1016" s="31">
        <f t="shared" si="244"/>
        <v>0</v>
      </c>
      <c r="I1016" s="31">
        <f t="shared" si="244"/>
        <v>0</v>
      </c>
      <c r="J1016" s="31">
        <f t="shared" si="244"/>
        <v>0</v>
      </c>
      <c r="K1016" s="67">
        <f t="shared" si="244"/>
        <v>0</v>
      </c>
      <c r="L1016" s="31">
        <f t="shared" si="244"/>
        <v>0</v>
      </c>
      <c r="M1016" s="31">
        <f t="shared" si="244"/>
        <v>2407</v>
      </c>
      <c r="N1016" s="31">
        <f t="shared" si="244"/>
        <v>12148714.729999999</v>
      </c>
      <c r="O1016" s="31">
        <f t="shared" si="244"/>
        <v>0</v>
      </c>
      <c r="P1016" s="31">
        <f t="shared" si="244"/>
        <v>0</v>
      </c>
      <c r="Q1016" s="31">
        <f t="shared" si="244"/>
        <v>0</v>
      </c>
      <c r="R1016" s="31">
        <f t="shared" si="244"/>
        <v>0</v>
      </c>
      <c r="S1016" s="31">
        <f t="shared" si="244"/>
        <v>0</v>
      </c>
      <c r="T1016" s="31">
        <f t="shared" si="244"/>
        <v>0</v>
      </c>
      <c r="U1016" s="31">
        <f t="shared" si="244"/>
        <v>0</v>
      </c>
      <c r="V1016" s="31">
        <f t="shared" si="244"/>
        <v>0</v>
      </c>
      <c r="W1016" s="31">
        <f t="shared" si="244"/>
        <v>0</v>
      </c>
      <c r="X1016" s="31">
        <f t="shared" si="244"/>
        <v>0</v>
      </c>
      <c r="Y1016" s="31">
        <f t="shared" si="244"/>
        <v>0</v>
      </c>
      <c r="Z1016" s="31">
        <f t="shared" si="244"/>
        <v>0</v>
      </c>
      <c r="AA1016" s="31">
        <f t="shared" si="244"/>
        <v>0</v>
      </c>
      <c r="AB1016" s="31">
        <f t="shared" si="244"/>
        <v>0</v>
      </c>
      <c r="AC1016" s="31">
        <f t="shared" si="244"/>
        <v>242844.15000000002</v>
      </c>
      <c r="AD1016" s="31">
        <f t="shared" si="244"/>
        <v>110000</v>
      </c>
      <c r="AE1016" s="31">
        <f t="shared" si="244"/>
        <v>0</v>
      </c>
      <c r="AF1016" s="65" t="s">
        <v>751</v>
      </c>
      <c r="AG1016" s="65" t="s">
        <v>751</v>
      </c>
      <c r="AH1016" s="79" t="s">
        <v>751</v>
      </c>
      <c r="AT1016" s="20" t="e">
        <f t="shared" si="243"/>
        <v>#N/A</v>
      </c>
      <c r="BZ1016" s="64">
        <v>9113700</v>
      </c>
      <c r="CD1016" s="20" t="e">
        <f t="shared" si="235"/>
        <v>#N/A</v>
      </c>
    </row>
    <row r="1017" spans="1:82" ht="61.5" x14ac:dyDescent="0.85">
      <c r="A1017" s="20">
        <v>1</v>
      </c>
      <c r="B1017" s="60">
        <f>SUBTOTAL(103,$A$558:A1017)</f>
        <v>397</v>
      </c>
      <c r="C1017" s="24" t="s">
        <v>211</v>
      </c>
      <c r="D1017" s="31">
        <f>E1017+F1017+G1017+H1017+I1017+J1017+L1017+N1017+P1017+R1017+T1017+U1017+V1017+W1017+X1017+Y1017+Z1017+AA1017+AB1017+AC1017+AD1017+AE1017</f>
        <v>6058289.959999999</v>
      </c>
      <c r="E1017" s="31">
        <v>0</v>
      </c>
      <c r="F1017" s="31">
        <v>0</v>
      </c>
      <c r="G1017" s="31">
        <v>0</v>
      </c>
      <c r="H1017" s="31">
        <v>0</v>
      </c>
      <c r="I1017" s="31">
        <v>0</v>
      </c>
      <c r="J1017" s="31">
        <v>0</v>
      </c>
      <c r="K1017" s="67">
        <v>0</v>
      </c>
      <c r="L1017" s="31">
        <v>0</v>
      </c>
      <c r="M1017" s="31">
        <v>1203</v>
      </c>
      <c r="N1017" s="31">
        <f>5867290.64+30001.55+71466.39</f>
        <v>5968758.5799999991</v>
      </c>
      <c r="O1017" s="31">
        <v>0</v>
      </c>
      <c r="P1017" s="31">
        <v>0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0</v>
      </c>
      <c r="AA1017" s="31">
        <v>0</v>
      </c>
      <c r="AB1017" s="31">
        <v>0</v>
      </c>
      <c r="AC1017" s="31">
        <f>ROUND(N1017*1.5%,2)</f>
        <v>89531.38</v>
      </c>
      <c r="AD1017" s="31">
        <v>0</v>
      </c>
      <c r="AE1017" s="31">
        <v>0</v>
      </c>
      <c r="AF1017" s="33" t="s">
        <v>268</v>
      </c>
      <c r="AG1017" s="33">
        <v>2021</v>
      </c>
      <c r="AH1017" s="34">
        <v>2021</v>
      </c>
      <c r="AT1017" s="20" t="e">
        <f t="shared" si="243"/>
        <v>#N/A</v>
      </c>
      <c r="BZ1017" s="64"/>
      <c r="CD1017" s="20" t="e">
        <f t="shared" si="235"/>
        <v>#N/A</v>
      </c>
    </row>
    <row r="1018" spans="1:82" ht="61.5" x14ac:dyDescent="0.85">
      <c r="A1018" s="20">
        <v>1</v>
      </c>
      <c r="B1018" s="60">
        <f>SUBTOTAL(103,$A$558:A1018)</f>
        <v>398</v>
      </c>
      <c r="C1018" s="24" t="s">
        <v>212</v>
      </c>
      <c r="D1018" s="31">
        <f>E1018+F1018+G1018+H1018+I1018+J1018+L1018+N1018+P1018+R1018+T1018+U1018+V1018+W1018+X1018+Y1018+Z1018+AA1018+AB1018+AC1018+AD1018+AE1018</f>
        <v>2944222.6500000004</v>
      </c>
      <c r="E1018" s="31">
        <v>0</v>
      </c>
      <c r="F1018" s="31">
        <v>0</v>
      </c>
      <c r="G1018" s="31">
        <v>0</v>
      </c>
      <c r="H1018" s="31">
        <v>0</v>
      </c>
      <c r="I1018" s="31">
        <v>0</v>
      </c>
      <c r="J1018" s="31">
        <v>0</v>
      </c>
      <c r="K1018" s="67">
        <v>0</v>
      </c>
      <c r="L1018" s="31">
        <v>0</v>
      </c>
      <c r="M1018" s="31">
        <v>584</v>
      </c>
      <c r="N1018" s="31">
        <f>2786600.99+82393.91+31717.07</f>
        <v>2900711.97</v>
      </c>
      <c r="O1018" s="31">
        <v>0</v>
      </c>
      <c r="P1018" s="31">
        <v>0</v>
      </c>
      <c r="Q1018" s="31">
        <v>0</v>
      </c>
      <c r="R1018" s="31">
        <v>0</v>
      </c>
      <c r="S1018" s="31">
        <v>0</v>
      </c>
      <c r="T1018" s="31">
        <v>0</v>
      </c>
      <c r="U1018" s="31">
        <v>0</v>
      </c>
      <c r="V1018" s="31">
        <v>0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f>ROUND(N1018*1.5%,2)</f>
        <v>43510.68</v>
      </c>
      <c r="AD1018" s="31">
        <v>0</v>
      </c>
      <c r="AE1018" s="31">
        <v>0</v>
      </c>
      <c r="AF1018" s="33" t="s">
        <v>268</v>
      </c>
      <c r="AG1018" s="33">
        <v>2021</v>
      </c>
      <c r="AH1018" s="34">
        <v>2021</v>
      </c>
      <c r="AT1018" s="20" t="e">
        <f t="shared" si="243"/>
        <v>#N/A</v>
      </c>
      <c r="BZ1018" s="64"/>
      <c r="CD1018" s="20" t="e">
        <f t="shared" si="235"/>
        <v>#N/A</v>
      </c>
    </row>
    <row r="1019" spans="1:82" ht="61.5" x14ac:dyDescent="0.85">
      <c r="A1019" s="20">
        <v>1</v>
      </c>
      <c r="B1019" s="60">
        <f>SUBTOTAL(103,$A$558:A1019)</f>
        <v>399</v>
      </c>
      <c r="C1019" s="24" t="s">
        <v>217</v>
      </c>
      <c r="D1019" s="31">
        <f>E1019+F1019+G1019+H1019+I1019+J1019+L1019+N1019+P1019+R1019+T1019+U1019+V1019+W1019+X1019+Y1019+Z1019+AA1019+AB1019+AC1019+AD1019+AE1019</f>
        <v>653859.32000000007</v>
      </c>
      <c r="E1019" s="31">
        <v>0</v>
      </c>
      <c r="F1019" s="31">
        <v>0</v>
      </c>
      <c r="G1019" s="31">
        <f>378568.09+265628.28</f>
        <v>644196.37000000011</v>
      </c>
      <c r="H1019" s="31">
        <v>0</v>
      </c>
      <c r="I1019" s="31">
        <v>0</v>
      </c>
      <c r="J1019" s="31">
        <v>0</v>
      </c>
      <c r="K1019" s="67">
        <v>0</v>
      </c>
      <c r="L1019" s="31">
        <v>0</v>
      </c>
      <c r="M1019" s="31">
        <v>0</v>
      </c>
      <c r="N1019" s="31">
        <v>0</v>
      </c>
      <c r="O1019" s="31">
        <v>0</v>
      </c>
      <c r="P1019" s="31">
        <v>0</v>
      </c>
      <c r="Q1019" s="31">
        <v>0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f>ROUND((E1019+F1019+G1019+H1019+I1019+J1019)*1.5%,2)</f>
        <v>9662.9500000000007</v>
      </c>
      <c r="AD1019" s="31">
        <v>0</v>
      </c>
      <c r="AE1019" s="31">
        <v>0</v>
      </c>
      <c r="AF1019" s="33" t="s">
        <v>268</v>
      </c>
      <c r="AG1019" s="33">
        <v>2021</v>
      </c>
      <c r="AH1019" s="33">
        <v>2021</v>
      </c>
      <c r="AT1019" s="20" t="e">
        <f t="shared" si="243"/>
        <v>#N/A</v>
      </c>
      <c r="BZ1019" s="64"/>
      <c r="CD1019" s="20" t="e">
        <f t="shared" si="235"/>
        <v>#N/A</v>
      </c>
    </row>
    <row r="1020" spans="1:82" ht="61.5" x14ac:dyDescent="0.85">
      <c r="A1020" s="20">
        <v>1</v>
      </c>
      <c r="B1020" s="60">
        <f>SUBTOTAL(103,$A$558:A1020)</f>
        <v>400</v>
      </c>
      <c r="C1020" s="24" t="s">
        <v>1556</v>
      </c>
      <c r="D1020" s="31">
        <f>E1020+F1020+G1020+H1020+I1020+J1020+L1020+N1020+P1020+R1020+T1020+U1020+V1020+W1020+X1020+Y1020+Z1020+AA1020+AB1020+AC1020+AD1020+AE1020</f>
        <v>1015000</v>
      </c>
      <c r="E1020" s="31">
        <v>0</v>
      </c>
      <c r="F1020" s="31">
        <v>0</v>
      </c>
      <c r="G1020" s="31">
        <v>1000000</v>
      </c>
      <c r="H1020" s="31">
        <v>0</v>
      </c>
      <c r="I1020" s="31">
        <v>0</v>
      </c>
      <c r="J1020" s="31">
        <v>0</v>
      </c>
      <c r="K1020" s="67">
        <v>0</v>
      </c>
      <c r="L1020" s="31">
        <v>0</v>
      </c>
      <c r="M1020" s="31">
        <v>0</v>
      </c>
      <c r="N1020" s="31">
        <v>0</v>
      </c>
      <c r="O1020" s="31">
        <v>0</v>
      </c>
      <c r="P1020" s="31">
        <v>0</v>
      </c>
      <c r="Q1020" s="31">
        <v>0</v>
      </c>
      <c r="R1020" s="31">
        <v>0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f>ROUND((E1020+F1020+G1020+H1020+I1020+J1020)*1.5%,2)</f>
        <v>15000</v>
      </c>
      <c r="AD1020" s="31">
        <v>0</v>
      </c>
      <c r="AE1020" s="31">
        <v>0</v>
      </c>
      <c r="AF1020" s="33" t="s">
        <v>268</v>
      </c>
      <c r="AG1020" s="33">
        <v>2021</v>
      </c>
      <c r="AH1020" s="33">
        <v>2021</v>
      </c>
      <c r="BZ1020" s="64"/>
      <c r="CD1020" s="20" t="e">
        <f t="shared" si="235"/>
        <v>#N/A</v>
      </c>
    </row>
    <row r="1021" spans="1:82" ht="61.5" x14ac:dyDescent="0.85">
      <c r="A1021" s="20">
        <v>1</v>
      </c>
      <c r="B1021" s="60">
        <f>SUBTOTAL(103,$A$558:A1021)</f>
        <v>401</v>
      </c>
      <c r="C1021" s="24" t="s">
        <v>1557</v>
      </c>
      <c r="D1021" s="31">
        <f t="shared" ref="D1021:D1029" si="245">E1021+F1021+G1021+H1021+I1021+J1021+L1021+N1021+P1021+R1021+T1021+U1021+V1021+W1021+X1021+Y1021+Z1021+AA1021+AB1021+AC1021+AD1021+AE1021</f>
        <v>964250</v>
      </c>
      <c r="E1021" s="31">
        <v>0</v>
      </c>
      <c r="F1021" s="31">
        <v>0</v>
      </c>
      <c r="G1021" s="31">
        <v>950000</v>
      </c>
      <c r="H1021" s="31">
        <v>0</v>
      </c>
      <c r="I1021" s="31">
        <v>0</v>
      </c>
      <c r="J1021" s="31">
        <v>0</v>
      </c>
      <c r="K1021" s="67">
        <v>0</v>
      </c>
      <c r="L1021" s="31">
        <v>0</v>
      </c>
      <c r="M1021" s="31">
        <v>0</v>
      </c>
      <c r="N1021" s="31">
        <v>0</v>
      </c>
      <c r="O1021" s="31">
        <v>0</v>
      </c>
      <c r="P1021" s="31">
        <v>0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f>ROUND((E1021+F1021+G1021+H1021+I1021+J1021)*1.5%,2)</f>
        <v>14250</v>
      </c>
      <c r="AD1021" s="31">
        <v>0</v>
      </c>
      <c r="AE1021" s="31">
        <v>0</v>
      </c>
      <c r="AF1021" s="33" t="s">
        <v>268</v>
      </c>
      <c r="AG1021" s="33">
        <v>2021</v>
      </c>
      <c r="AH1021" s="33">
        <v>2021</v>
      </c>
      <c r="BZ1021" s="64"/>
      <c r="CD1021" s="20" t="e">
        <f t="shared" si="235"/>
        <v>#N/A</v>
      </c>
    </row>
    <row r="1022" spans="1:82" ht="61.5" x14ac:dyDescent="0.85">
      <c r="A1022" s="20">
        <v>1</v>
      </c>
      <c r="B1022" s="60">
        <f>SUBTOTAL(103,$A$558:A1022)</f>
        <v>402</v>
      </c>
      <c r="C1022" s="24" t="s">
        <v>1273</v>
      </c>
      <c r="D1022" s="31">
        <f t="shared" si="245"/>
        <v>1468399.1199999999</v>
      </c>
      <c r="E1022" s="31">
        <v>0</v>
      </c>
      <c r="F1022" s="31">
        <v>0</v>
      </c>
      <c r="G1022" s="195">
        <v>1446698.64</v>
      </c>
      <c r="H1022" s="31">
        <v>0</v>
      </c>
      <c r="I1022" s="31">
        <v>0</v>
      </c>
      <c r="J1022" s="31">
        <v>0</v>
      </c>
      <c r="K1022" s="67">
        <v>0</v>
      </c>
      <c r="L1022" s="31">
        <v>0</v>
      </c>
      <c r="M1022" s="31">
        <v>0</v>
      </c>
      <c r="N1022" s="31">
        <v>0</v>
      </c>
      <c r="O1022" s="31">
        <v>0</v>
      </c>
      <c r="P1022" s="31">
        <v>0</v>
      </c>
      <c r="Q1022" s="31">
        <v>0</v>
      </c>
      <c r="R1022" s="31">
        <v>0</v>
      </c>
      <c r="S1022" s="31">
        <v>0</v>
      </c>
      <c r="T1022" s="31">
        <v>0</v>
      </c>
      <c r="U1022" s="31">
        <v>0</v>
      </c>
      <c r="V1022" s="31">
        <v>0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f>ROUND((E1022+F1022+G1022+H1022+I1022+J1022)*1.5%,2)</f>
        <v>21700.48</v>
      </c>
      <c r="AD1022" s="31">
        <v>0</v>
      </c>
      <c r="AE1022" s="31">
        <v>0</v>
      </c>
      <c r="AF1022" s="33" t="s">
        <v>268</v>
      </c>
      <c r="AG1022" s="33">
        <v>2021</v>
      </c>
      <c r="AH1022" s="33">
        <v>2021</v>
      </c>
      <c r="BZ1022" s="64"/>
      <c r="CD1022" s="20" t="e">
        <f t="shared" si="235"/>
        <v>#N/A</v>
      </c>
    </row>
    <row r="1023" spans="1:82" ht="61.5" x14ac:dyDescent="0.85">
      <c r="A1023" s="20">
        <v>1</v>
      </c>
      <c r="B1023" s="60">
        <f>SUBTOTAL(103,$A$558:A1023)</f>
        <v>403</v>
      </c>
      <c r="C1023" s="24" t="s">
        <v>2312</v>
      </c>
      <c r="D1023" s="31">
        <f t="shared" si="245"/>
        <v>3438432.8400000003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67">
        <v>0</v>
      </c>
      <c r="L1023" s="31">
        <v>0</v>
      </c>
      <c r="M1023" s="31">
        <v>620</v>
      </c>
      <c r="N1023" s="31">
        <v>3279244.18</v>
      </c>
      <c r="O1023" s="31">
        <v>0</v>
      </c>
      <c r="P1023" s="31">
        <v>0</v>
      </c>
      <c r="Q1023" s="31">
        <v>0</v>
      </c>
      <c r="R1023" s="31">
        <v>0</v>
      </c>
      <c r="S1023" s="31">
        <v>0</v>
      </c>
      <c r="T1023" s="31">
        <v>0</v>
      </c>
      <c r="U1023" s="31">
        <v>0</v>
      </c>
      <c r="V1023" s="31">
        <v>0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f>ROUND(N1023*1.5%,2)</f>
        <v>49188.66</v>
      </c>
      <c r="AD1023" s="31">
        <v>110000</v>
      </c>
      <c r="AE1023" s="31">
        <v>0</v>
      </c>
      <c r="AF1023" s="33">
        <v>2021</v>
      </c>
      <c r="AG1023" s="33">
        <v>2021</v>
      </c>
      <c r="AH1023" s="34">
        <v>2021</v>
      </c>
      <c r="AT1023" s="20" t="e">
        <f>VLOOKUP(C1023,AW:AX,2,FALSE)</f>
        <v>#N/A</v>
      </c>
      <c r="BZ1023" s="64"/>
      <c r="CD1023" s="20" t="e">
        <f t="shared" si="235"/>
        <v>#N/A</v>
      </c>
    </row>
    <row r="1024" spans="1:82" ht="61.5" x14ac:dyDescent="0.85">
      <c r="B1024" s="24" t="s">
        <v>863</v>
      </c>
      <c r="C1024" s="24"/>
      <c r="D1024" s="199">
        <f>SUM(D1025:D1029)</f>
        <v>9904028.3699999992</v>
      </c>
      <c r="E1024" s="31">
        <f t="shared" ref="E1024:AE1024" si="246">SUM(E1025:E1029)</f>
        <v>0</v>
      </c>
      <c r="F1024" s="31">
        <f t="shared" si="246"/>
        <v>0</v>
      </c>
      <c r="G1024" s="31">
        <f t="shared" si="246"/>
        <v>0</v>
      </c>
      <c r="H1024" s="31">
        <f t="shared" si="246"/>
        <v>1068632.7</v>
      </c>
      <c r="I1024" s="31">
        <f t="shared" si="246"/>
        <v>0</v>
      </c>
      <c r="J1024" s="31">
        <f t="shared" si="246"/>
        <v>0</v>
      </c>
      <c r="K1024" s="67">
        <f t="shared" si="246"/>
        <v>0</v>
      </c>
      <c r="L1024" s="31">
        <f t="shared" si="246"/>
        <v>0</v>
      </c>
      <c r="M1024" s="31">
        <f t="shared" si="246"/>
        <v>986</v>
      </c>
      <c r="N1024" s="31">
        <f t="shared" si="246"/>
        <v>5254531.93</v>
      </c>
      <c r="O1024" s="31">
        <f t="shared" si="246"/>
        <v>0</v>
      </c>
      <c r="P1024" s="31">
        <f t="shared" si="246"/>
        <v>0</v>
      </c>
      <c r="Q1024" s="31">
        <f t="shared" si="246"/>
        <v>0</v>
      </c>
      <c r="R1024" s="31">
        <f t="shared" si="246"/>
        <v>0</v>
      </c>
      <c r="S1024" s="31">
        <f t="shared" si="246"/>
        <v>0</v>
      </c>
      <c r="T1024" s="31">
        <f t="shared" si="246"/>
        <v>0</v>
      </c>
      <c r="U1024" s="31">
        <f t="shared" si="246"/>
        <v>3336026.4299999997</v>
      </c>
      <c r="V1024" s="31">
        <f t="shared" si="246"/>
        <v>0</v>
      </c>
      <c r="W1024" s="31">
        <f t="shared" si="246"/>
        <v>0</v>
      </c>
      <c r="X1024" s="31">
        <f t="shared" si="246"/>
        <v>0</v>
      </c>
      <c r="Y1024" s="31">
        <f t="shared" si="246"/>
        <v>0</v>
      </c>
      <c r="Z1024" s="31">
        <f t="shared" si="246"/>
        <v>0</v>
      </c>
      <c r="AA1024" s="31">
        <f t="shared" si="246"/>
        <v>0</v>
      </c>
      <c r="AB1024" s="31">
        <f t="shared" si="246"/>
        <v>0</v>
      </c>
      <c r="AC1024" s="31">
        <f t="shared" si="246"/>
        <v>144837.31</v>
      </c>
      <c r="AD1024" s="31">
        <f t="shared" si="246"/>
        <v>100000</v>
      </c>
      <c r="AE1024" s="31">
        <f t="shared" si="246"/>
        <v>0</v>
      </c>
      <c r="AF1024" s="65" t="s">
        <v>751</v>
      </c>
      <c r="AG1024" s="65" t="s">
        <v>751</v>
      </c>
      <c r="AH1024" s="79" t="s">
        <v>751</v>
      </c>
      <c r="AT1024" s="20" t="e">
        <f>VLOOKUP(C1024,AW:AX,2,FALSE)</f>
        <v>#N/A</v>
      </c>
      <c r="BZ1024" s="64">
        <v>3498600</v>
      </c>
      <c r="CD1024" s="20" t="e">
        <f t="shared" si="235"/>
        <v>#N/A</v>
      </c>
    </row>
    <row r="1025" spans="1:82" ht="61.5" x14ac:dyDescent="0.85">
      <c r="A1025" s="20">
        <v>1</v>
      </c>
      <c r="B1025" s="60">
        <f>SUBTOTAL(103,$A$558:A1025)</f>
        <v>404</v>
      </c>
      <c r="C1025" s="24" t="s">
        <v>224</v>
      </c>
      <c r="D1025" s="31">
        <f t="shared" si="245"/>
        <v>3575027.3</v>
      </c>
      <c r="E1025" s="31">
        <v>0</v>
      </c>
      <c r="F1025" s="31">
        <v>0</v>
      </c>
      <c r="G1025" s="31">
        <v>0</v>
      </c>
      <c r="H1025" s="31">
        <v>0</v>
      </c>
      <c r="I1025" s="31">
        <v>0</v>
      </c>
      <c r="J1025" s="31">
        <v>0</v>
      </c>
      <c r="K1025" s="67">
        <v>0</v>
      </c>
      <c r="L1025" s="31">
        <v>0</v>
      </c>
      <c r="M1025" s="31">
        <v>686</v>
      </c>
      <c r="N1025" s="31">
        <f>3299113.3+78032.85+33832.39+111215.84</f>
        <v>3522194.38</v>
      </c>
      <c r="O1025" s="31">
        <v>0</v>
      </c>
      <c r="P1025" s="31">
        <v>0</v>
      </c>
      <c r="Q1025" s="31">
        <v>0</v>
      </c>
      <c r="R1025" s="31">
        <v>0</v>
      </c>
      <c r="S1025" s="31">
        <v>0</v>
      </c>
      <c r="T1025" s="31">
        <v>0</v>
      </c>
      <c r="U1025" s="31">
        <v>0</v>
      </c>
      <c r="V1025" s="31">
        <v>0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f>ROUND(N1025*1.5%,2)</f>
        <v>52832.92</v>
      </c>
      <c r="AD1025" s="31">
        <v>0</v>
      </c>
      <c r="AE1025" s="31">
        <v>0</v>
      </c>
      <c r="AF1025" s="33" t="s">
        <v>268</v>
      </c>
      <c r="AG1025" s="33">
        <v>2021</v>
      </c>
      <c r="AH1025" s="34">
        <v>2021</v>
      </c>
      <c r="AT1025" s="20" t="e">
        <f>VLOOKUP(C1025,AW:AX,2,FALSE)</f>
        <v>#N/A</v>
      </c>
      <c r="BZ1025" s="64"/>
      <c r="CD1025" s="20" t="e">
        <f t="shared" si="235"/>
        <v>#N/A</v>
      </c>
    </row>
    <row r="1026" spans="1:82" ht="61.5" x14ac:dyDescent="0.85">
      <c r="A1026" s="20">
        <v>1</v>
      </c>
      <c r="B1026" s="60">
        <f>SUBTOTAL(103,$A$558:A1026)</f>
        <v>405</v>
      </c>
      <c r="C1026" s="24" t="s">
        <v>2313</v>
      </c>
      <c r="D1026" s="31">
        <f t="shared" si="245"/>
        <v>1858322.61</v>
      </c>
      <c r="E1026" s="31">
        <v>0</v>
      </c>
      <c r="F1026" s="31">
        <v>0</v>
      </c>
      <c r="G1026" s="31">
        <v>0</v>
      </c>
      <c r="H1026" s="31">
        <v>0</v>
      </c>
      <c r="I1026" s="31">
        <v>0</v>
      </c>
      <c r="J1026" s="31">
        <v>0</v>
      </c>
      <c r="K1026" s="67">
        <v>0</v>
      </c>
      <c r="L1026" s="31">
        <v>0</v>
      </c>
      <c r="M1026" s="31">
        <v>300</v>
      </c>
      <c r="N1026" s="31">
        <v>1732337.55</v>
      </c>
      <c r="O1026" s="31">
        <v>0</v>
      </c>
      <c r="P1026" s="31">
        <v>0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f>ROUND(N1026*1.5%,2)</f>
        <v>25985.06</v>
      </c>
      <c r="AD1026" s="31">
        <v>100000</v>
      </c>
      <c r="AE1026" s="31">
        <v>0</v>
      </c>
      <c r="AF1026" s="33">
        <v>2021</v>
      </c>
      <c r="AG1026" s="33">
        <v>2021</v>
      </c>
      <c r="AH1026" s="34">
        <v>2021</v>
      </c>
      <c r="AT1026" s="20" t="e">
        <f>VLOOKUP(C1026,AW:AX,2,FALSE)</f>
        <v>#N/A</v>
      </c>
      <c r="BZ1026" s="64"/>
      <c r="CD1026" s="20" t="e">
        <f t="shared" si="235"/>
        <v>#N/A</v>
      </c>
    </row>
    <row r="1027" spans="1:82" ht="61.5" x14ac:dyDescent="0.85">
      <c r="A1027" s="20">
        <v>1</v>
      </c>
      <c r="B1027" s="60">
        <f>SUBTOTAL(103,$A$558:A1027)</f>
        <v>406</v>
      </c>
      <c r="C1027" s="24" t="s">
        <v>219</v>
      </c>
      <c r="D1027" s="31">
        <f t="shared" si="245"/>
        <v>400289.33999999997</v>
      </c>
      <c r="E1027" s="31">
        <v>0</v>
      </c>
      <c r="F1027" s="31">
        <v>0</v>
      </c>
      <c r="G1027" s="31">
        <v>0</v>
      </c>
      <c r="H1027" s="31">
        <v>394373.73</v>
      </c>
      <c r="I1027" s="31">
        <v>0</v>
      </c>
      <c r="J1027" s="31">
        <v>0</v>
      </c>
      <c r="K1027" s="67">
        <v>0</v>
      </c>
      <c r="L1027" s="31">
        <v>0</v>
      </c>
      <c r="M1027" s="31">
        <v>0</v>
      </c>
      <c r="N1027" s="31">
        <v>0</v>
      </c>
      <c r="O1027" s="31">
        <v>0</v>
      </c>
      <c r="P1027" s="31">
        <v>0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5915.61</v>
      </c>
      <c r="AD1027" s="31">
        <v>0</v>
      </c>
      <c r="AE1027" s="31">
        <v>0</v>
      </c>
      <c r="AF1027" s="33" t="s">
        <v>268</v>
      </c>
      <c r="AG1027" s="33">
        <v>2021</v>
      </c>
      <c r="AH1027" s="34">
        <v>2021</v>
      </c>
      <c r="AT1027" s="20" t="e">
        <v>#N/A</v>
      </c>
      <c r="BZ1027" s="64"/>
      <c r="CD1027" s="20" t="e">
        <v>#N/A</v>
      </c>
    </row>
    <row r="1028" spans="1:82" ht="61.5" x14ac:dyDescent="0.85">
      <c r="A1028" s="20">
        <v>1</v>
      </c>
      <c r="B1028" s="60">
        <f>SUBTOTAL(103,$A$558:A1028)</f>
        <v>407</v>
      </c>
      <c r="C1028" s="24" t="s">
        <v>225</v>
      </c>
      <c r="D1028" s="31">
        <f t="shared" si="245"/>
        <v>3386066.8299999996</v>
      </c>
      <c r="E1028" s="31">
        <v>0</v>
      </c>
      <c r="F1028" s="31">
        <v>0</v>
      </c>
      <c r="G1028" s="31">
        <v>0</v>
      </c>
      <c r="H1028" s="31">
        <v>0</v>
      </c>
      <c r="I1028" s="31">
        <v>0</v>
      </c>
      <c r="J1028" s="31">
        <v>0</v>
      </c>
      <c r="K1028" s="67">
        <v>0</v>
      </c>
      <c r="L1028" s="31">
        <v>0</v>
      </c>
      <c r="M1028" s="31">
        <v>0</v>
      </c>
      <c r="N1028" s="31">
        <v>0</v>
      </c>
      <c r="O1028" s="31">
        <v>0</v>
      </c>
      <c r="P1028" s="31">
        <v>0</v>
      </c>
      <c r="Q1028" s="31">
        <v>0</v>
      </c>
      <c r="R1028" s="31">
        <v>0</v>
      </c>
      <c r="S1028" s="31">
        <v>0</v>
      </c>
      <c r="T1028" s="31">
        <v>0</v>
      </c>
      <c r="U1028" s="31">
        <v>3336026.4299999997</v>
      </c>
      <c r="V1028" s="31">
        <v>0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50040.4</v>
      </c>
      <c r="AD1028" s="31">
        <v>0</v>
      </c>
      <c r="AE1028" s="31">
        <v>0</v>
      </c>
      <c r="AF1028" s="33" t="s">
        <v>268</v>
      </c>
      <c r="AG1028" s="33">
        <v>2021</v>
      </c>
      <c r="AH1028" s="34">
        <v>2021</v>
      </c>
      <c r="AT1028" s="20" t="e">
        <v>#N/A</v>
      </c>
      <c r="BZ1028" s="64"/>
      <c r="CD1028" s="20" t="e">
        <v>#N/A</v>
      </c>
    </row>
    <row r="1029" spans="1:82" ht="61.5" x14ac:dyDescent="0.85">
      <c r="A1029" s="20">
        <v>1</v>
      </c>
      <c r="B1029" s="60">
        <f>SUBTOTAL(103,$A$558:A1029)</f>
        <v>408</v>
      </c>
      <c r="C1029" s="24" t="s">
        <v>1274</v>
      </c>
      <c r="D1029" s="31">
        <f t="shared" si="245"/>
        <v>684322.28999999992</v>
      </c>
      <c r="E1029" s="31">
        <v>0</v>
      </c>
      <c r="F1029" s="31">
        <v>0</v>
      </c>
      <c r="G1029" s="31">
        <v>0</v>
      </c>
      <c r="H1029" s="31">
        <v>674258.97</v>
      </c>
      <c r="I1029" s="31">
        <v>0</v>
      </c>
      <c r="J1029" s="31">
        <v>0</v>
      </c>
      <c r="K1029" s="67">
        <v>0</v>
      </c>
      <c r="L1029" s="31">
        <v>0</v>
      </c>
      <c r="M1029" s="31">
        <v>0</v>
      </c>
      <c r="N1029" s="31">
        <v>0</v>
      </c>
      <c r="O1029" s="31">
        <v>0</v>
      </c>
      <c r="P1029" s="31">
        <v>0</v>
      </c>
      <c r="Q1029" s="31">
        <v>0</v>
      </c>
      <c r="R1029" s="31">
        <v>0</v>
      </c>
      <c r="S1029" s="31">
        <v>0</v>
      </c>
      <c r="T1029" s="31">
        <v>0</v>
      </c>
      <c r="U1029" s="31">
        <v>0</v>
      </c>
      <c r="V1029" s="31">
        <v>0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10063.32</v>
      </c>
      <c r="AD1029" s="31">
        <v>0</v>
      </c>
      <c r="AE1029" s="31">
        <v>0</v>
      </c>
      <c r="AF1029" s="33" t="s">
        <v>268</v>
      </c>
      <c r="AG1029" s="33">
        <v>2021</v>
      </c>
      <c r="AH1029" s="34">
        <v>2021</v>
      </c>
      <c r="BZ1029" s="64"/>
      <c r="CD1029" s="20" t="e">
        <v>#N/A</v>
      </c>
    </row>
    <row r="1030" spans="1:82" ht="61.5" x14ac:dyDescent="0.85">
      <c r="B1030" s="24" t="s">
        <v>865</v>
      </c>
      <c r="C1030" s="24"/>
      <c r="D1030" s="199">
        <f>D1031</f>
        <v>3417127.3200000003</v>
      </c>
      <c r="E1030" s="31">
        <f t="shared" ref="E1030:AE1032" si="247">E1031</f>
        <v>0</v>
      </c>
      <c r="F1030" s="31">
        <f t="shared" si="247"/>
        <v>0</v>
      </c>
      <c r="G1030" s="31">
        <f t="shared" si="247"/>
        <v>0</v>
      </c>
      <c r="H1030" s="31">
        <f t="shared" si="247"/>
        <v>0</v>
      </c>
      <c r="I1030" s="31">
        <f t="shared" si="247"/>
        <v>0</v>
      </c>
      <c r="J1030" s="31">
        <f t="shared" si="247"/>
        <v>0</v>
      </c>
      <c r="K1030" s="67">
        <f t="shared" si="247"/>
        <v>0</v>
      </c>
      <c r="L1030" s="31">
        <f t="shared" si="247"/>
        <v>0</v>
      </c>
      <c r="M1030" s="31">
        <f t="shared" si="247"/>
        <v>633.4</v>
      </c>
      <c r="N1030" s="31">
        <f t="shared" si="247"/>
        <v>3366627.9000000004</v>
      </c>
      <c r="O1030" s="31">
        <f t="shared" si="247"/>
        <v>0</v>
      </c>
      <c r="P1030" s="31">
        <f t="shared" si="247"/>
        <v>0</v>
      </c>
      <c r="Q1030" s="31">
        <f t="shared" si="247"/>
        <v>0</v>
      </c>
      <c r="R1030" s="31">
        <f t="shared" si="247"/>
        <v>0</v>
      </c>
      <c r="S1030" s="31">
        <f t="shared" si="247"/>
        <v>0</v>
      </c>
      <c r="T1030" s="31">
        <f t="shared" si="247"/>
        <v>0</v>
      </c>
      <c r="U1030" s="31">
        <f t="shared" si="247"/>
        <v>0</v>
      </c>
      <c r="V1030" s="31">
        <f t="shared" si="247"/>
        <v>0</v>
      </c>
      <c r="W1030" s="31">
        <f t="shared" si="247"/>
        <v>0</v>
      </c>
      <c r="X1030" s="31">
        <f t="shared" si="247"/>
        <v>0</v>
      </c>
      <c r="Y1030" s="31">
        <f t="shared" si="247"/>
        <v>0</v>
      </c>
      <c r="Z1030" s="31">
        <f t="shared" si="247"/>
        <v>0</v>
      </c>
      <c r="AA1030" s="31">
        <f t="shared" si="247"/>
        <v>0</v>
      </c>
      <c r="AB1030" s="31">
        <f t="shared" si="247"/>
        <v>0</v>
      </c>
      <c r="AC1030" s="31">
        <f t="shared" si="247"/>
        <v>50499.42</v>
      </c>
      <c r="AD1030" s="31">
        <f t="shared" si="247"/>
        <v>0</v>
      </c>
      <c r="AE1030" s="31">
        <f t="shared" si="247"/>
        <v>0</v>
      </c>
      <c r="AF1030" s="65" t="s">
        <v>751</v>
      </c>
      <c r="AG1030" s="65" t="s">
        <v>751</v>
      </c>
      <c r="AH1030" s="79" t="s">
        <v>751</v>
      </c>
      <c r="AT1030" s="20" t="e">
        <f t="shared" ref="AT1030:AT1040" si="248">VLOOKUP(C1030,AW:AX,2,FALSE)</f>
        <v>#N/A</v>
      </c>
      <c r="BZ1030" s="64">
        <v>3230340</v>
      </c>
      <c r="CD1030" s="20" t="e">
        <f>VLOOKUP(C1030,CE:CF,2,FALSE)</f>
        <v>#N/A</v>
      </c>
    </row>
    <row r="1031" spans="1:82" ht="61.5" x14ac:dyDescent="0.85">
      <c r="A1031" s="20">
        <v>1</v>
      </c>
      <c r="B1031" s="60">
        <f>SUBTOTAL(103,$A$558:A1031)</f>
        <v>409</v>
      </c>
      <c r="C1031" s="24" t="s">
        <v>218</v>
      </c>
      <c r="D1031" s="31">
        <f>E1031+F1031+G1031+H1031+I1031+J1031+L1031+N1031+P1031+R1031+T1031+U1031+V1031+W1031+X1031+Y1031+Z1031+AA1031+AB1031+AC1031+AD1031+AE1031</f>
        <v>3417127.3200000003</v>
      </c>
      <c r="E1031" s="31">
        <v>0</v>
      </c>
      <c r="F1031" s="31">
        <v>0</v>
      </c>
      <c r="G1031" s="31">
        <v>0</v>
      </c>
      <c r="H1031" s="31">
        <v>0</v>
      </c>
      <c r="I1031" s="31">
        <v>0</v>
      </c>
      <c r="J1031" s="31">
        <v>0</v>
      </c>
      <c r="K1031" s="67">
        <v>0</v>
      </c>
      <c r="L1031" s="31">
        <v>0</v>
      </c>
      <c r="M1031" s="31">
        <v>633.4</v>
      </c>
      <c r="N1031" s="31">
        <f>3034817.73+218085.27+79447+33146.47+1131.43</f>
        <v>3366627.9000000004</v>
      </c>
      <c r="O1031" s="31">
        <v>0</v>
      </c>
      <c r="P1031" s="31">
        <v>0</v>
      </c>
      <c r="Q1031" s="31">
        <v>0</v>
      </c>
      <c r="R1031" s="31">
        <v>0</v>
      </c>
      <c r="S1031" s="31">
        <v>0</v>
      </c>
      <c r="T1031" s="31">
        <v>0</v>
      </c>
      <c r="U1031" s="31">
        <v>0</v>
      </c>
      <c r="V1031" s="31">
        <v>0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f>ROUND(N1031*1.5%,2)</f>
        <v>50499.42</v>
      </c>
      <c r="AD1031" s="31">
        <v>0</v>
      </c>
      <c r="AE1031" s="31">
        <v>0</v>
      </c>
      <c r="AF1031" s="33" t="s">
        <v>268</v>
      </c>
      <c r="AG1031" s="33">
        <v>2021</v>
      </c>
      <c r="AH1031" s="34">
        <v>2021</v>
      </c>
      <c r="AT1031" s="20" t="e">
        <f t="shared" si="248"/>
        <v>#N/A</v>
      </c>
      <c r="BZ1031" s="64"/>
      <c r="CD1031" s="20" t="e">
        <f>VLOOKUP(C1031,CE:CF,2,FALSE)</f>
        <v>#N/A</v>
      </c>
    </row>
    <row r="1032" spans="1:82" ht="61.5" x14ac:dyDescent="0.85">
      <c r="B1032" s="24" t="s">
        <v>864</v>
      </c>
      <c r="C1032" s="24"/>
      <c r="D1032" s="199">
        <f>D1033</f>
        <v>236741.66999999998</v>
      </c>
      <c r="E1032" s="31">
        <f t="shared" si="247"/>
        <v>0</v>
      </c>
      <c r="F1032" s="31">
        <f t="shared" si="247"/>
        <v>0</v>
      </c>
      <c r="G1032" s="31">
        <f t="shared" si="247"/>
        <v>0</v>
      </c>
      <c r="H1032" s="31">
        <f t="shared" si="247"/>
        <v>179055.83</v>
      </c>
      <c r="I1032" s="31">
        <f t="shared" si="247"/>
        <v>0</v>
      </c>
      <c r="J1032" s="31">
        <f t="shared" si="247"/>
        <v>0</v>
      </c>
      <c r="K1032" s="67">
        <f t="shared" si="247"/>
        <v>0</v>
      </c>
      <c r="L1032" s="31">
        <f t="shared" si="247"/>
        <v>0</v>
      </c>
      <c r="M1032" s="31">
        <f t="shared" si="247"/>
        <v>0</v>
      </c>
      <c r="N1032" s="31">
        <f t="shared" si="247"/>
        <v>0</v>
      </c>
      <c r="O1032" s="31">
        <f t="shared" si="247"/>
        <v>0</v>
      </c>
      <c r="P1032" s="31">
        <f t="shared" si="247"/>
        <v>0</v>
      </c>
      <c r="Q1032" s="31">
        <f t="shared" si="247"/>
        <v>0</v>
      </c>
      <c r="R1032" s="31">
        <f t="shared" si="247"/>
        <v>0</v>
      </c>
      <c r="S1032" s="31">
        <f t="shared" si="247"/>
        <v>0</v>
      </c>
      <c r="T1032" s="31">
        <f t="shared" si="247"/>
        <v>0</v>
      </c>
      <c r="U1032" s="31">
        <f t="shared" si="247"/>
        <v>0</v>
      </c>
      <c r="V1032" s="31">
        <f t="shared" si="247"/>
        <v>0</v>
      </c>
      <c r="W1032" s="31">
        <f t="shared" si="247"/>
        <v>0</v>
      </c>
      <c r="X1032" s="31">
        <f t="shared" si="247"/>
        <v>0</v>
      </c>
      <c r="Y1032" s="31">
        <f t="shared" si="247"/>
        <v>0</v>
      </c>
      <c r="Z1032" s="31">
        <f t="shared" si="247"/>
        <v>0</v>
      </c>
      <c r="AA1032" s="31">
        <f t="shared" si="247"/>
        <v>0</v>
      </c>
      <c r="AB1032" s="31">
        <f t="shared" si="247"/>
        <v>0</v>
      </c>
      <c r="AC1032" s="31">
        <f t="shared" si="247"/>
        <v>2685.84</v>
      </c>
      <c r="AD1032" s="31">
        <f t="shared" si="247"/>
        <v>55000</v>
      </c>
      <c r="AE1032" s="31">
        <f t="shared" si="247"/>
        <v>0</v>
      </c>
      <c r="AF1032" s="65" t="s">
        <v>751</v>
      </c>
      <c r="AG1032" s="65" t="s">
        <v>751</v>
      </c>
      <c r="AH1032" s="79" t="s">
        <v>751</v>
      </c>
      <c r="AT1032" s="20" t="e">
        <f t="shared" si="248"/>
        <v>#N/A</v>
      </c>
      <c r="BZ1032" s="64">
        <v>3230340</v>
      </c>
      <c r="CD1032" s="20" t="e">
        <f>VLOOKUP(C1032,CE:CF,2,FALSE)</f>
        <v>#N/A</v>
      </c>
    </row>
    <row r="1033" spans="1:82" ht="61.5" x14ac:dyDescent="0.85">
      <c r="A1033" s="20">
        <v>1</v>
      </c>
      <c r="B1033" s="60">
        <f>SUBTOTAL(103,$A$558:A1033)</f>
        <v>410</v>
      </c>
      <c r="C1033" s="24" t="s">
        <v>223</v>
      </c>
      <c r="D1033" s="31">
        <f>E1033+F1033+G1033+H1033+I1033+J1033+L1033+N1033+P1033+R1033+T1033+U1033+V1033+W1033+X1033+Y1033+Z1033+AA1033+AB1033+AC1033+AD1033+AE1033</f>
        <v>236741.66999999998</v>
      </c>
      <c r="E1033" s="31">
        <v>0</v>
      </c>
      <c r="F1033" s="31">
        <v>0</v>
      </c>
      <c r="G1033" s="31">
        <v>0</v>
      </c>
      <c r="H1033" s="31">
        <f>178359.08+696.75</f>
        <v>179055.83</v>
      </c>
      <c r="I1033" s="31">
        <v>0</v>
      </c>
      <c r="J1033" s="31">
        <v>0</v>
      </c>
      <c r="K1033" s="67">
        <v>0</v>
      </c>
      <c r="L1033" s="31">
        <v>0</v>
      </c>
      <c r="M1033" s="31">
        <v>0</v>
      </c>
      <c r="N1033" s="31">
        <v>0</v>
      </c>
      <c r="O1033" s="31">
        <v>0</v>
      </c>
      <c r="P1033" s="31">
        <v>0</v>
      </c>
      <c r="Q1033" s="31">
        <v>0</v>
      </c>
      <c r="R1033" s="31">
        <v>0</v>
      </c>
      <c r="S1033" s="31">
        <v>0</v>
      </c>
      <c r="T1033" s="31">
        <v>0</v>
      </c>
      <c r="U1033" s="31">
        <v>0</v>
      </c>
      <c r="V1033" s="31">
        <v>0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f>ROUND((E1033+F1033+G1033+H1033+I1033+J1033)*1.5%,2)</f>
        <v>2685.84</v>
      </c>
      <c r="AD1033" s="31">
        <v>55000</v>
      </c>
      <c r="AE1033" s="31">
        <v>0</v>
      </c>
      <c r="AF1033" s="33">
        <v>2021</v>
      </c>
      <c r="AG1033" s="33">
        <v>2021</v>
      </c>
      <c r="AH1033" s="34">
        <v>2021</v>
      </c>
      <c r="AT1033" s="20" t="e">
        <f t="shared" si="248"/>
        <v>#N/A</v>
      </c>
      <c r="BZ1033" s="64"/>
      <c r="CD1033" s="20" t="e">
        <f>VLOOKUP(C1033,CE:CF,2,FALSE)</f>
        <v>#N/A</v>
      </c>
    </row>
    <row r="1034" spans="1:82" ht="61.5" x14ac:dyDescent="0.85">
      <c r="B1034" s="24" t="s">
        <v>755</v>
      </c>
      <c r="C1034" s="191"/>
      <c r="D1034" s="199">
        <f t="shared" ref="D1034:AE1034" si="249">D1035+D1104+D1119+D1146+D1160+D1163+D1172+D1175+D1179+D1182+D1184+D1186+D1189+D1191+D1193+D1200+D1204+D1206+D1208+D1210+D1213+D1216+D1218+D1220+D1222+D1229+D1232+D1236+D1239+D1241+D1245+D1247+D1249+D1251+D1253+D1255+D1257+D1261+D1263+D1265+D1267+D1271+D1273+D1275+D1277+D1280+D1284+D1288+D1292+D1295+D1297+D1299+D1302+D1306+D1308+D1310+D1312+D1316</f>
        <v>830181076.74000001</v>
      </c>
      <c r="E1034" s="31">
        <f t="shared" si="249"/>
        <v>1015422.23</v>
      </c>
      <c r="F1034" s="31">
        <f t="shared" si="249"/>
        <v>2755384.36</v>
      </c>
      <c r="G1034" s="31">
        <f t="shared" si="249"/>
        <v>10264339.09</v>
      </c>
      <c r="H1034" s="31">
        <f t="shared" si="249"/>
        <v>3219236.21</v>
      </c>
      <c r="I1034" s="31">
        <f t="shared" si="249"/>
        <v>6095500.2699999996</v>
      </c>
      <c r="J1034" s="31">
        <f t="shared" si="249"/>
        <v>0</v>
      </c>
      <c r="K1034" s="67">
        <f t="shared" si="249"/>
        <v>14</v>
      </c>
      <c r="L1034" s="31">
        <f t="shared" si="249"/>
        <v>28983933.650000002</v>
      </c>
      <c r="M1034" s="31">
        <f t="shared" si="249"/>
        <v>136202.66000000003</v>
      </c>
      <c r="N1034" s="31">
        <f t="shared" si="249"/>
        <v>631783107.16999984</v>
      </c>
      <c r="O1034" s="31">
        <f t="shared" si="249"/>
        <v>146</v>
      </c>
      <c r="P1034" s="31">
        <f t="shared" si="249"/>
        <v>365939.61</v>
      </c>
      <c r="Q1034" s="31">
        <f t="shared" si="249"/>
        <v>27929.09</v>
      </c>
      <c r="R1034" s="31">
        <f t="shared" si="249"/>
        <v>86653598.000000015</v>
      </c>
      <c r="S1034" s="31">
        <f t="shared" si="249"/>
        <v>428.07</v>
      </c>
      <c r="T1034" s="31">
        <f t="shared" si="249"/>
        <v>10047794.520000001</v>
      </c>
      <c r="U1034" s="31">
        <f t="shared" si="249"/>
        <v>7702861.6199999992</v>
      </c>
      <c r="V1034" s="31">
        <f t="shared" si="249"/>
        <v>0</v>
      </c>
      <c r="W1034" s="31">
        <f t="shared" si="249"/>
        <v>0</v>
      </c>
      <c r="X1034" s="31">
        <f t="shared" si="249"/>
        <v>0</v>
      </c>
      <c r="Y1034" s="31">
        <f t="shared" si="249"/>
        <v>0</v>
      </c>
      <c r="Z1034" s="31">
        <f t="shared" si="249"/>
        <v>0</v>
      </c>
      <c r="AA1034" s="31">
        <f t="shared" si="249"/>
        <v>0</v>
      </c>
      <c r="AB1034" s="31">
        <f t="shared" si="249"/>
        <v>0</v>
      </c>
      <c r="AC1034" s="31">
        <f t="shared" si="249"/>
        <v>11398613.140000001</v>
      </c>
      <c r="AD1034" s="31">
        <f t="shared" si="249"/>
        <v>29535346.870000001</v>
      </c>
      <c r="AE1034" s="31">
        <f t="shared" si="249"/>
        <v>360000</v>
      </c>
      <c r="AF1034" s="65" t="s">
        <v>751</v>
      </c>
      <c r="AG1034" s="65" t="s">
        <v>751</v>
      </c>
      <c r="AH1034" s="79" t="s">
        <v>751</v>
      </c>
      <c r="AT1034" s="20" t="e">
        <f t="shared" si="248"/>
        <v>#N/A</v>
      </c>
      <c r="BZ1034" s="64">
        <v>791169161.6500001</v>
      </c>
    </row>
    <row r="1035" spans="1:82" ht="61.5" x14ac:dyDescent="0.85">
      <c r="B1035" s="24" t="s">
        <v>1087</v>
      </c>
      <c r="C1035" s="198"/>
      <c r="D1035" s="199">
        <f t="shared" ref="D1035:AE1035" si="250">SUM(D1036:D1103)</f>
        <v>269435305.27999997</v>
      </c>
      <c r="E1035" s="31">
        <f t="shared" si="250"/>
        <v>0</v>
      </c>
      <c r="F1035" s="31">
        <f t="shared" si="250"/>
        <v>0</v>
      </c>
      <c r="G1035" s="31">
        <f t="shared" si="250"/>
        <v>0</v>
      </c>
      <c r="H1035" s="31">
        <f t="shared" si="250"/>
        <v>0</v>
      </c>
      <c r="I1035" s="31">
        <f t="shared" si="250"/>
        <v>0</v>
      </c>
      <c r="J1035" s="31">
        <f t="shared" si="250"/>
        <v>0</v>
      </c>
      <c r="K1035" s="67">
        <f t="shared" si="250"/>
        <v>3</v>
      </c>
      <c r="L1035" s="31">
        <f t="shared" si="250"/>
        <v>6300000</v>
      </c>
      <c r="M1035" s="31">
        <f t="shared" si="250"/>
        <v>45753.640000000007</v>
      </c>
      <c r="N1035" s="31">
        <f t="shared" si="250"/>
        <v>205231547.66</v>
      </c>
      <c r="O1035" s="31">
        <f t="shared" si="250"/>
        <v>0</v>
      </c>
      <c r="P1035" s="31">
        <f t="shared" si="250"/>
        <v>0</v>
      </c>
      <c r="Q1035" s="31">
        <f t="shared" si="250"/>
        <v>14285.33</v>
      </c>
      <c r="R1035" s="31">
        <f t="shared" si="250"/>
        <v>47162435.630000003</v>
      </c>
      <c r="S1035" s="31">
        <f t="shared" si="250"/>
        <v>0</v>
      </c>
      <c r="T1035" s="31">
        <f t="shared" si="250"/>
        <v>0</v>
      </c>
      <c r="U1035" s="31">
        <f t="shared" si="250"/>
        <v>0</v>
      </c>
      <c r="V1035" s="31">
        <f t="shared" si="250"/>
        <v>0</v>
      </c>
      <c r="W1035" s="31">
        <f t="shared" si="250"/>
        <v>0</v>
      </c>
      <c r="X1035" s="31">
        <f t="shared" si="250"/>
        <v>0</v>
      </c>
      <c r="Y1035" s="31">
        <f t="shared" si="250"/>
        <v>0</v>
      </c>
      <c r="Z1035" s="31">
        <f t="shared" si="250"/>
        <v>0</v>
      </c>
      <c r="AA1035" s="31">
        <f t="shared" si="250"/>
        <v>0</v>
      </c>
      <c r="AB1035" s="31">
        <f t="shared" si="250"/>
        <v>0</v>
      </c>
      <c r="AC1035" s="31">
        <f t="shared" si="250"/>
        <v>3785975.1200000006</v>
      </c>
      <c r="AD1035" s="31">
        <f t="shared" si="250"/>
        <v>6955346.8700000001</v>
      </c>
      <c r="AE1035" s="31">
        <f t="shared" si="250"/>
        <v>0</v>
      </c>
      <c r="AF1035" s="65" t="s">
        <v>751</v>
      </c>
      <c r="AG1035" s="65" t="s">
        <v>751</v>
      </c>
      <c r="AH1035" s="79" t="s">
        <v>751</v>
      </c>
      <c r="AT1035" s="20" t="e">
        <f t="shared" si="248"/>
        <v>#N/A</v>
      </c>
      <c r="BZ1035" s="64">
        <v>216853215.33000001</v>
      </c>
    </row>
    <row r="1036" spans="1:82" ht="61.5" x14ac:dyDescent="0.85">
      <c r="A1036" s="20">
        <v>1</v>
      </c>
      <c r="B1036" s="60">
        <f>SUBTOTAL(103,$A$1036:A1036)</f>
        <v>1</v>
      </c>
      <c r="C1036" s="24" t="s">
        <v>1065</v>
      </c>
      <c r="D1036" s="31">
        <f t="shared" ref="D1036:D1105" si="251">E1036+F1036+G1036+H1036+I1036+J1036+L1036+N1036+P1036+R1036+T1036+U1036+V1036+W1036+X1036+Y1036+Z1036+AA1036+AB1036+AC1036+AD1036+AE1036</f>
        <v>2200000</v>
      </c>
      <c r="E1036" s="31">
        <v>0</v>
      </c>
      <c r="F1036" s="31">
        <v>0</v>
      </c>
      <c r="G1036" s="31">
        <v>0</v>
      </c>
      <c r="H1036" s="31">
        <v>0</v>
      </c>
      <c r="I1036" s="31">
        <v>0</v>
      </c>
      <c r="J1036" s="31">
        <v>0</v>
      </c>
      <c r="K1036" s="67">
        <v>0</v>
      </c>
      <c r="L1036" s="31">
        <v>0</v>
      </c>
      <c r="M1036" s="31">
        <v>412</v>
      </c>
      <c r="N1036" s="31">
        <v>2068965.52</v>
      </c>
      <c r="O1036" s="31">
        <v>0</v>
      </c>
      <c r="P1036" s="31">
        <v>0</v>
      </c>
      <c r="Q1036" s="31">
        <v>0</v>
      </c>
      <c r="R1036" s="31">
        <v>0</v>
      </c>
      <c r="S1036" s="31">
        <v>0</v>
      </c>
      <c r="T1036" s="31">
        <v>0</v>
      </c>
      <c r="U1036" s="31">
        <v>0</v>
      </c>
      <c r="V1036" s="31">
        <v>0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31034.48</v>
      </c>
      <c r="AD1036" s="31">
        <v>100000</v>
      </c>
      <c r="AE1036" s="31">
        <v>0</v>
      </c>
      <c r="AF1036" s="33">
        <v>2022</v>
      </c>
      <c r="AG1036" s="33">
        <v>2022</v>
      </c>
      <c r="AH1036" s="34">
        <v>2022</v>
      </c>
      <c r="AT1036" s="20" t="e">
        <f t="shared" si="248"/>
        <v>#N/A</v>
      </c>
      <c r="BZ1036" s="64"/>
    </row>
    <row r="1037" spans="1:82" ht="61.5" x14ac:dyDescent="0.85">
      <c r="A1037" s="20">
        <v>1</v>
      </c>
      <c r="B1037" s="60">
        <f>SUBTOTAL(103,$A$1036:A1037)</f>
        <v>2</v>
      </c>
      <c r="C1037" s="24" t="s">
        <v>569</v>
      </c>
      <c r="D1037" s="31">
        <f t="shared" si="251"/>
        <v>3283875.94</v>
      </c>
      <c r="E1037" s="31">
        <v>0</v>
      </c>
      <c r="F1037" s="31">
        <v>0</v>
      </c>
      <c r="G1037" s="31">
        <v>0</v>
      </c>
      <c r="H1037" s="31">
        <v>0</v>
      </c>
      <c r="I1037" s="31">
        <v>0</v>
      </c>
      <c r="J1037" s="31">
        <v>0</v>
      </c>
      <c r="K1037" s="67">
        <v>0</v>
      </c>
      <c r="L1037" s="31">
        <v>0</v>
      </c>
      <c r="M1037" s="31">
        <v>722</v>
      </c>
      <c r="N1037" s="31">
        <v>3136823.59</v>
      </c>
      <c r="O1037" s="31">
        <v>0</v>
      </c>
      <c r="P1037" s="31">
        <v>0</v>
      </c>
      <c r="Q1037" s="31">
        <v>0</v>
      </c>
      <c r="R1037" s="31">
        <v>0</v>
      </c>
      <c r="S1037" s="31">
        <v>0</v>
      </c>
      <c r="T1037" s="31">
        <v>0</v>
      </c>
      <c r="U1037" s="31">
        <v>0</v>
      </c>
      <c r="V1037" s="31">
        <v>0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47052.35</v>
      </c>
      <c r="AD1037" s="31">
        <v>100000</v>
      </c>
      <c r="AE1037" s="31">
        <v>0</v>
      </c>
      <c r="AF1037" s="33">
        <v>2022</v>
      </c>
      <c r="AG1037" s="33">
        <v>2022</v>
      </c>
      <c r="AH1037" s="34">
        <v>2022</v>
      </c>
      <c r="AT1037" s="20" t="e">
        <f t="shared" si="248"/>
        <v>#N/A</v>
      </c>
      <c r="BZ1037" s="64"/>
    </row>
    <row r="1038" spans="1:82" ht="61.5" x14ac:dyDescent="0.85">
      <c r="A1038" s="20">
        <v>1</v>
      </c>
      <c r="B1038" s="60">
        <f>SUBTOTAL(103,$A$1036:A1038)</f>
        <v>3</v>
      </c>
      <c r="C1038" s="24" t="s">
        <v>570</v>
      </c>
      <c r="D1038" s="31">
        <f t="shared" si="251"/>
        <v>5491207.6599999992</v>
      </c>
      <c r="E1038" s="31">
        <v>0</v>
      </c>
      <c r="F1038" s="31">
        <v>0</v>
      </c>
      <c r="G1038" s="31">
        <v>0</v>
      </c>
      <c r="H1038" s="31">
        <v>0</v>
      </c>
      <c r="I1038" s="31">
        <v>0</v>
      </c>
      <c r="J1038" s="31">
        <v>0</v>
      </c>
      <c r="K1038" s="67">
        <v>0</v>
      </c>
      <c r="L1038" s="31">
        <v>0</v>
      </c>
      <c r="M1038" s="31">
        <v>1200</v>
      </c>
      <c r="N1038" s="31">
        <v>5311534.6399999997</v>
      </c>
      <c r="O1038" s="31">
        <v>0</v>
      </c>
      <c r="P1038" s="31">
        <v>0</v>
      </c>
      <c r="Q1038" s="31">
        <v>0</v>
      </c>
      <c r="R1038" s="31">
        <v>0</v>
      </c>
      <c r="S1038" s="31">
        <v>0</v>
      </c>
      <c r="T1038" s="31">
        <v>0</v>
      </c>
      <c r="U1038" s="31">
        <v>0</v>
      </c>
      <c r="V1038" s="31">
        <v>0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79673.02</v>
      </c>
      <c r="AD1038" s="31">
        <v>100000</v>
      </c>
      <c r="AE1038" s="31">
        <v>0</v>
      </c>
      <c r="AF1038" s="33">
        <v>2022</v>
      </c>
      <c r="AG1038" s="33">
        <v>2022</v>
      </c>
      <c r="AH1038" s="34">
        <v>2022</v>
      </c>
      <c r="AT1038" s="20" t="e">
        <f t="shared" si="248"/>
        <v>#N/A</v>
      </c>
      <c r="BZ1038" s="64"/>
    </row>
    <row r="1039" spans="1:82" ht="61.5" x14ac:dyDescent="0.85">
      <c r="A1039" s="20">
        <v>1</v>
      </c>
      <c r="B1039" s="60">
        <f>SUBTOTAL(103,$A$1036:A1039)</f>
        <v>4</v>
      </c>
      <c r="C1039" s="24" t="s">
        <v>571</v>
      </c>
      <c r="D1039" s="31">
        <f t="shared" si="251"/>
        <v>1996320.0799999998</v>
      </c>
      <c r="E1039" s="31">
        <v>0</v>
      </c>
      <c r="F1039" s="31">
        <v>0</v>
      </c>
      <c r="G1039" s="31">
        <v>0</v>
      </c>
      <c r="H1039" s="31">
        <v>0</v>
      </c>
      <c r="I1039" s="31">
        <v>0</v>
      </c>
      <c r="J1039" s="31">
        <v>0</v>
      </c>
      <c r="K1039" s="67">
        <v>0</v>
      </c>
      <c r="L1039" s="31">
        <v>0</v>
      </c>
      <c r="M1039" s="31">
        <v>420</v>
      </c>
      <c r="N1039" s="31">
        <v>1868295.65</v>
      </c>
      <c r="O1039" s="31">
        <v>0</v>
      </c>
      <c r="P1039" s="31">
        <v>0</v>
      </c>
      <c r="Q1039" s="31">
        <v>0</v>
      </c>
      <c r="R1039" s="31">
        <v>0</v>
      </c>
      <c r="S1039" s="31">
        <v>0</v>
      </c>
      <c r="T1039" s="31">
        <v>0</v>
      </c>
      <c r="U1039" s="31">
        <v>0</v>
      </c>
      <c r="V1039" s="31">
        <v>0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28024.43</v>
      </c>
      <c r="AD1039" s="31">
        <v>100000</v>
      </c>
      <c r="AE1039" s="31">
        <v>0</v>
      </c>
      <c r="AF1039" s="33">
        <v>2022</v>
      </c>
      <c r="AG1039" s="33">
        <v>2022</v>
      </c>
      <c r="AH1039" s="34">
        <v>2022</v>
      </c>
      <c r="AT1039" s="20" t="e">
        <f t="shared" si="248"/>
        <v>#N/A</v>
      </c>
      <c r="BZ1039" s="64"/>
    </row>
    <row r="1040" spans="1:82" ht="61.5" x14ac:dyDescent="0.85">
      <c r="A1040" s="20">
        <v>1</v>
      </c>
      <c r="B1040" s="60">
        <f>SUBTOTAL(103,$A$1036:A1040)</f>
        <v>5</v>
      </c>
      <c r="C1040" s="24" t="s">
        <v>572</v>
      </c>
      <c r="D1040" s="31">
        <f t="shared" si="251"/>
        <v>2818609.5</v>
      </c>
      <c r="E1040" s="31">
        <v>0</v>
      </c>
      <c r="F1040" s="31">
        <v>0</v>
      </c>
      <c r="G1040" s="31">
        <v>0</v>
      </c>
      <c r="H1040" s="31">
        <v>0</v>
      </c>
      <c r="I1040" s="31">
        <v>0</v>
      </c>
      <c r="J1040" s="31">
        <v>0</v>
      </c>
      <c r="K1040" s="67">
        <v>0</v>
      </c>
      <c r="L1040" s="31">
        <v>0</v>
      </c>
      <c r="M1040" s="31">
        <v>593</v>
      </c>
      <c r="N1040" s="31">
        <v>2678433</v>
      </c>
      <c r="O1040" s="31">
        <v>0</v>
      </c>
      <c r="P1040" s="31">
        <v>0</v>
      </c>
      <c r="Q1040" s="31">
        <v>0</v>
      </c>
      <c r="R1040" s="31">
        <v>0</v>
      </c>
      <c r="S1040" s="31">
        <v>0</v>
      </c>
      <c r="T1040" s="31">
        <v>0</v>
      </c>
      <c r="U1040" s="31">
        <v>0</v>
      </c>
      <c r="V1040" s="31">
        <v>0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40176.5</v>
      </c>
      <c r="AD1040" s="31">
        <v>100000</v>
      </c>
      <c r="AE1040" s="31">
        <v>0</v>
      </c>
      <c r="AF1040" s="33">
        <v>2022</v>
      </c>
      <c r="AG1040" s="33">
        <v>2022</v>
      </c>
      <c r="AH1040" s="34">
        <v>2022</v>
      </c>
      <c r="AT1040" s="20" t="e">
        <f t="shared" si="248"/>
        <v>#N/A</v>
      </c>
      <c r="BZ1040" s="64"/>
    </row>
    <row r="1041" spans="1:78" ht="61.5" x14ac:dyDescent="0.85">
      <c r="A1041" s="20">
        <v>1</v>
      </c>
      <c r="B1041" s="60">
        <f>SUBTOTAL(103,$A$1036:A1041)</f>
        <v>6</v>
      </c>
      <c r="C1041" s="24" t="s">
        <v>1627</v>
      </c>
      <c r="D1041" s="31">
        <f t="shared" si="251"/>
        <v>2963862.9899999998</v>
      </c>
      <c r="E1041" s="31">
        <v>0</v>
      </c>
      <c r="F1041" s="31">
        <v>0</v>
      </c>
      <c r="G1041" s="31">
        <v>0</v>
      </c>
      <c r="H1041" s="31">
        <v>0</v>
      </c>
      <c r="I1041" s="31">
        <v>0</v>
      </c>
      <c r="J1041" s="31">
        <v>0</v>
      </c>
      <c r="K1041" s="67">
        <v>0</v>
      </c>
      <c r="L1041" s="31">
        <v>0</v>
      </c>
      <c r="M1041" s="31">
        <v>559</v>
      </c>
      <c r="N1041" s="31">
        <v>2821538</v>
      </c>
      <c r="O1041" s="31">
        <v>0</v>
      </c>
      <c r="P1041" s="31">
        <v>0</v>
      </c>
      <c r="Q1041" s="31">
        <v>0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42323.07</v>
      </c>
      <c r="AD1041" s="31">
        <v>100001.92</v>
      </c>
      <c r="AE1041" s="31">
        <v>0</v>
      </c>
      <c r="AF1041" s="33">
        <v>2022</v>
      </c>
      <c r="AG1041" s="33">
        <v>2022</v>
      </c>
      <c r="AH1041" s="34">
        <v>2022</v>
      </c>
      <c r="BZ1041" s="64"/>
    </row>
    <row r="1042" spans="1:78" ht="61.5" x14ac:dyDescent="0.85">
      <c r="A1042" s="20">
        <v>1</v>
      </c>
      <c r="B1042" s="60">
        <f>SUBTOTAL(103,$A$1036:A1042)</f>
        <v>7</v>
      </c>
      <c r="C1042" s="24" t="s">
        <v>573</v>
      </c>
      <c r="D1042" s="31">
        <f t="shared" si="251"/>
        <v>3753990.26</v>
      </c>
      <c r="E1042" s="31">
        <v>0</v>
      </c>
      <c r="F1042" s="31">
        <v>0</v>
      </c>
      <c r="G1042" s="31">
        <v>0</v>
      </c>
      <c r="H1042" s="31">
        <v>0</v>
      </c>
      <c r="I1042" s="31">
        <v>0</v>
      </c>
      <c r="J1042" s="31">
        <v>0</v>
      </c>
      <c r="K1042" s="67">
        <v>0</v>
      </c>
      <c r="L1042" s="31">
        <v>0</v>
      </c>
      <c r="M1042" s="31">
        <v>794</v>
      </c>
      <c r="N1042" s="31">
        <v>3599990.4</v>
      </c>
      <c r="O1042" s="31">
        <v>0</v>
      </c>
      <c r="P1042" s="31">
        <v>0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53999.86</v>
      </c>
      <c r="AD1042" s="31">
        <v>100000</v>
      </c>
      <c r="AE1042" s="31">
        <v>0</v>
      </c>
      <c r="AF1042" s="33">
        <v>2022</v>
      </c>
      <c r="AG1042" s="33">
        <v>2022</v>
      </c>
      <c r="AH1042" s="34">
        <v>2022</v>
      </c>
      <c r="AT1042" s="20" t="e">
        <f>VLOOKUP(C1042,AW:AX,2,FALSE)</f>
        <v>#N/A</v>
      </c>
      <c r="BZ1042" s="64"/>
    </row>
    <row r="1043" spans="1:78" ht="61.5" x14ac:dyDescent="0.85">
      <c r="A1043" s="20">
        <v>1</v>
      </c>
      <c r="B1043" s="60">
        <f>SUBTOTAL(103,$A$1036:A1043)</f>
        <v>8</v>
      </c>
      <c r="C1043" s="24" t="s">
        <v>1628</v>
      </c>
      <c r="D1043" s="31">
        <f t="shared" si="251"/>
        <v>5682500</v>
      </c>
      <c r="E1043" s="31">
        <v>0</v>
      </c>
      <c r="F1043" s="31">
        <v>0</v>
      </c>
      <c r="G1043" s="31">
        <v>0</v>
      </c>
      <c r="H1043" s="31">
        <v>0</v>
      </c>
      <c r="I1043" s="31">
        <v>0</v>
      </c>
      <c r="J1043" s="31">
        <v>0</v>
      </c>
      <c r="K1043" s="67">
        <v>0</v>
      </c>
      <c r="L1043" s="31">
        <v>0</v>
      </c>
      <c r="M1043" s="31">
        <v>1338</v>
      </c>
      <c r="N1043" s="31">
        <v>5500000</v>
      </c>
      <c r="O1043" s="31">
        <v>0</v>
      </c>
      <c r="P1043" s="31">
        <v>0</v>
      </c>
      <c r="Q1043" s="31">
        <v>0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82500</v>
      </c>
      <c r="AD1043" s="31">
        <v>100000</v>
      </c>
      <c r="AE1043" s="31">
        <v>0</v>
      </c>
      <c r="AF1043" s="33">
        <v>2022</v>
      </c>
      <c r="AG1043" s="33">
        <v>2022</v>
      </c>
      <c r="AH1043" s="34">
        <v>2022</v>
      </c>
      <c r="BZ1043" s="64"/>
    </row>
    <row r="1044" spans="1:78" ht="61.5" x14ac:dyDescent="0.85">
      <c r="A1044" s="20">
        <v>1</v>
      </c>
      <c r="B1044" s="60">
        <f>SUBTOTAL(103,$A$1036:A1044)</f>
        <v>9</v>
      </c>
      <c r="C1044" s="24" t="s">
        <v>574</v>
      </c>
      <c r="D1044" s="31">
        <f t="shared" si="251"/>
        <v>3593332.35</v>
      </c>
      <c r="E1044" s="31">
        <v>0</v>
      </c>
      <c r="F1044" s="31">
        <v>0</v>
      </c>
      <c r="G1044" s="31">
        <v>0</v>
      </c>
      <c r="H1044" s="31">
        <v>0</v>
      </c>
      <c r="I1044" s="31">
        <v>0</v>
      </c>
      <c r="J1044" s="31">
        <v>0</v>
      </c>
      <c r="K1044" s="67">
        <v>0</v>
      </c>
      <c r="L1044" s="31">
        <v>0</v>
      </c>
      <c r="M1044" s="31">
        <v>760.2</v>
      </c>
      <c r="N1044" s="31">
        <v>3441706.75</v>
      </c>
      <c r="O1044" s="31">
        <v>0</v>
      </c>
      <c r="P1044" s="31">
        <v>0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51625.599999999999</v>
      </c>
      <c r="AD1044" s="31">
        <v>100000</v>
      </c>
      <c r="AE1044" s="31">
        <v>0</v>
      </c>
      <c r="AF1044" s="33">
        <v>2022</v>
      </c>
      <c r="AG1044" s="33">
        <v>2022</v>
      </c>
      <c r="AH1044" s="34">
        <v>2022</v>
      </c>
      <c r="AT1044" s="20" t="e">
        <f>VLOOKUP(C1044,AW:AX,2,FALSE)</f>
        <v>#N/A</v>
      </c>
      <c r="BZ1044" s="64"/>
    </row>
    <row r="1045" spans="1:78" ht="61.5" x14ac:dyDescent="0.85">
      <c r="A1045" s="20">
        <v>1</v>
      </c>
      <c r="B1045" s="60">
        <f>SUBTOTAL(103,$A$1036:A1045)</f>
        <v>10</v>
      </c>
      <c r="C1045" s="24" t="s">
        <v>575</v>
      </c>
      <c r="D1045" s="31">
        <f t="shared" si="251"/>
        <v>5851539.1200000001</v>
      </c>
      <c r="E1045" s="31">
        <v>0</v>
      </c>
      <c r="F1045" s="31">
        <v>0</v>
      </c>
      <c r="G1045" s="31">
        <v>0</v>
      </c>
      <c r="H1045" s="31">
        <v>0</v>
      </c>
      <c r="I1045" s="31">
        <v>0</v>
      </c>
      <c r="J1045" s="31">
        <v>0</v>
      </c>
      <c r="K1045" s="67">
        <v>0</v>
      </c>
      <c r="L1045" s="31">
        <v>0</v>
      </c>
      <c r="M1045" s="31">
        <v>1260.4000000000001</v>
      </c>
      <c r="N1045" s="31">
        <v>5666541</v>
      </c>
      <c r="O1045" s="31">
        <v>0</v>
      </c>
      <c r="P1045" s="31">
        <v>0</v>
      </c>
      <c r="Q1045" s="31">
        <v>0</v>
      </c>
      <c r="R1045" s="31">
        <v>0</v>
      </c>
      <c r="S1045" s="31">
        <v>0</v>
      </c>
      <c r="T1045" s="31">
        <v>0</v>
      </c>
      <c r="U1045" s="31">
        <v>0</v>
      </c>
      <c r="V1045" s="31">
        <v>0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84998.12</v>
      </c>
      <c r="AD1045" s="31">
        <v>100000</v>
      </c>
      <c r="AE1045" s="31">
        <v>0</v>
      </c>
      <c r="AF1045" s="33">
        <v>2022</v>
      </c>
      <c r="AG1045" s="33">
        <v>2022</v>
      </c>
      <c r="AH1045" s="34">
        <v>2022</v>
      </c>
      <c r="AT1045" s="20" t="e">
        <f>VLOOKUP(C1045,AW:AX,2,FALSE)</f>
        <v>#N/A</v>
      </c>
      <c r="BZ1045" s="64"/>
    </row>
    <row r="1046" spans="1:78" ht="61.5" x14ac:dyDescent="0.85">
      <c r="A1046" s="20">
        <v>1</v>
      </c>
      <c r="B1046" s="60">
        <f>SUBTOTAL(103,$A$1036:A1046)</f>
        <v>11</v>
      </c>
      <c r="C1046" s="24" t="s">
        <v>576</v>
      </c>
      <c r="D1046" s="31">
        <f t="shared" si="251"/>
        <v>5450859.3200000003</v>
      </c>
      <c r="E1046" s="31">
        <v>0</v>
      </c>
      <c r="F1046" s="31">
        <v>0</v>
      </c>
      <c r="G1046" s="31">
        <v>0</v>
      </c>
      <c r="H1046" s="31">
        <v>0</v>
      </c>
      <c r="I1046" s="31">
        <v>0</v>
      </c>
      <c r="J1046" s="31">
        <v>0</v>
      </c>
      <c r="K1046" s="67">
        <v>0</v>
      </c>
      <c r="L1046" s="31">
        <v>0</v>
      </c>
      <c r="M1046" s="31">
        <v>1151</v>
      </c>
      <c r="N1046" s="31">
        <v>5271782.58</v>
      </c>
      <c r="O1046" s="31">
        <v>0</v>
      </c>
      <c r="P1046" s="31">
        <v>0</v>
      </c>
      <c r="Q1046" s="31">
        <v>0</v>
      </c>
      <c r="R1046" s="31">
        <v>0</v>
      </c>
      <c r="S1046" s="31">
        <v>0</v>
      </c>
      <c r="T1046" s="31">
        <v>0</v>
      </c>
      <c r="U1046" s="31">
        <v>0</v>
      </c>
      <c r="V1046" s="31">
        <v>0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79076.740000000005</v>
      </c>
      <c r="AD1046" s="31">
        <v>100000</v>
      </c>
      <c r="AE1046" s="31">
        <v>0</v>
      </c>
      <c r="AF1046" s="33">
        <v>2022</v>
      </c>
      <c r="AG1046" s="33">
        <v>2022</v>
      </c>
      <c r="AH1046" s="34">
        <v>2022</v>
      </c>
      <c r="AT1046" s="20" t="e">
        <f>VLOOKUP(C1046,AW:AX,2,FALSE)</f>
        <v>#N/A</v>
      </c>
      <c r="BZ1046" s="64"/>
    </row>
    <row r="1047" spans="1:78" ht="61.5" x14ac:dyDescent="0.85">
      <c r="A1047" s="20">
        <v>1</v>
      </c>
      <c r="B1047" s="60">
        <f>SUBTOTAL(103,$A$1036:A1047)</f>
        <v>12</v>
      </c>
      <c r="C1047" s="24" t="s">
        <v>577</v>
      </c>
      <c r="D1047" s="31">
        <f t="shared" si="251"/>
        <v>2859341.54</v>
      </c>
      <c r="E1047" s="31">
        <v>0</v>
      </c>
      <c r="F1047" s="31">
        <v>0</v>
      </c>
      <c r="G1047" s="31">
        <v>0</v>
      </c>
      <c r="H1047" s="31">
        <v>0</v>
      </c>
      <c r="I1047" s="31">
        <v>0</v>
      </c>
      <c r="J1047" s="31">
        <v>0</v>
      </c>
      <c r="K1047" s="67">
        <v>0</v>
      </c>
      <c r="L1047" s="31">
        <v>0</v>
      </c>
      <c r="M1047" s="31">
        <v>464.7</v>
      </c>
      <c r="N1047" s="31">
        <v>2718415.31</v>
      </c>
      <c r="O1047" s="31">
        <v>0</v>
      </c>
      <c r="P1047" s="31">
        <v>0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40926.230000000003</v>
      </c>
      <c r="AD1047" s="31">
        <v>100000</v>
      </c>
      <c r="AE1047" s="31">
        <v>0</v>
      </c>
      <c r="AF1047" s="33">
        <v>2022</v>
      </c>
      <c r="AG1047" s="33">
        <v>2022</v>
      </c>
      <c r="AH1047" s="34">
        <v>2022</v>
      </c>
      <c r="AT1047" s="20" t="e">
        <f>VLOOKUP(C1047,AW:AX,2,FALSE)</f>
        <v>#N/A</v>
      </c>
      <c r="BZ1047" s="64"/>
    </row>
    <row r="1048" spans="1:78" ht="61.5" x14ac:dyDescent="0.85">
      <c r="A1048" s="20">
        <v>1</v>
      </c>
      <c r="B1048" s="60">
        <f>SUBTOTAL(103,$A$1036:A1048)</f>
        <v>13</v>
      </c>
      <c r="C1048" s="24" t="s">
        <v>578</v>
      </c>
      <c r="D1048" s="31">
        <f t="shared" si="251"/>
        <v>2859341.54</v>
      </c>
      <c r="E1048" s="31">
        <v>0</v>
      </c>
      <c r="F1048" s="31">
        <v>0</v>
      </c>
      <c r="G1048" s="31">
        <v>0</v>
      </c>
      <c r="H1048" s="31">
        <v>0</v>
      </c>
      <c r="I1048" s="31">
        <v>0</v>
      </c>
      <c r="J1048" s="31">
        <v>0</v>
      </c>
      <c r="K1048" s="67">
        <v>0</v>
      </c>
      <c r="L1048" s="31">
        <v>0</v>
      </c>
      <c r="M1048" s="31">
        <v>464.68</v>
      </c>
      <c r="N1048" s="31">
        <v>2718415.31</v>
      </c>
      <c r="O1048" s="31">
        <v>0</v>
      </c>
      <c r="P1048" s="31">
        <v>0</v>
      </c>
      <c r="Q1048" s="31">
        <v>0</v>
      </c>
      <c r="R1048" s="31">
        <v>0</v>
      </c>
      <c r="S1048" s="31">
        <v>0</v>
      </c>
      <c r="T1048" s="31">
        <v>0</v>
      </c>
      <c r="U1048" s="31">
        <v>0</v>
      </c>
      <c r="V1048" s="31">
        <v>0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40926.230000000003</v>
      </c>
      <c r="AD1048" s="31">
        <v>100000</v>
      </c>
      <c r="AE1048" s="31">
        <v>0</v>
      </c>
      <c r="AF1048" s="33">
        <v>2022</v>
      </c>
      <c r="AG1048" s="33">
        <v>2022</v>
      </c>
      <c r="AH1048" s="34">
        <v>2022</v>
      </c>
      <c r="AT1048" s="20" t="e">
        <f>VLOOKUP(C1048,AW:AX,2,FALSE)</f>
        <v>#N/A</v>
      </c>
      <c r="BZ1048" s="64"/>
    </row>
    <row r="1049" spans="1:78" ht="61.5" x14ac:dyDescent="0.85">
      <c r="A1049" s="20">
        <v>1</v>
      </c>
      <c r="B1049" s="60">
        <f>SUBTOTAL(103,$A$1036:A1049)</f>
        <v>14</v>
      </c>
      <c r="C1049" s="24" t="s">
        <v>1629</v>
      </c>
      <c r="D1049" s="31">
        <f t="shared" si="251"/>
        <v>4261500</v>
      </c>
      <c r="E1049" s="31">
        <v>0</v>
      </c>
      <c r="F1049" s="31">
        <v>0</v>
      </c>
      <c r="G1049" s="31">
        <v>0</v>
      </c>
      <c r="H1049" s="31">
        <v>0</v>
      </c>
      <c r="I1049" s="31">
        <v>0</v>
      </c>
      <c r="J1049" s="31">
        <v>0</v>
      </c>
      <c r="K1049" s="67">
        <v>0</v>
      </c>
      <c r="L1049" s="31">
        <v>0</v>
      </c>
      <c r="M1049" s="31">
        <v>828</v>
      </c>
      <c r="N1049" s="31">
        <v>4100000</v>
      </c>
      <c r="O1049" s="31">
        <v>0</v>
      </c>
      <c r="P1049" s="31">
        <v>0</v>
      </c>
      <c r="Q1049" s="31">
        <v>0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61500</v>
      </c>
      <c r="AD1049" s="31">
        <v>100000</v>
      </c>
      <c r="AE1049" s="31">
        <v>0</v>
      </c>
      <c r="AF1049" s="33">
        <v>2022</v>
      </c>
      <c r="AG1049" s="33">
        <v>2022</v>
      </c>
      <c r="AH1049" s="34">
        <v>2022</v>
      </c>
      <c r="BZ1049" s="64"/>
    </row>
    <row r="1050" spans="1:78" ht="61.5" x14ac:dyDescent="0.85">
      <c r="A1050" s="20">
        <v>1</v>
      </c>
      <c r="B1050" s="60">
        <f>SUBTOTAL(103,$A$1036:A1050)</f>
        <v>15</v>
      </c>
      <c r="C1050" s="24" t="s">
        <v>580</v>
      </c>
      <c r="D1050" s="31">
        <f t="shared" si="251"/>
        <v>3614995.2</v>
      </c>
      <c r="E1050" s="31">
        <v>0</v>
      </c>
      <c r="F1050" s="31">
        <v>0</v>
      </c>
      <c r="G1050" s="31">
        <v>0</v>
      </c>
      <c r="H1050" s="31">
        <v>0</v>
      </c>
      <c r="I1050" s="31">
        <v>0</v>
      </c>
      <c r="J1050" s="31">
        <v>0</v>
      </c>
      <c r="K1050" s="67">
        <v>0</v>
      </c>
      <c r="L1050" s="31">
        <v>0</v>
      </c>
      <c r="M1050" s="31">
        <v>775</v>
      </c>
      <c r="N1050" s="31">
        <v>3463049.46</v>
      </c>
      <c r="O1050" s="31">
        <v>0</v>
      </c>
      <c r="P1050" s="31">
        <v>0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51945.74</v>
      </c>
      <c r="AD1050" s="31">
        <v>100000</v>
      </c>
      <c r="AE1050" s="31">
        <v>0</v>
      </c>
      <c r="AF1050" s="33">
        <v>2022</v>
      </c>
      <c r="AG1050" s="33">
        <v>2022</v>
      </c>
      <c r="AH1050" s="34">
        <v>2022</v>
      </c>
      <c r="AT1050" s="20" t="e">
        <f t="shared" ref="AT1050:AT1056" si="252">VLOOKUP(C1050,AW:AX,2,FALSE)</f>
        <v>#N/A</v>
      </c>
      <c r="BZ1050" s="64"/>
    </row>
    <row r="1051" spans="1:78" ht="61.5" x14ac:dyDescent="0.85">
      <c r="A1051" s="20">
        <v>1</v>
      </c>
      <c r="B1051" s="60">
        <f>SUBTOTAL(103,$A$1036:A1051)</f>
        <v>16</v>
      </c>
      <c r="C1051" s="24" t="s">
        <v>582</v>
      </c>
      <c r="D1051" s="31">
        <f t="shared" si="251"/>
        <v>1074208.6600000001</v>
      </c>
      <c r="E1051" s="31">
        <v>0</v>
      </c>
      <c r="F1051" s="31">
        <v>0</v>
      </c>
      <c r="G1051" s="31">
        <v>0</v>
      </c>
      <c r="H1051" s="31">
        <v>0</v>
      </c>
      <c r="I1051" s="31">
        <v>0</v>
      </c>
      <c r="J1051" s="31">
        <v>0</v>
      </c>
      <c r="K1051" s="67">
        <v>0</v>
      </c>
      <c r="L1051" s="31">
        <v>0</v>
      </c>
      <c r="M1051" s="31">
        <v>226</v>
      </c>
      <c r="N1051" s="31">
        <v>959811.49</v>
      </c>
      <c r="O1051" s="31">
        <v>0</v>
      </c>
      <c r="P1051" s="31">
        <v>0</v>
      </c>
      <c r="Q1051" s="31">
        <v>0</v>
      </c>
      <c r="R1051" s="31">
        <v>0</v>
      </c>
      <c r="S1051" s="31">
        <v>0</v>
      </c>
      <c r="T1051" s="31">
        <v>0</v>
      </c>
      <c r="U1051" s="31">
        <v>0</v>
      </c>
      <c r="V1051" s="31">
        <v>0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14397.17</v>
      </c>
      <c r="AD1051" s="31">
        <v>100000</v>
      </c>
      <c r="AE1051" s="31">
        <v>0</v>
      </c>
      <c r="AF1051" s="33">
        <v>2022</v>
      </c>
      <c r="AG1051" s="33">
        <v>2022</v>
      </c>
      <c r="AH1051" s="34">
        <v>2022</v>
      </c>
      <c r="AT1051" s="20" t="e">
        <f t="shared" si="252"/>
        <v>#N/A</v>
      </c>
      <c r="BZ1051" s="64"/>
    </row>
    <row r="1052" spans="1:78" ht="61.5" x14ac:dyDescent="0.85">
      <c r="A1052" s="20">
        <v>1</v>
      </c>
      <c r="B1052" s="60">
        <f>SUBTOTAL(103,$A$1036:A1052)</f>
        <v>17</v>
      </c>
      <c r="C1052" s="24" t="s">
        <v>583</v>
      </c>
      <c r="D1052" s="31">
        <f t="shared" si="251"/>
        <v>2983983.08</v>
      </c>
      <c r="E1052" s="31">
        <v>0</v>
      </c>
      <c r="F1052" s="31">
        <v>0</v>
      </c>
      <c r="G1052" s="31">
        <v>0</v>
      </c>
      <c r="H1052" s="31">
        <v>0</v>
      </c>
      <c r="I1052" s="31">
        <v>0</v>
      </c>
      <c r="J1052" s="31">
        <v>0</v>
      </c>
      <c r="K1052" s="67">
        <v>0</v>
      </c>
      <c r="L1052" s="31">
        <v>0</v>
      </c>
      <c r="M1052" s="31">
        <v>632</v>
      </c>
      <c r="N1052" s="31">
        <v>2841362.64</v>
      </c>
      <c r="O1052" s="31">
        <v>0</v>
      </c>
      <c r="P1052" s="31">
        <v>0</v>
      </c>
      <c r="Q1052" s="31">
        <v>0</v>
      </c>
      <c r="R1052" s="31">
        <v>0</v>
      </c>
      <c r="S1052" s="31">
        <v>0</v>
      </c>
      <c r="T1052" s="31">
        <v>0</v>
      </c>
      <c r="U1052" s="31">
        <v>0</v>
      </c>
      <c r="V1052" s="31">
        <v>0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42620.44</v>
      </c>
      <c r="AD1052" s="31">
        <v>100000</v>
      </c>
      <c r="AE1052" s="31">
        <v>0</v>
      </c>
      <c r="AF1052" s="33">
        <v>2022</v>
      </c>
      <c r="AG1052" s="33">
        <v>2022</v>
      </c>
      <c r="AH1052" s="34">
        <v>2022</v>
      </c>
      <c r="AT1052" s="20" t="e">
        <f t="shared" si="252"/>
        <v>#N/A</v>
      </c>
      <c r="BZ1052" s="64"/>
    </row>
    <row r="1053" spans="1:78" ht="61.5" x14ac:dyDescent="0.85">
      <c r="A1053" s="20">
        <v>1</v>
      </c>
      <c r="B1053" s="60">
        <f>SUBTOTAL(103,$A$1036:A1053)</f>
        <v>18</v>
      </c>
      <c r="C1053" s="24" t="s">
        <v>584</v>
      </c>
      <c r="D1053" s="31">
        <f t="shared" si="251"/>
        <v>2983983.08</v>
      </c>
      <c r="E1053" s="31">
        <v>0</v>
      </c>
      <c r="F1053" s="31">
        <v>0</v>
      </c>
      <c r="G1053" s="31">
        <v>0</v>
      </c>
      <c r="H1053" s="31">
        <v>0</v>
      </c>
      <c r="I1053" s="31">
        <v>0</v>
      </c>
      <c r="J1053" s="31">
        <v>0</v>
      </c>
      <c r="K1053" s="67">
        <v>0</v>
      </c>
      <c r="L1053" s="31">
        <v>0</v>
      </c>
      <c r="M1053" s="31">
        <v>632</v>
      </c>
      <c r="N1053" s="31">
        <v>2841362.64</v>
      </c>
      <c r="O1053" s="31">
        <v>0</v>
      </c>
      <c r="P1053" s="31">
        <v>0</v>
      </c>
      <c r="Q1053" s="31">
        <v>0</v>
      </c>
      <c r="R1053" s="31">
        <v>0</v>
      </c>
      <c r="S1053" s="31">
        <v>0</v>
      </c>
      <c r="T1053" s="31">
        <v>0</v>
      </c>
      <c r="U1053" s="31">
        <v>0</v>
      </c>
      <c r="V1053" s="31">
        <v>0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42620.44</v>
      </c>
      <c r="AD1053" s="31">
        <v>100000</v>
      </c>
      <c r="AE1053" s="31">
        <v>0</v>
      </c>
      <c r="AF1053" s="33">
        <v>2022</v>
      </c>
      <c r="AG1053" s="33">
        <v>2022</v>
      </c>
      <c r="AH1053" s="34">
        <v>2022</v>
      </c>
      <c r="AT1053" s="20" t="e">
        <f t="shared" si="252"/>
        <v>#N/A</v>
      </c>
      <c r="BZ1053" s="64"/>
    </row>
    <row r="1054" spans="1:78" ht="61.5" x14ac:dyDescent="0.85">
      <c r="A1054" s="20">
        <v>1</v>
      </c>
      <c r="B1054" s="60">
        <f>SUBTOTAL(103,$A$1036:A1054)</f>
        <v>19</v>
      </c>
      <c r="C1054" s="24" t="s">
        <v>585</v>
      </c>
      <c r="D1054" s="31">
        <f t="shared" si="251"/>
        <v>3402263</v>
      </c>
      <c r="E1054" s="31">
        <v>0</v>
      </c>
      <c r="F1054" s="31">
        <v>0</v>
      </c>
      <c r="G1054" s="31">
        <v>0</v>
      </c>
      <c r="H1054" s="31">
        <v>0</v>
      </c>
      <c r="I1054" s="31">
        <v>0</v>
      </c>
      <c r="J1054" s="31">
        <v>0</v>
      </c>
      <c r="K1054" s="67">
        <v>0</v>
      </c>
      <c r="L1054" s="31">
        <v>0</v>
      </c>
      <c r="M1054" s="31">
        <v>720</v>
      </c>
      <c r="N1054" s="31">
        <v>3253461.08</v>
      </c>
      <c r="O1054" s="31">
        <v>0</v>
      </c>
      <c r="P1054" s="31">
        <v>0</v>
      </c>
      <c r="Q1054" s="31">
        <v>0</v>
      </c>
      <c r="R1054" s="31">
        <v>0</v>
      </c>
      <c r="S1054" s="31">
        <v>0</v>
      </c>
      <c r="T1054" s="31">
        <v>0</v>
      </c>
      <c r="U1054" s="31">
        <v>0</v>
      </c>
      <c r="V1054" s="31">
        <v>0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48801.919999999998</v>
      </c>
      <c r="AD1054" s="31">
        <v>100000</v>
      </c>
      <c r="AE1054" s="31">
        <v>0</v>
      </c>
      <c r="AF1054" s="33">
        <v>2022</v>
      </c>
      <c r="AG1054" s="33">
        <v>2022</v>
      </c>
      <c r="AH1054" s="34">
        <v>2022</v>
      </c>
      <c r="AT1054" s="20" t="e">
        <f t="shared" si="252"/>
        <v>#N/A</v>
      </c>
      <c r="BZ1054" s="64"/>
    </row>
    <row r="1055" spans="1:78" ht="61.5" x14ac:dyDescent="0.85">
      <c r="A1055" s="20">
        <v>1</v>
      </c>
      <c r="B1055" s="60">
        <f>SUBTOTAL(103,$A$1036:A1055)</f>
        <v>20</v>
      </c>
      <c r="C1055" s="24" t="s">
        <v>586</v>
      </c>
      <c r="D1055" s="31">
        <f t="shared" si="251"/>
        <v>4423303.57</v>
      </c>
      <c r="E1055" s="31">
        <v>0</v>
      </c>
      <c r="F1055" s="31">
        <v>0</v>
      </c>
      <c r="G1055" s="31">
        <v>0</v>
      </c>
      <c r="H1055" s="31">
        <v>0</v>
      </c>
      <c r="I1055" s="31">
        <v>0</v>
      </c>
      <c r="J1055" s="31">
        <v>0</v>
      </c>
      <c r="K1055" s="67">
        <v>0</v>
      </c>
      <c r="L1055" s="31">
        <v>0</v>
      </c>
      <c r="M1055" s="31">
        <v>971</v>
      </c>
      <c r="N1055" s="31">
        <v>4259412.38</v>
      </c>
      <c r="O1055" s="31">
        <v>0</v>
      </c>
      <c r="P1055" s="31">
        <v>0</v>
      </c>
      <c r="Q1055" s="31">
        <v>0</v>
      </c>
      <c r="R1055" s="31">
        <v>0</v>
      </c>
      <c r="S1055" s="31">
        <v>0</v>
      </c>
      <c r="T1055" s="31">
        <v>0</v>
      </c>
      <c r="U1055" s="31">
        <v>0</v>
      </c>
      <c r="V1055" s="31">
        <v>0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63891.19</v>
      </c>
      <c r="AD1055" s="31">
        <v>100000</v>
      </c>
      <c r="AE1055" s="31">
        <v>0</v>
      </c>
      <c r="AF1055" s="33">
        <v>2022</v>
      </c>
      <c r="AG1055" s="33">
        <v>2022</v>
      </c>
      <c r="AH1055" s="34">
        <v>2022</v>
      </c>
      <c r="AT1055" s="20" t="e">
        <f t="shared" si="252"/>
        <v>#N/A</v>
      </c>
      <c r="BZ1055" s="64"/>
    </row>
    <row r="1056" spans="1:78" ht="61.5" x14ac:dyDescent="0.85">
      <c r="A1056" s="20">
        <v>1</v>
      </c>
      <c r="B1056" s="60">
        <f>SUBTOTAL(103,$A$1036:A1056)</f>
        <v>21</v>
      </c>
      <c r="C1056" s="24" t="s">
        <v>588</v>
      </c>
      <c r="D1056" s="31">
        <f t="shared" si="251"/>
        <v>3999114.33</v>
      </c>
      <c r="E1056" s="31">
        <v>0</v>
      </c>
      <c r="F1056" s="31">
        <v>0</v>
      </c>
      <c r="G1056" s="31">
        <v>0</v>
      </c>
      <c r="H1056" s="31">
        <v>0</v>
      </c>
      <c r="I1056" s="31">
        <v>0</v>
      </c>
      <c r="J1056" s="31">
        <v>0</v>
      </c>
      <c r="K1056" s="67">
        <v>0</v>
      </c>
      <c r="L1056" s="31">
        <v>0</v>
      </c>
      <c r="M1056" s="31">
        <v>844</v>
      </c>
      <c r="N1056" s="31">
        <v>3841491.95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57622.38</v>
      </c>
      <c r="AD1056" s="31">
        <v>100000</v>
      </c>
      <c r="AE1056" s="31">
        <v>0</v>
      </c>
      <c r="AF1056" s="33">
        <v>2022</v>
      </c>
      <c r="AG1056" s="33">
        <v>2022</v>
      </c>
      <c r="AH1056" s="34">
        <v>2022</v>
      </c>
      <c r="AT1056" s="20" t="e">
        <f t="shared" si="252"/>
        <v>#N/A</v>
      </c>
      <c r="BZ1056" s="64"/>
    </row>
    <row r="1057" spans="1:78" ht="61.5" x14ac:dyDescent="0.85">
      <c r="A1057" s="20">
        <v>1</v>
      </c>
      <c r="B1057" s="60">
        <f>SUBTOTAL(103,$A$1036:A1057)</f>
        <v>22</v>
      </c>
      <c r="C1057" s="24" t="s">
        <v>1630</v>
      </c>
      <c r="D1057" s="31">
        <f t="shared" si="251"/>
        <v>4474650</v>
      </c>
      <c r="E1057" s="31">
        <v>0</v>
      </c>
      <c r="F1057" s="31">
        <v>0</v>
      </c>
      <c r="G1057" s="31">
        <v>0</v>
      </c>
      <c r="H1057" s="31">
        <v>0</v>
      </c>
      <c r="I1057" s="31">
        <v>0</v>
      </c>
      <c r="J1057" s="31">
        <v>0</v>
      </c>
      <c r="K1057" s="67">
        <v>0</v>
      </c>
      <c r="L1057" s="31">
        <v>0</v>
      </c>
      <c r="M1057" s="31">
        <v>960</v>
      </c>
      <c r="N1057" s="31">
        <v>4310000</v>
      </c>
      <c r="O1057" s="31">
        <v>0</v>
      </c>
      <c r="P1057" s="31">
        <v>0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64650</v>
      </c>
      <c r="AD1057" s="31">
        <v>100000</v>
      </c>
      <c r="AE1057" s="31">
        <v>0</v>
      </c>
      <c r="AF1057" s="33">
        <v>2022</v>
      </c>
      <c r="AG1057" s="33">
        <v>2022</v>
      </c>
      <c r="AH1057" s="34">
        <v>2022</v>
      </c>
      <c r="BZ1057" s="64"/>
    </row>
    <row r="1058" spans="1:78" ht="61.5" x14ac:dyDescent="0.85">
      <c r="A1058" s="20">
        <v>1</v>
      </c>
      <c r="B1058" s="60">
        <f>SUBTOTAL(103,$A$1036:A1058)</f>
        <v>23</v>
      </c>
      <c r="C1058" s="24" t="s">
        <v>1631</v>
      </c>
      <c r="D1058" s="31">
        <f t="shared" si="251"/>
        <v>5713232.8199999994</v>
      </c>
      <c r="E1058" s="31">
        <v>0</v>
      </c>
      <c r="F1058" s="31">
        <v>0</v>
      </c>
      <c r="G1058" s="31">
        <v>0</v>
      </c>
      <c r="H1058" s="31">
        <v>0</v>
      </c>
      <c r="I1058" s="31">
        <v>0</v>
      </c>
      <c r="J1058" s="31">
        <v>0</v>
      </c>
      <c r="K1058" s="67">
        <v>0</v>
      </c>
      <c r="L1058" s="31">
        <v>0</v>
      </c>
      <c r="M1058" s="31">
        <v>1075</v>
      </c>
      <c r="N1058" s="31">
        <v>5530278.6399999997</v>
      </c>
      <c r="O1058" s="31">
        <v>0</v>
      </c>
      <c r="P1058" s="31">
        <v>0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82954.179999999993</v>
      </c>
      <c r="AD1058" s="31">
        <v>100000</v>
      </c>
      <c r="AE1058" s="31">
        <v>0</v>
      </c>
      <c r="AF1058" s="33">
        <v>2022</v>
      </c>
      <c r="AG1058" s="33">
        <v>2022</v>
      </c>
      <c r="AH1058" s="34">
        <v>2022</v>
      </c>
      <c r="BZ1058" s="64"/>
    </row>
    <row r="1059" spans="1:78" ht="61.5" x14ac:dyDescent="0.85">
      <c r="A1059" s="20">
        <v>1</v>
      </c>
      <c r="B1059" s="60">
        <f>SUBTOTAL(103,$A$1036:A1059)</f>
        <v>24</v>
      </c>
      <c r="C1059" s="24" t="s">
        <v>589</v>
      </c>
      <c r="D1059" s="31">
        <f t="shared" si="251"/>
        <v>3934609.35</v>
      </c>
      <c r="E1059" s="31">
        <v>0</v>
      </c>
      <c r="F1059" s="31">
        <v>0</v>
      </c>
      <c r="G1059" s="31">
        <v>0</v>
      </c>
      <c r="H1059" s="31">
        <v>0</v>
      </c>
      <c r="I1059" s="31">
        <v>0</v>
      </c>
      <c r="J1059" s="31">
        <v>0</v>
      </c>
      <c r="K1059" s="67">
        <v>0</v>
      </c>
      <c r="L1059" s="31">
        <v>0</v>
      </c>
      <c r="M1059" s="31">
        <v>832</v>
      </c>
      <c r="N1059" s="31">
        <v>3777940.25</v>
      </c>
      <c r="O1059" s="31">
        <v>0</v>
      </c>
      <c r="P1059" s="31">
        <v>0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56669.1</v>
      </c>
      <c r="AD1059" s="31">
        <v>100000</v>
      </c>
      <c r="AE1059" s="31">
        <v>0</v>
      </c>
      <c r="AF1059" s="33">
        <v>2022</v>
      </c>
      <c r="AG1059" s="33">
        <v>2022</v>
      </c>
      <c r="AH1059" s="34">
        <v>2022</v>
      </c>
      <c r="AT1059" s="20" t="e">
        <f t="shared" ref="AT1059:AT1072" si="253">VLOOKUP(C1059,AW:AX,2,FALSE)</f>
        <v>#N/A</v>
      </c>
      <c r="BZ1059" s="64"/>
    </row>
    <row r="1060" spans="1:78" ht="61.5" x14ac:dyDescent="0.85">
      <c r="A1060" s="20">
        <v>1</v>
      </c>
      <c r="B1060" s="60">
        <f>SUBTOTAL(103,$A$1036:A1060)</f>
        <v>25</v>
      </c>
      <c r="C1060" s="24" t="s">
        <v>591</v>
      </c>
      <c r="D1060" s="31">
        <f t="shared" si="251"/>
        <v>6697616.7399999993</v>
      </c>
      <c r="E1060" s="31">
        <v>0</v>
      </c>
      <c r="F1060" s="31">
        <v>0</v>
      </c>
      <c r="G1060" s="31">
        <v>0</v>
      </c>
      <c r="H1060" s="31">
        <v>0</v>
      </c>
      <c r="I1060" s="31">
        <v>0</v>
      </c>
      <c r="J1060" s="31">
        <v>0</v>
      </c>
      <c r="K1060" s="67">
        <v>0</v>
      </c>
      <c r="L1060" s="31">
        <v>0</v>
      </c>
      <c r="M1060" s="31">
        <v>1447</v>
      </c>
      <c r="N1060" s="31">
        <v>6498637.1799999997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0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98979.56</v>
      </c>
      <c r="AD1060" s="31">
        <v>100000</v>
      </c>
      <c r="AE1060" s="31">
        <v>0</v>
      </c>
      <c r="AF1060" s="33">
        <v>2022</v>
      </c>
      <c r="AG1060" s="33">
        <v>2022</v>
      </c>
      <c r="AH1060" s="34">
        <v>2022</v>
      </c>
      <c r="AT1060" s="20" t="e">
        <f t="shared" si="253"/>
        <v>#N/A</v>
      </c>
      <c r="BZ1060" s="64"/>
    </row>
    <row r="1061" spans="1:78" ht="61.5" x14ac:dyDescent="0.85">
      <c r="A1061" s="20">
        <v>1</v>
      </c>
      <c r="B1061" s="60">
        <f>SUBTOTAL(103,$A$1036:A1061)</f>
        <v>26</v>
      </c>
      <c r="C1061" s="24" t="s">
        <v>592</v>
      </c>
      <c r="D1061" s="31">
        <f t="shared" si="251"/>
        <v>5263885</v>
      </c>
      <c r="E1061" s="31">
        <v>0</v>
      </c>
      <c r="F1061" s="31">
        <v>0</v>
      </c>
      <c r="G1061" s="31">
        <v>0</v>
      </c>
      <c r="H1061" s="31">
        <v>0</v>
      </c>
      <c r="I1061" s="31">
        <v>0</v>
      </c>
      <c r="J1061" s="31">
        <v>0</v>
      </c>
      <c r="K1061" s="67">
        <v>0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1536</v>
      </c>
      <c r="R1061" s="31">
        <v>5087571.43</v>
      </c>
      <c r="S1061" s="31">
        <v>0</v>
      </c>
      <c r="T1061" s="31">
        <v>0</v>
      </c>
      <c r="U1061" s="31">
        <v>0</v>
      </c>
      <c r="V1061" s="31">
        <v>0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76313.570000000007</v>
      </c>
      <c r="AD1061" s="31">
        <v>100000</v>
      </c>
      <c r="AE1061" s="31">
        <v>0</v>
      </c>
      <c r="AF1061" s="33">
        <v>2022</v>
      </c>
      <c r="AG1061" s="33">
        <v>2022</v>
      </c>
      <c r="AH1061" s="34">
        <v>2022</v>
      </c>
      <c r="AT1061" s="20" t="e">
        <f t="shared" si="253"/>
        <v>#N/A</v>
      </c>
      <c r="BZ1061" s="64"/>
    </row>
    <row r="1062" spans="1:78" ht="61.5" x14ac:dyDescent="0.85">
      <c r="A1062" s="20">
        <v>1</v>
      </c>
      <c r="B1062" s="60">
        <f>SUBTOTAL(103,$A$1036:A1062)</f>
        <v>27</v>
      </c>
      <c r="C1062" s="24" t="s">
        <v>1695</v>
      </c>
      <c r="D1062" s="31">
        <f t="shared" si="251"/>
        <v>4443671.0699999994</v>
      </c>
      <c r="E1062" s="31">
        <v>0</v>
      </c>
      <c r="F1062" s="31">
        <v>0</v>
      </c>
      <c r="G1062" s="31">
        <v>0</v>
      </c>
      <c r="H1062" s="31">
        <v>0</v>
      </c>
      <c r="I1062" s="31">
        <v>0</v>
      </c>
      <c r="J1062" s="31">
        <v>0</v>
      </c>
      <c r="K1062" s="67">
        <v>0</v>
      </c>
      <c r="L1062" s="31">
        <v>0</v>
      </c>
      <c r="M1062" s="31">
        <v>939.1</v>
      </c>
      <c r="N1062" s="31">
        <v>4279478.8899999997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64192.18</v>
      </c>
      <c r="AD1062" s="31">
        <v>100000</v>
      </c>
      <c r="AE1062" s="31">
        <v>0</v>
      </c>
      <c r="AF1062" s="33">
        <v>2022</v>
      </c>
      <c r="AG1062" s="33">
        <v>2022</v>
      </c>
      <c r="AH1062" s="34">
        <v>2022</v>
      </c>
      <c r="AT1062" s="20" t="e">
        <f t="shared" si="253"/>
        <v>#N/A</v>
      </c>
      <c r="BZ1062" s="64"/>
    </row>
    <row r="1063" spans="1:78" ht="61.5" x14ac:dyDescent="0.85">
      <c r="A1063" s="20">
        <v>1</v>
      </c>
      <c r="B1063" s="60">
        <f>SUBTOTAL(103,$A$1036:A1063)</f>
        <v>28</v>
      </c>
      <c r="C1063" s="24" t="s">
        <v>1696</v>
      </c>
      <c r="D1063" s="31">
        <f t="shared" si="251"/>
        <v>3809856.13</v>
      </c>
      <c r="E1063" s="31">
        <v>0</v>
      </c>
      <c r="F1063" s="31">
        <v>0</v>
      </c>
      <c r="G1063" s="31">
        <v>0</v>
      </c>
      <c r="H1063" s="31">
        <v>0</v>
      </c>
      <c r="I1063" s="31">
        <v>0</v>
      </c>
      <c r="J1063" s="31">
        <v>0</v>
      </c>
      <c r="K1063" s="67">
        <v>0</v>
      </c>
      <c r="L1063" s="31">
        <v>0</v>
      </c>
      <c r="M1063" s="31">
        <v>588</v>
      </c>
      <c r="N1063" s="31">
        <v>3655018.83</v>
      </c>
      <c r="O1063" s="31">
        <v>0</v>
      </c>
      <c r="P1063" s="31">
        <v>0</v>
      </c>
      <c r="Q1063" s="31">
        <v>0</v>
      </c>
      <c r="R1063" s="31">
        <v>0</v>
      </c>
      <c r="S1063" s="31">
        <v>0</v>
      </c>
      <c r="T1063" s="31">
        <v>0</v>
      </c>
      <c r="U1063" s="31">
        <v>0</v>
      </c>
      <c r="V1063" s="31">
        <v>0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54837.3</v>
      </c>
      <c r="AD1063" s="31">
        <v>100000</v>
      </c>
      <c r="AE1063" s="31">
        <v>0</v>
      </c>
      <c r="AF1063" s="33">
        <v>2022</v>
      </c>
      <c r="AG1063" s="33">
        <v>2022</v>
      </c>
      <c r="AH1063" s="34">
        <v>2022</v>
      </c>
      <c r="AT1063" s="20" t="e">
        <f t="shared" si="253"/>
        <v>#N/A</v>
      </c>
      <c r="BZ1063" s="64"/>
    </row>
    <row r="1064" spans="1:78" ht="61.5" x14ac:dyDescent="0.85">
      <c r="A1064" s="20">
        <v>1</v>
      </c>
      <c r="B1064" s="60">
        <f>SUBTOTAL(103,$A$1036:A1064)</f>
        <v>29</v>
      </c>
      <c r="C1064" s="24" t="s">
        <v>593</v>
      </c>
      <c r="D1064" s="31">
        <f t="shared" si="251"/>
        <v>4940291.25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67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1425</v>
      </c>
      <c r="R1064" s="31">
        <v>4749055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71236</v>
      </c>
      <c r="AD1064" s="31">
        <v>120000.25</v>
      </c>
      <c r="AE1064" s="31">
        <v>0</v>
      </c>
      <c r="AF1064" s="33">
        <v>2022</v>
      </c>
      <c r="AG1064" s="33">
        <v>2022</v>
      </c>
      <c r="AH1064" s="34">
        <v>2022</v>
      </c>
      <c r="AT1064" s="20" t="e">
        <f t="shared" si="253"/>
        <v>#N/A</v>
      </c>
      <c r="BZ1064" s="64"/>
    </row>
    <row r="1065" spans="1:78" ht="61.5" x14ac:dyDescent="0.85">
      <c r="A1065" s="20">
        <v>1</v>
      </c>
      <c r="B1065" s="60">
        <f>SUBTOTAL(103,$A$1036:A1065)</f>
        <v>30</v>
      </c>
      <c r="C1065" s="24" t="s">
        <v>595</v>
      </c>
      <c r="D1065" s="31">
        <f t="shared" si="251"/>
        <v>2089100.53</v>
      </c>
      <c r="E1065" s="31">
        <v>0</v>
      </c>
      <c r="F1065" s="31">
        <v>0</v>
      </c>
      <c r="G1065" s="31">
        <v>0</v>
      </c>
      <c r="H1065" s="31">
        <v>0</v>
      </c>
      <c r="I1065" s="31">
        <v>0</v>
      </c>
      <c r="J1065" s="31">
        <v>0</v>
      </c>
      <c r="K1065" s="67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400</v>
      </c>
      <c r="R1065" s="31">
        <v>1959704.96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0</v>
      </c>
      <c r="AC1065" s="31">
        <v>29395.57</v>
      </c>
      <c r="AD1065" s="31">
        <v>100000</v>
      </c>
      <c r="AE1065" s="31">
        <v>0</v>
      </c>
      <c r="AF1065" s="33">
        <v>2022</v>
      </c>
      <c r="AG1065" s="33">
        <v>2022</v>
      </c>
      <c r="AH1065" s="34">
        <v>2022</v>
      </c>
      <c r="AT1065" s="20" t="e">
        <f t="shared" si="253"/>
        <v>#N/A</v>
      </c>
      <c r="BZ1065" s="64"/>
    </row>
    <row r="1066" spans="1:78" ht="61.5" x14ac:dyDescent="0.85">
      <c r="A1066" s="20">
        <v>1</v>
      </c>
      <c r="B1066" s="60">
        <f>SUBTOTAL(103,$A$1036:A1066)</f>
        <v>31</v>
      </c>
      <c r="C1066" s="24" t="s">
        <v>596</v>
      </c>
      <c r="D1066" s="31">
        <f t="shared" si="251"/>
        <v>4372967.33</v>
      </c>
      <c r="E1066" s="31">
        <v>0</v>
      </c>
      <c r="F1066" s="31">
        <v>0</v>
      </c>
      <c r="G1066" s="31">
        <v>0</v>
      </c>
      <c r="H1066" s="31">
        <v>0</v>
      </c>
      <c r="I1066" s="31">
        <v>0</v>
      </c>
      <c r="J1066" s="31">
        <v>0</v>
      </c>
      <c r="K1066" s="67">
        <v>0</v>
      </c>
      <c r="L1066" s="31">
        <v>0</v>
      </c>
      <c r="M1066" s="31">
        <v>960</v>
      </c>
      <c r="N1066" s="31">
        <v>4209820.03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31">
        <v>0</v>
      </c>
      <c r="X1066" s="31">
        <v>0</v>
      </c>
      <c r="Y1066" s="31">
        <v>0</v>
      </c>
      <c r="Z1066" s="31">
        <v>0</v>
      </c>
      <c r="AA1066" s="31">
        <v>0</v>
      </c>
      <c r="AB1066" s="31">
        <v>0</v>
      </c>
      <c r="AC1066" s="31">
        <v>63147.3</v>
      </c>
      <c r="AD1066" s="31">
        <v>100000</v>
      </c>
      <c r="AE1066" s="31">
        <v>0</v>
      </c>
      <c r="AF1066" s="33">
        <v>2022</v>
      </c>
      <c r="AG1066" s="33">
        <v>2022</v>
      </c>
      <c r="AH1066" s="34">
        <v>2022</v>
      </c>
      <c r="AT1066" s="20" t="e">
        <f t="shared" si="253"/>
        <v>#N/A</v>
      </c>
      <c r="BZ1066" s="64"/>
    </row>
    <row r="1067" spans="1:78" ht="61.5" x14ac:dyDescent="0.85">
      <c r="A1067" s="20">
        <v>1</v>
      </c>
      <c r="B1067" s="60">
        <f>SUBTOTAL(103,$A$1036:A1067)</f>
        <v>32</v>
      </c>
      <c r="C1067" s="24" t="s">
        <v>597</v>
      </c>
      <c r="D1067" s="31">
        <f t="shared" si="251"/>
        <v>4372967.33</v>
      </c>
      <c r="E1067" s="31">
        <v>0</v>
      </c>
      <c r="F1067" s="31">
        <v>0</v>
      </c>
      <c r="G1067" s="31">
        <v>0</v>
      </c>
      <c r="H1067" s="31">
        <v>0</v>
      </c>
      <c r="I1067" s="31">
        <v>0</v>
      </c>
      <c r="J1067" s="31">
        <v>0</v>
      </c>
      <c r="K1067" s="67">
        <v>0</v>
      </c>
      <c r="L1067" s="31">
        <v>0</v>
      </c>
      <c r="M1067" s="31">
        <v>960</v>
      </c>
      <c r="N1067" s="31">
        <v>4209820.03</v>
      </c>
      <c r="O1067" s="31">
        <v>0</v>
      </c>
      <c r="P1067" s="31">
        <v>0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31">
        <v>0</v>
      </c>
      <c r="X1067" s="31">
        <v>0</v>
      </c>
      <c r="Y1067" s="31">
        <v>0</v>
      </c>
      <c r="Z1067" s="31">
        <v>0</v>
      </c>
      <c r="AA1067" s="31">
        <v>0</v>
      </c>
      <c r="AB1067" s="31">
        <v>0</v>
      </c>
      <c r="AC1067" s="31">
        <v>63147.3</v>
      </c>
      <c r="AD1067" s="31">
        <v>100000</v>
      </c>
      <c r="AE1067" s="31">
        <v>0</v>
      </c>
      <c r="AF1067" s="33">
        <v>2022</v>
      </c>
      <c r="AG1067" s="33">
        <v>2022</v>
      </c>
      <c r="AH1067" s="34">
        <v>2022</v>
      </c>
      <c r="AT1067" s="20" t="e">
        <f t="shared" si="253"/>
        <v>#N/A</v>
      </c>
      <c r="BZ1067" s="64"/>
    </row>
    <row r="1068" spans="1:78" ht="61.5" x14ac:dyDescent="0.85">
      <c r="A1068" s="20">
        <v>1</v>
      </c>
      <c r="B1068" s="60">
        <f>SUBTOTAL(103,$A$1036:A1068)</f>
        <v>33</v>
      </c>
      <c r="C1068" s="24" t="s">
        <v>598</v>
      </c>
      <c r="D1068" s="31">
        <f t="shared" si="251"/>
        <v>1733943.5899999999</v>
      </c>
      <c r="E1068" s="31">
        <v>0</v>
      </c>
      <c r="F1068" s="31">
        <v>0</v>
      </c>
      <c r="G1068" s="31">
        <v>0</v>
      </c>
      <c r="H1068" s="31">
        <v>0</v>
      </c>
      <c r="I1068" s="31">
        <v>0</v>
      </c>
      <c r="J1068" s="31">
        <v>0</v>
      </c>
      <c r="K1068" s="67">
        <v>0</v>
      </c>
      <c r="L1068" s="31">
        <v>0</v>
      </c>
      <c r="M1068" s="31">
        <v>364.8</v>
      </c>
      <c r="N1068" s="31">
        <v>1609796.64</v>
      </c>
      <c r="O1068" s="31">
        <v>0</v>
      </c>
      <c r="P1068" s="31">
        <v>0</v>
      </c>
      <c r="Q1068" s="31">
        <v>0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31">
        <v>0</v>
      </c>
      <c r="X1068" s="31">
        <v>0</v>
      </c>
      <c r="Y1068" s="31">
        <v>0</v>
      </c>
      <c r="Z1068" s="31">
        <v>0</v>
      </c>
      <c r="AA1068" s="31">
        <v>0</v>
      </c>
      <c r="AB1068" s="31">
        <v>0</v>
      </c>
      <c r="AC1068" s="31">
        <v>24146.95</v>
      </c>
      <c r="AD1068" s="31">
        <v>100000</v>
      </c>
      <c r="AE1068" s="31">
        <v>0</v>
      </c>
      <c r="AF1068" s="33">
        <v>2022</v>
      </c>
      <c r="AG1068" s="33">
        <v>2022</v>
      </c>
      <c r="AH1068" s="34">
        <v>2022</v>
      </c>
      <c r="AT1068" s="20" t="e">
        <f t="shared" si="253"/>
        <v>#N/A</v>
      </c>
      <c r="BZ1068" s="64"/>
    </row>
    <row r="1069" spans="1:78" ht="61.5" x14ac:dyDescent="0.85">
      <c r="A1069" s="20">
        <v>1</v>
      </c>
      <c r="B1069" s="60">
        <f>SUBTOTAL(103,$A$1036:A1069)</f>
        <v>34</v>
      </c>
      <c r="C1069" s="24" t="s">
        <v>599</v>
      </c>
      <c r="D1069" s="31">
        <f t="shared" si="251"/>
        <v>4372967.33</v>
      </c>
      <c r="E1069" s="31">
        <v>0</v>
      </c>
      <c r="F1069" s="31">
        <v>0</v>
      </c>
      <c r="G1069" s="31">
        <v>0</v>
      </c>
      <c r="H1069" s="31">
        <v>0</v>
      </c>
      <c r="I1069" s="31">
        <v>0</v>
      </c>
      <c r="J1069" s="31">
        <v>0</v>
      </c>
      <c r="K1069" s="67">
        <v>0</v>
      </c>
      <c r="L1069" s="31">
        <v>0</v>
      </c>
      <c r="M1069" s="31">
        <v>960</v>
      </c>
      <c r="N1069" s="31">
        <v>4209820.03</v>
      </c>
      <c r="O1069" s="31">
        <v>0</v>
      </c>
      <c r="P1069" s="31">
        <v>0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  <c r="AA1069" s="31">
        <v>0</v>
      </c>
      <c r="AB1069" s="31">
        <v>0</v>
      </c>
      <c r="AC1069" s="31">
        <v>63147.3</v>
      </c>
      <c r="AD1069" s="31">
        <v>100000</v>
      </c>
      <c r="AE1069" s="31">
        <v>0</v>
      </c>
      <c r="AF1069" s="33">
        <v>2022</v>
      </c>
      <c r="AG1069" s="33">
        <v>2022</v>
      </c>
      <c r="AH1069" s="34">
        <v>2022</v>
      </c>
      <c r="AT1069" s="20" t="e">
        <f t="shared" si="253"/>
        <v>#N/A</v>
      </c>
      <c r="BZ1069" s="64"/>
    </row>
    <row r="1070" spans="1:78" ht="61.5" x14ac:dyDescent="0.85">
      <c r="A1070" s="20">
        <v>1</v>
      </c>
      <c r="B1070" s="60">
        <f>SUBTOTAL(103,$A$1036:A1070)</f>
        <v>35</v>
      </c>
      <c r="C1070" s="24" t="s">
        <v>600</v>
      </c>
      <c r="D1070" s="31">
        <f t="shared" si="251"/>
        <v>3164601.1799999997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67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1670</v>
      </c>
      <c r="R1070" s="31">
        <v>3019311.51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45289.67</v>
      </c>
      <c r="AD1070" s="31">
        <v>100000</v>
      </c>
      <c r="AE1070" s="31">
        <v>0</v>
      </c>
      <c r="AF1070" s="33">
        <v>2022</v>
      </c>
      <c r="AG1070" s="33">
        <v>2022</v>
      </c>
      <c r="AH1070" s="34">
        <v>2022</v>
      </c>
      <c r="AT1070" s="20" t="e">
        <f t="shared" si="253"/>
        <v>#N/A</v>
      </c>
      <c r="BZ1070" s="64"/>
    </row>
    <row r="1071" spans="1:78" ht="61.5" x14ac:dyDescent="0.85">
      <c r="A1071" s="20">
        <v>1</v>
      </c>
      <c r="B1071" s="60">
        <f>SUBTOTAL(103,$A$1036:A1071)</f>
        <v>36</v>
      </c>
      <c r="C1071" s="24" t="s">
        <v>601</v>
      </c>
      <c r="D1071" s="31">
        <f t="shared" si="251"/>
        <v>1146986.94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67">
        <v>0</v>
      </c>
      <c r="L1071" s="31">
        <v>0</v>
      </c>
      <c r="M1071" s="31">
        <v>235</v>
      </c>
      <c r="N1071" s="31">
        <v>1031514.23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15472.71</v>
      </c>
      <c r="AD1071" s="31">
        <v>100000</v>
      </c>
      <c r="AE1071" s="31">
        <v>0</v>
      </c>
      <c r="AF1071" s="33">
        <v>2022</v>
      </c>
      <c r="AG1071" s="33">
        <v>2022</v>
      </c>
      <c r="AH1071" s="34">
        <v>2022</v>
      </c>
      <c r="AT1071" s="20" t="e">
        <f t="shared" si="253"/>
        <v>#N/A</v>
      </c>
      <c r="BZ1071" s="64"/>
    </row>
    <row r="1072" spans="1:78" ht="61.5" x14ac:dyDescent="0.85">
      <c r="A1072" s="20">
        <v>1</v>
      </c>
      <c r="B1072" s="60">
        <f>SUBTOTAL(103,$A$1036:A1072)</f>
        <v>37</v>
      </c>
      <c r="C1072" s="24" t="s">
        <v>602</v>
      </c>
      <c r="D1072" s="31">
        <f t="shared" si="251"/>
        <v>3616149.44</v>
      </c>
      <c r="E1072" s="31">
        <v>0</v>
      </c>
      <c r="F1072" s="31">
        <v>0</v>
      </c>
      <c r="G1072" s="31">
        <v>0</v>
      </c>
      <c r="H1072" s="31">
        <v>0</v>
      </c>
      <c r="I1072" s="31">
        <v>0</v>
      </c>
      <c r="J1072" s="31">
        <v>0</v>
      </c>
      <c r="K1072" s="67">
        <v>0</v>
      </c>
      <c r="L1072" s="31">
        <v>0</v>
      </c>
      <c r="M1072" s="31">
        <v>765</v>
      </c>
      <c r="N1072" s="31">
        <v>3464186.64</v>
      </c>
      <c r="O1072" s="31">
        <v>0</v>
      </c>
      <c r="P1072" s="31">
        <v>0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0</v>
      </c>
      <c r="AC1072" s="31">
        <v>51962.8</v>
      </c>
      <c r="AD1072" s="31">
        <v>100000</v>
      </c>
      <c r="AE1072" s="31">
        <v>0</v>
      </c>
      <c r="AF1072" s="33">
        <v>2022</v>
      </c>
      <c r="AG1072" s="33">
        <v>2022</v>
      </c>
      <c r="AH1072" s="34">
        <v>2022</v>
      </c>
      <c r="AT1072" s="20" t="e">
        <f t="shared" si="253"/>
        <v>#N/A</v>
      </c>
      <c r="BZ1072" s="64"/>
    </row>
    <row r="1073" spans="1:82" ht="61.5" x14ac:dyDescent="0.85">
      <c r="A1073" s="20">
        <v>1</v>
      </c>
      <c r="B1073" s="60">
        <f>SUBTOTAL(103,$A$1036:A1073)</f>
        <v>38</v>
      </c>
      <c r="C1073" s="24" t="s">
        <v>1379</v>
      </c>
      <c r="D1073" s="31">
        <f t="shared" si="251"/>
        <v>8004176.46</v>
      </c>
      <c r="E1073" s="31">
        <v>0</v>
      </c>
      <c r="F1073" s="31">
        <v>0</v>
      </c>
      <c r="G1073" s="31">
        <v>0</v>
      </c>
      <c r="H1073" s="31">
        <v>0</v>
      </c>
      <c r="I1073" s="31">
        <v>0</v>
      </c>
      <c r="J1073" s="31">
        <v>0</v>
      </c>
      <c r="K1073" s="67">
        <v>0</v>
      </c>
      <c r="L1073" s="31">
        <v>0</v>
      </c>
      <c r="M1073" s="31">
        <v>2314</v>
      </c>
      <c r="N1073" s="31">
        <v>7724464.79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  <c r="AC1073" s="31">
        <v>115866.97</v>
      </c>
      <c r="AD1073" s="31">
        <v>163844.70000000001</v>
      </c>
      <c r="AE1073" s="31">
        <v>0</v>
      </c>
      <c r="AF1073" s="33">
        <v>2022</v>
      </c>
      <c r="AG1073" s="33">
        <v>2022</v>
      </c>
      <c r="AH1073" s="34">
        <v>2022</v>
      </c>
      <c r="BZ1073" s="64"/>
    </row>
    <row r="1074" spans="1:82" ht="61.5" x14ac:dyDescent="0.85">
      <c r="A1074" s="20">
        <v>1</v>
      </c>
      <c r="B1074" s="60">
        <f>SUBTOTAL(103,$A$1036:A1074)</f>
        <v>39</v>
      </c>
      <c r="C1074" s="24" t="s">
        <v>1632</v>
      </c>
      <c r="D1074" s="31">
        <f t="shared" si="251"/>
        <v>5986250</v>
      </c>
      <c r="E1074" s="31">
        <v>0</v>
      </c>
      <c r="F1074" s="31">
        <v>0</v>
      </c>
      <c r="G1074" s="31">
        <v>0</v>
      </c>
      <c r="H1074" s="31">
        <v>0</v>
      </c>
      <c r="I1074" s="31">
        <v>0</v>
      </c>
      <c r="J1074" s="31">
        <v>0</v>
      </c>
      <c r="K1074" s="67">
        <v>0</v>
      </c>
      <c r="L1074" s="31">
        <v>0</v>
      </c>
      <c r="M1074" s="31">
        <v>1196</v>
      </c>
      <c r="N1074" s="31">
        <v>5750000</v>
      </c>
      <c r="O1074" s="31">
        <v>0</v>
      </c>
      <c r="P1074" s="31">
        <v>0</v>
      </c>
      <c r="Q1074" s="31">
        <v>0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31">
        <v>0</v>
      </c>
      <c r="X1074" s="31">
        <v>0</v>
      </c>
      <c r="Y1074" s="31">
        <v>0</v>
      </c>
      <c r="Z1074" s="31">
        <v>0</v>
      </c>
      <c r="AA1074" s="31">
        <v>0</v>
      </c>
      <c r="AB1074" s="31">
        <v>0</v>
      </c>
      <c r="AC1074" s="31">
        <v>86250</v>
      </c>
      <c r="AD1074" s="31">
        <v>150000</v>
      </c>
      <c r="AE1074" s="31">
        <v>0</v>
      </c>
      <c r="AF1074" s="33">
        <v>2022</v>
      </c>
      <c r="AG1074" s="33">
        <v>2022</v>
      </c>
      <c r="AH1074" s="34">
        <v>2022</v>
      </c>
      <c r="BZ1074" s="64"/>
    </row>
    <row r="1075" spans="1:82" ht="61.5" x14ac:dyDescent="0.85">
      <c r="A1075" s="20">
        <v>1</v>
      </c>
      <c r="B1075" s="60">
        <f>SUBTOTAL(103,$A$1036:A1075)</f>
        <v>40</v>
      </c>
      <c r="C1075" s="24" t="s">
        <v>1615</v>
      </c>
      <c r="D1075" s="31">
        <f t="shared" si="251"/>
        <v>7471186.2199999997</v>
      </c>
      <c r="E1075" s="31">
        <v>0</v>
      </c>
      <c r="F1075" s="31">
        <v>0</v>
      </c>
      <c r="G1075" s="31">
        <v>0</v>
      </c>
      <c r="H1075" s="31">
        <v>0</v>
      </c>
      <c r="I1075" s="31">
        <v>0</v>
      </c>
      <c r="J1075" s="31">
        <v>0</v>
      </c>
      <c r="K1075" s="67">
        <v>0</v>
      </c>
      <c r="L1075" s="31">
        <v>0</v>
      </c>
      <c r="M1075" s="31">
        <v>1626.8</v>
      </c>
      <c r="N1075" s="31">
        <v>7262252.4299999997</v>
      </c>
      <c r="O1075" s="31">
        <v>0</v>
      </c>
      <c r="P1075" s="31">
        <v>0</v>
      </c>
      <c r="Q1075" s="31">
        <v>0</v>
      </c>
      <c r="R1075" s="31">
        <v>0</v>
      </c>
      <c r="S1075" s="31">
        <v>0</v>
      </c>
      <c r="T1075" s="31">
        <v>0</v>
      </c>
      <c r="U1075" s="31">
        <v>0</v>
      </c>
      <c r="V1075" s="31">
        <v>0</v>
      </c>
      <c r="W1075" s="31">
        <v>0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  <c r="AC1075" s="31">
        <v>108933.79</v>
      </c>
      <c r="AD1075" s="31">
        <v>100000</v>
      </c>
      <c r="AE1075" s="31">
        <v>0</v>
      </c>
      <c r="AF1075" s="33">
        <v>2022</v>
      </c>
      <c r="AG1075" s="33">
        <v>2022</v>
      </c>
      <c r="AH1075" s="34">
        <v>2022</v>
      </c>
      <c r="BZ1075" s="64"/>
    </row>
    <row r="1076" spans="1:82" ht="61.5" x14ac:dyDescent="0.85">
      <c r="A1076" s="20">
        <v>1</v>
      </c>
      <c r="B1076" s="60">
        <f>SUBTOTAL(103,$A$1036:A1076)</f>
        <v>41</v>
      </c>
      <c r="C1076" s="24" t="s">
        <v>604</v>
      </c>
      <c r="D1076" s="31">
        <f t="shared" si="251"/>
        <v>3650462.6100000003</v>
      </c>
      <c r="E1076" s="31">
        <v>0</v>
      </c>
      <c r="F1076" s="31">
        <v>0</v>
      </c>
      <c r="G1076" s="31">
        <v>0</v>
      </c>
      <c r="H1076" s="31">
        <v>0</v>
      </c>
      <c r="I1076" s="31">
        <v>0</v>
      </c>
      <c r="J1076" s="31">
        <v>0</v>
      </c>
      <c r="K1076" s="67">
        <v>0</v>
      </c>
      <c r="L1076" s="31">
        <v>0</v>
      </c>
      <c r="M1076" s="31">
        <v>807.01</v>
      </c>
      <c r="N1076" s="31">
        <v>3497992.72</v>
      </c>
      <c r="O1076" s="31">
        <v>0</v>
      </c>
      <c r="P1076" s="31">
        <v>0</v>
      </c>
      <c r="Q1076" s="31">
        <v>0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  <c r="AC1076" s="31">
        <v>52469.89</v>
      </c>
      <c r="AD1076" s="31">
        <v>100000</v>
      </c>
      <c r="AE1076" s="31">
        <v>0</v>
      </c>
      <c r="AF1076" s="33">
        <v>2022</v>
      </c>
      <c r="AG1076" s="33">
        <v>2022</v>
      </c>
      <c r="AH1076" s="34">
        <v>2022</v>
      </c>
      <c r="AT1076" s="20" t="e">
        <f t="shared" ref="AT1076:AT1084" si="254">VLOOKUP(C1076,AW:AX,2,FALSE)</f>
        <v>#N/A</v>
      </c>
      <c r="BZ1076" s="64"/>
    </row>
    <row r="1077" spans="1:82" ht="61.5" x14ac:dyDescent="0.85">
      <c r="A1077" s="20">
        <v>1</v>
      </c>
      <c r="B1077" s="60">
        <f>SUBTOTAL(103,$A$1036:A1077)</f>
        <v>42</v>
      </c>
      <c r="C1077" s="24" t="s">
        <v>605</v>
      </c>
      <c r="D1077" s="31">
        <f t="shared" si="251"/>
        <v>4365711.66</v>
      </c>
      <c r="E1077" s="31">
        <v>0</v>
      </c>
      <c r="F1077" s="31">
        <v>0</v>
      </c>
      <c r="G1077" s="31">
        <v>0</v>
      </c>
      <c r="H1077" s="31">
        <v>0</v>
      </c>
      <c r="I1077" s="31">
        <v>0</v>
      </c>
      <c r="J1077" s="31">
        <v>0</v>
      </c>
      <c r="K1077" s="67">
        <v>0</v>
      </c>
      <c r="L1077" s="31">
        <v>0</v>
      </c>
      <c r="M1077" s="31">
        <v>975</v>
      </c>
      <c r="N1077" s="31">
        <v>4202671.59</v>
      </c>
      <c r="O1077" s="31">
        <v>0</v>
      </c>
      <c r="P1077" s="31">
        <v>0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31">
        <v>0</v>
      </c>
      <c r="X1077" s="31">
        <v>0</v>
      </c>
      <c r="Y1077" s="31">
        <v>0</v>
      </c>
      <c r="Z1077" s="31">
        <v>0</v>
      </c>
      <c r="AA1077" s="31">
        <v>0</v>
      </c>
      <c r="AB1077" s="31">
        <v>0</v>
      </c>
      <c r="AC1077" s="31">
        <v>63040.07</v>
      </c>
      <c r="AD1077" s="31">
        <v>100000</v>
      </c>
      <c r="AE1077" s="31">
        <v>0</v>
      </c>
      <c r="AF1077" s="33">
        <v>2022</v>
      </c>
      <c r="AG1077" s="33">
        <v>2022</v>
      </c>
      <c r="AH1077" s="34">
        <v>2022</v>
      </c>
      <c r="AT1077" s="20" t="e">
        <f t="shared" si="254"/>
        <v>#N/A</v>
      </c>
      <c r="BZ1077" s="64"/>
    </row>
    <row r="1078" spans="1:82" ht="61.5" x14ac:dyDescent="0.85">
      <c r="A1078" s="20">
        <v>1</v>
      </c>
      <c r="B1078" s="60">
        <f>SUBTOTAL(103,$A$1036:A1078)</f>
        <v>43</v>
      </c>
      <c r="C1078" s="24" t="s">
        <v>606</v>
      </c>
      <c r="D1078" s="31">
        <f t="shared" si="251"/>
        <v>4560834.87</v>
      </c>
      <c r="E1078" s="31">
        <v>0</v>
      </c>
      <c r="F1078" s="31">
        <v>0</v>
      </c>
      <c r="G1078" s="31">
        <v>0</v>
      </c>
      <c r="H1078" s="31">
        <v>0</v>
      </c>
      <c r="I1078" s="31">
        <v>0</v>
      </c>
      <c r="J1078" s="31">
        <v>0</v>
      </c>
      <c r="K1078" s="67">
        <v>0</v>
      </c>
      <c r="L1078" s="31">
        <v>0</v>
      </c>
      <c r="M1078" s="31">
        <v>963.75</v>
      </c>
      <c r="N1078" s="31">
        <v>4394911.2</v>
      </c>
      <c r="O1078" s="31">
        <v>0</v>
      </c>
      <c r="P1078" s="31">
        <v>0</v>
      </c>
      <c r="Q1078" s="31">
        <v>0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31">
        <v>0</v>
      </c>
      <c r="X1078" s="31">
        <v>0</v>
      </c>
      <c r="Y1078" s="31">
        <v>0</v>
      </c>
      <c r="Z1078" s="31">
        <v>0</v>
      </c>
      <c r="AA1078" s="31">
        <v>0</v>
      </c>
      <c r="AB1078" s="31">
        <v>0</v>
      </c>
      <c r="AC1078" s="31">
        <v>65923.67</v>
      </c>
      <c r="AD1078" s="31">
        <v>100000</v>
      </c>
      <c r="AE1078" s="31">
        <v>0</v>
      </c>
      <c r="AF1078" s="33">
        <v>2022</v>
      </c>
      <c r="AG1078" s="33">
        <v>2022</v>
      </c>
      <c r="AH1078" s="34">
        <v>2022</v>
      </c>
      <c r="AT1078" s="20" t="e">
        <f t="shared" si="254"/>
        <v>#N/A</v>
      </c>
      <c r="BZ1078" s="64"/>
    </row>
    <row r="1079" spans="1:82" ht="61.5" x14ac:dyDescent="0.85">
      <c r="A1079" s="20">
        <v>1</v>
      </c>
      <c r="B1079" s="60">
        <f>SUBTOTAL(103,$A$1036:A1079)</f>
        <v>44</v>
      </c>
      <c r="C1079" s="24" t="s">
        <v>1066</v>
      </c>
      <c r="D1079" s="31">
        <f t="shared" si="251"/>
        <v>6400000</v>
      </c>
      <c r="E1079" s="31">
        <v>0</v>
      </c>
      <c r="F1079" s="31">
        <v>0</v>
      </c>
      <c r="G1079" s="31">
        <v>0</v>
      </c>
      <c r="H1079" s="31">
        <v>0</v>
      </c>
      <c r="I1079" s="31">
        <v>0</v>
      </c>
      <c r="J1079" s="31">
        <v>0</v>
      </c>
      <c r="K1079" s="67">
        <v>3</v>
      </c>
      <c r="L1079" s="31">
        <v>6300000</v>
      </c>
      <c r="M1079" s="31">
        <v>0</v>
      </c>
      <c r="N1079" s="31">
        <v>0</v>
      </c>
      <c r="O1079" s="31">
        <v>0</v>
      </c>
      <c r="P1079" s="31">
        <v>0</v>
      </c>
      <c r="Q1079" s="31">
        <v>0</v>
      </c>
      <c r="R1079" s="31">
        <v>0</v>
      </c>
      <c r="S1079" s="31">
        <v>0</v>
      </c>
      <c r="T1079" s="31">
        <v>0</v>
      </c>
      <c r="U1079" s="31">
        <v>0</v>
      </c>
      <c r="V1079" s="31">
        <v>0</v>
      </c>
      <c r="W1079" s="31">
        <v>0</v>
      </c>
      <c r="X1079" s="31">
        <v>0</v>
      </c>
      <c r="Y1079" s="31">
        <v>0</v>
      </c>
      <c r="Z1079" s="31">
        <v>0</v>
      </c>
      <c r="AA1079" s="31">
        <v>0</v>
      </c>
      <c r="AB1079" s="31">
        <v>0</v>
      </c>
      <c r="AC1079" s="31">
        <v>0</v>
      </c>
      <c r="AD1079" s="31">
        <v>100000</v>
      </c>
      <c r="AE1079" s="31">
        <v>0</v>
      </c>
      <c r="AF1079" s="33">
        <v>2022</v>
      </c>
      <c r="AG1079" s="33">
        <v>2022</v>
      </c>
      <c r="AH1079" s="34" t="s">
        <v>268</v>
      </c>
      <c r="AT1079" s="20" t="e">
        <f t="shared" si="254"/>
        <v>#N/A</v>
      </c>
      <c r="BZ1079" s="64"/>
    </row>
    <row r="1080" spans="1:82" ht="61.5" x14ac:dyDescent="0.85">
      <c r="A1080" s="20">
        <v>1</v>
      </c>
      <c r="B1080" s="60">
        <f>SUBTOTAL(103,$A$1036:A1080)</f>
        <v>45</v>
      </c>
      <c r="C1080" s="24" t="s">
        <v>1683</v>
      </c>
      <c r="D1080" s="31">
        <f t="shared" si="251"/>
        <v>5164136.5</v>
      </c>
      <c r="E1080" s="31">
        <v>0</v>
      </c>
      <c r="F1080" s="31">
        <v>0</v>
      </c>
      <c r="G1080" s="31">
        <v>0</v>
      </c>
      <c r="H1080" s="31">
        <v>0</v>
      </c>
      <c r="I1080" s="31">
        <v>0</v>
      </c>
      <c r="J1080" s="31">
        <v>0</v>
      </c>
      <c r="K1080" s="67">
        <v>0</v>
      </c>
      <c r="L1080" s="31">
        <v>0</v>
      </c>
      <c r="M1080" s="31">
        <v>1234</v>
      </c>
      <c r="N1080" s="31">
        <v>4987819.21</v>
      </c>
      <c r="O1080" s="31">
        <v>0</v>
      </c>
      <c r="P1080" s="31">
        <v>0</v>
      </c>
      <c r="Q1080" s="31">
        <v>0</v>
      </c>
      <c r="R1080" s="31">
        <v>0</v>
      </c>
      <c r="S1080" s="31">
        <v>0</v>
      </c>
      <c r="T1080" s="31">
        <v>0</v>
      </c>
      <c r="U1080" s="31">
        <v>0</v>
      </c>
      <c r="V1080" s="31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0</v>
      </c>
      <c r="AB1080" s="31">
        <v>0</v>
      </c>
      <c r="AC1080" s="31">
        <v>74817.289999999994</v>
      </c>
      <c r="AD1080" s="31">
        <v>101500</v>
      </c>
      <c r="AE1080" s="31">
        <v>0</v>
      </c>
      <c r="AF1080" s="33">
        <v>2022</v>
      </c>
      <c r="AG1080" s="33">
        <v>2022</v>
      </c>
      <c r="AH1080" s="34">
        <v>2022</v>
      </c>
      <c r="AT1080" s="20" t="e">
        <f t="shared" si="254"/>
        <v>#N/A</v>
      </c>
      <c r="BZ1080" s="64"/>
    </row>
    <row r="1081" spans="1:82" ht="61.5" x14ac:dyDescent="0.85">
      <c r="A1081" s="20">
        <v>1</v>
      </c>
      <c r="B1081" s="60">
        <f>SUBTOTAL(103,$A$1036:A1081)</f>
        <v>46</v>
      </c>
      <c r="C1081" s="24" t="s">
        <v>1684</v>
      </c>
      <c r="D1081" s="31">
        <f t="shared" si="251"/>
        <v>4900259.8</v>
      </c>
      <c r="E1081" s="31">
        <v>0</v>
      </c>
      <c r="F1081" s="31">
        <v>0</v>
      </c>
      <c r="G1081" s="31">
        <v>0</v>
      </c>
      <c r="H1081" s="31">
        <v>0</v>
      </c>
      <c r="I1081" s="31">
        <v>0</v>
      </c>
      <c r="J1081" s="31">
        <v>0</v>
      </c>
      <c r="K1081" s="67">
        <v>0</v>
      </c>
      <c r="L1081" s="31">
        <v>0</v>
      </c>
      <c r="M1081" s="31">
        <v>1200</v>
      </c>
      <c r="N1081" s="31">
        <v>4729320</v>
      </c>
      <c r="O1081" s="31">
        <v>0</v>
      </c>
      <c r="P1081" s="31">
        <v>0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0</v>
      </c>
      <c r="AC1081" s="31">
        <v>70939.8</v>
      </c>
      <c r="AD1081" s="31">
        <v>100000</v>
      </c>
      <c r="AE1081" s="31">
        <v>0</v>
      </c>
      <c r="AF1081" s="33">
        <v>2022</v>
      </c>
      <c r="AG1081" s="33">
        <v>2022</v>
      </c>
      <c r="AH1081" s="34">
        <v>2022</v>
      </c>
      <c r="AT1081" s="20" t="e">
        <f t="shared" si="254"/>
        <v>#N/A</v>
      </c>
      <c r="BZ1081" s="64"/>
    </row>
    <row r="1082" spans="1:82" ht="61.5" x14ac:dyDescent="0.85">
      <c r="A1082" s="20">
        <v>1</v>
      </c>
      <c r="B1082" s="60">
        <f>SUBTOTAL(103,$A$1036:A1082)</f>
        <v>47</v>
      </c>
      <c r="C1082" s="24" t="s">
        <v>541</v>
      </c>
      <c r="D1082" s="31">
        <f t="shared" si="251"/>
        <v>3229425.65</v>
      </c>
      <c r="E1082" s="31">
        <v>0</v>
      </c>
      <c r="F1082" s="31">
        <v>0</v>
      </c>
      <c r="G1082" s="31">
        <v>0</v>
      </c>
      <c r="H1082" s="31">
        <v>0</v>
      </c>
      <c r="I1082" s="31">
        <v>0</v>
      </c>
      <c r="J1082" s="31">
        <v>0</v>
      </c>
      <c r="K1082" s="67">
        <v>0</v>
      </c>
      <c r="L1082" s="31">
        <v>0</v>
      </c>
      <c r="M1082" s="31">
        <v>650</v>
      </c>
      <c r="N1082" s="31">
        <v>3083177.98</v>
      </c>
      <c r="O1082" s="31">
        <v>0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31">
        <v>0</v>
      </c>
      <c r="V1082" s="31">
        <v>0</v>
      </c>
      <c r="W1082" s="31">
        <v>0</v>
      </c>
      <c r="X1082" s="31">
        <v>0</v>
      </c>
      <c r="Y1082" s="31">
        <v>0</v>
      </c>
      <c r="Z1082" s="31">
        <v>0</v>
      </c>
      <c r="AA1082" s="31">
        <v>0</v>
      </c>
      <c r="AB1082" s="31">
        <v>0</v>
      </c>
      <c r="AC1082" s="31">
        <v>46247.67</v>
      </c>
      <c r="AD1082" s="31">
        <v>100000</v>
      </c>
      <c r="AE1082" s="31">
        <v>0</v>
      </c>
      <c r="AF1082" s="33">
        <v>2022</v>
      </c>
      <c r="AG1082" s="33">
        <v>2022</v>
      </c>
      <c r="AH1082" s="34">
        <v>2022</v>
      </c>
      <c r="AT1082" s="20" t="e">
        <f t="shared" si="254"/>
        <v>#N/A</v>
      </c>
      <c r="BZ1082" s="64"/>
      <c r="CD1082" s="20" t="e">
        <f t="shared" ref="CD1082:CD1103" si="255">VLOOKUP(C1082,CE:CF,2,FALSE)</f>
        <v>#N/A</v>
      </c>
    </row>
    <row r="1083" spans="1:82" ht="61.5" x14ac:dyDescent="0.85">
      <c r="A1083" s="20">
        <v>1</v>
      </c>
      <c r="B1083" s="60">
        <f>SUBTOTAL(103,$A$1036:A1083)</f>
        <v>48</v>
      </c>
      <c r="C1083" s="24" t="s">
        <v>544</v>
      </c>
      <c r="D1083" s="31">
        <f t="shared" si="251"/>
        <v>4517275.3499999996</v>
      </c>
      <c r="E1083" s="31">
        <v>0</v>
      </c>
      <c r="F1083" s="31">
        <v>0</v>
      </c>
      <c r="G1083" s="31">
        <v>0</v>
      </c>
      <c r="H1083" s="31">
        <v>0</v>
      </c>
      <c r="I1083" s="31">
        <v>0</v>
      </c>
      <c r="J1083" s="31">
        <v>0</v>
      </c>
      <c r="K1083" s="67">
        <v>0</v>
      </c>
      <c r="L1083" s="31">
        <v>0</v>
      </c>
      <c r="M1083" s="31">
        <v>980</v>
      </c>
      <c r="N1083" s="31">
        <v>4351995.42</v>
      </c>
      <c r="O1083" s="31">
        <v>0</v>
      </c>
      <c r="P1083" s="31">
        <v>0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31">
        <v>0</v>
      </c>
      <c r="X1083" s="31">
        <v>0</v>
      </c>
      <c r="Y1083" s="31">
        <v>0</v>
      </c>
      <c r="Z1083" s="31">
        <v>0</v>
      </c>
      <c r="AA1083" s="31">
        <v>0</v>
      </c>
      <c r="AB1083" s="31">
        <v>0</v>
      </c>
      <c r="AC1083" s="31">
        <v>65279.93</v>
      </c>
      <c r="AD1083" s="31">
        <v>100000</v>
      </c>
      <c r="AE1083" s="31">
        <v>0</v>
      </c>
      <c r="AF1083" s="33">
        <v>2022</v>
      </c>
      <c r="AG1083" s="33">
        <v>2022</v>
      </c>
      <c r="AH1083" s="34">
        <v>2022</v>
      </c>
      <c r="AT1083" s="20" t="e">
        <f t="shared" si="254"/>
        <v>#N/A</v>
      </c>
      <c r="BZ1083" s="64"/>
      <c r="CD1083" s="20" t="e">
        <f t="shared" si="255"/>
        <v>#N/A</v>
      </c>
    </row>
    <row r="1084" spans="1:82" ht="61.5" x14ac:dyDescent="0.85">
      <c r="A1084" s="20">
        <v>1</v>
      </c>
      <c r="B1084" s="60">
        <f>SUBTOTAL(103,$A$1036:A1084)</f>
        <v>49</v>
      </c>
      <c r="C1084" s="24" t="s">
        <v>528</v>
      </c>
      <c r="D1084" s="31">
        <f t="shared" si="251"/>
        <v>4625631.57</v>
      </c>
      <c r="E1084" s="31">
        <v>0</v>
      </c>
      <c r="F1084" s="31">
        <v>0</v>
      </c>
      <c r="G1084" s="31">
        <v>0</v>
      </c>
      <c r="H1084" s="31">
        <v>0</v>
      </c>
      <c r="I1084" s="31">
        <v>0</v>
      </c>
      <c r="J1084" s="31">
        <v>0</v>
      </c>
      <c r="K1084" s="67">
        <v>0</v>
      </c>
      <c r="L1084" s="31">
        <v>0</v>
      </c>
      <c r="M1084" s="31">
        <v>940</v>
      </c>
      <c r="N1084" s="31">
        <v>4458750.32</v>
      </c>
      <c r="O1084" s="31">
        <v>0</v>
      </c>
      <c r="P1084" s="31">
        <v>0</v>
      </c>
      <c r="Q1084" s="31">
        <v>0</v>
      </c>
      <c r="R1084" s="31">
        <v>0</v>
      </c>
      <c r="S1084" s="31">
        <v>0</v>
      </c>
      <c r="T1084" s="31">
        <v>0</v>
      </c>
      <c r="U1084" s="31">
        <v>0</v>
      </c>
      <c r="V1084" s="31">
        <v>0</v>
      </c>
      <c r="W1084" s="31">
        <v>0</v>
      </c>
      <c r="X1084" s="31">
        <v>0</v>
      </c>
      <c r="Y1084" s="31">
        <v>0</v>
      </c>
      <c r="Z1084" s="31">
        <v>0</v>
      </c>
      <c r="AA1084" s="31">
        <v>0</v>
      </c>
      <c r="AB1084" s="31">
        <v>0</v>
      </c>
      <c r="AC1084" s="31">
        <v>66881.25</v>
      </c>
      <c r="AD1084" s="31">
        <v>100000</v>
      </c>
      <c r="AE1084" s="31">
        <v>0</v>
      </c>
      <c r="AF1084" s="33">
        <v>2022</v>
      </c>
      <c r="AG1084" s="33">
        <v>2022</v>
      </c>
      <c r="AH1084" s="34">
        <v>2022</v>
      </c>
      <c r="AT1084" s="20" t="e">
        <f t="shared" si="254"/>
        <v>#N/A</v>
      </c>
      <c r="BZ1084" s="64"/>
      <c r="CD1084" s="20" t="e">
        <f t="shared" si="255"/>
        <v>#N/A</v>
      </c>
    </row>
    <row r="1085" spans="1:82" ht="61.5" x14ac:dyDescent="0.85">
      <c r="A1085" s="20">
        <v>1</v>
      </c>
      <c r="B1085" s="60">
        <f>SUBTOTAL(103,$A$1036:A1085)</f>
        <v>50</v>
      </c>
      <c r="C1085" s="24" t="s">
        <v>534</v>
      </c>
      <c r="D1085" s="31">
        <f t="shared" si="251"/>
        <v>4642018.24</v>
      </c>
      <c r="E1085" s="31">
        <v>0</v>
      </c>
      <c r="F1085" s="31">
        <v>0</v>
      </c>
      <c r="G1085" s="31">
        <v>0</v>
      </c>
      <c r="H1085" s="31">
        <v>0</v>
      </c>
      <c r="I1085" s="31">
        <v>0</v>
      </c>
      <c r="J1085" s="31">
        <v>0</v>
      </c>
      <c r="K1085" s="67">
        <v>0</v>
      </c>
      <c r="L1085" s="31">
        <v>0</v>
      </c>
      <c r="M1085" s="31">
        <v>980</v>
      </c>
      <c r="N1085" s="31">
        <v>4474894.82</v>
      </c>
      <c r="O1085" s="31">
        <v>0</v>
      </c>
      <c r="P1085" s="31">
        <v>0</v>
      </c>
      <c r="Q1085" s="31">
        <v>0</v>
      </c>
      <c r="R1085" s="31">
        <v>0</v>
      </c>
      <c r="S1085" s="31">
        <v>0</v>
      </c>
      <c r="T1085" s="31">
        <v>0</v>
      </c>
      <c r="U1085" s="31">
        <v>0</v>
      </c>
      <c r="V1085" s="31">
        <v>0</v>
      </c>
      <c r="W1085" s="31">
        <v>0</v>
      </c>
      <c r="X1085" s="31">
        <v>0</v>
      </c>
      <c r="Y1085" s="31">
        <v>0</v>
      </c>
      <c r="Z1085" s="31">
        <v>0</v>
      </c>
      <c r="AA1085" s="31">
        <v>0</v>
      </c>
      <c r="AB1085" s="31">
        <v>0</v>
      </c>
      <c r="AC1085" s="31">
        <v>67123.42</v>
      </c>
      <c r="AD1085" s="31">
        <v>100000</v>
      </c>
      <c r="AE1085" s="31">
        <v>0</v>
      </c>
      <c r="AF1085" s="33">
        <v>2022</v>
      </c>
      <c r="AG1085" s="33">
        <v>2022</v>
      </c>
      <c r="AH1085" s="34">
        <v>2022</v>
      </c>
      <c r="BZ1085" s="64"/>
      <c r="CD1085" s="20" t="e">
        <f t="shared" si="255"/>
        <v>#N/A</v>
      </c>
    </row>
    <row r="1086" spans="1:82" ht="61.5" x14ac:dyDescent="0.85">
      <c r="A1086" s="20">
        <v>1</v>
      </c>
      <c r="B1086" s="60">
        <f>SUBTOTAL(103,$A$1036:A1086)</f>
        <v>51</v>
      </c>
      <c r="C1086" s="24" t="s">
        <v>552</v>
      </c>
      <c r="D1086" s="31">
        <f t="shared" si="251"/>
        <v>4412836.3</v>
      </c>
      <c r="E1086" s="31">
        <v>0</v>
      </c>
      <c r="F1086" s="31">
        <v>0</v>
      </c>
      <c r="G1086" s="31">
        <v>0</v>
      </c>
      <c r="H1086" s="31">
        <v>0</v>
      </c>
      <c r="I1086" s="31">
        <v>0</v>
      </c>
      <c r="J1086" s="31">
        <v>0</v>
      </c>
      <c r="K1086" s="67">
        <v>0</v>
      </c>
      <c r="L1086" s="31">
        <v>0</v>
      </c>
      <c r="M1086" s="31">
        <v>897.3</v>
      </c>
      <c r="N1086" s="31">
        <v>4199838.72</v>
      </c>
      <c r="O1086" s="31">
        <v>0</v>
      </c>
      <c r="P1086" s="31">
        <v>0</v>
      </c>
      <c r="Q1086" s="31">
        <v>0</v>
      </c>
      <c r="R1086" s="31">
        <v>0</v>
      </c>
      <c r="S1086" s="31">
        <v>0</v>
      </c>
      <c r="T1086" s="31">
        <v>0</v>
      </c>
      <c r="U1086" s="31">
        <v>0</v>
      </c>
      <c r="V1086" s="31">
        <v>0</v>
      </c>
      <c r="W1086" s="31">
        <v>0</v>
      </c>
      <c r="X1086" s="31">
        <v>0</v>
      </c>
      <c r="Y1086" s="31">
        <v>0</v>
      </c>
      <c r="Z1086" s="31">
        <v>0</v>
      </c>
      <c r="AA1086" s="31">
        <v>0</v>
      </c>
      <c r="AB1086" s="31">
        <v>0</v>
      </c>
      <c r="AC1086" s="31">
        <v>62997.58</v>
      </c>
      <c r="AD1086" s="31">
        <v>150000</v>
      </c>
      <c r="AE1086" s="31">
        <v>0</v>
      </c>
      <c r="AF1086" s="33">
        <v>2022</v>
      </c>
      <c r="AG1086" s="33">
        <v>2022</v>
      </c>
      <c r="AH1086" s="34">
        <v>2022</v>
      </c>
      <c r="AT1086" s="20" t="e">
        <f>VLOOKUP(C1086,AW:AX,2,FALSE)</f>
        <v>#N/A</v>
      </c>
      <c r="BZ1086" s="64"/>
      <c r="CD1086" s="20" t="e">
        <f t="shared" si="255"/>
        <v>#N/A</v>
      </c>
    </row>
    <row r="1087" spans="1:82" ht="61.5" x14ac:dyDescent="0.85">
      <c r="A1087" s="20">
        <v>1</v>
      </c>
      <c r="B1087" s="60">
        <f>SUBTOTAL(103,$A$1036:A1087)</f>
        <v>52</v>
      </c>
      <c r="C1087" s="24" t="s">
        <v>485</v>
      </c>
      <c r="D1087" s="31">
        <f t="shared" si="251"/>
        <v>4387100</v>
      </c>
      <c r="E1087" s="31">
        <v>0</v>
      </c>
      <c r="F1087" s="31">
        <v>0</v>
      </c>
      <c r="G1087" s="31">
        <v>0</v>
      </c>
      <c r="H1087" s="31">
        <v>0</v>
      </c>
      <c r="I1087" s="31">
        <v>0</v>
      </c>
      <c r="J1087" s="31">
        <v>0</v>
      </c>
      <c r="K1087" s="67">
        <v>0</v>
      </c>
      <c r="L1087" s="31">
        <v>0</v>
      </c>
      <c r="M1087" s="31">
        <v>1089.5999999999999</v>
      </c>
      <c r="N1087" s="31">
        <f>4207532.51+100000+16454.5</f>
        <v>4323987.01</v>
      </c>
      <c r="O1087" s="31">
        <v>0</v>
      </c>
      <c r="P1087" s="31">
        <v>0</v>
      </c>
      <c r="Q1087" s="31">
        <v>0</v>
      </c>
      <c r="R1087" s="31">
        <v>0</v>
      </c>
      <c r="S1087" s="31">
        <v>0</v>
      </c>
      <c r="T1087" s="31">
        <v>0</v>
      </c>
      <c r="U1087" s="31">
        <v>0</v>
      </c>
      <c r="V1087" s="31">
        <v>0</v>
      </c>
      <c r="W1087" s="31">
        <v>0</v>
      </c>
      <c r="X1087" s="31">
        <v>0</v>
      </c>
      <c r="Y1087" s="31">
        <v>0</v>
      </c>
      <c r="Z1087" s="31">
        <v>0</v>
      </c>
      <c r="AA1087" s="31">
        <v>0</v>
      </c>
      <c r="AB1087" s="31">
        <v>0</v>
      </c>
      <c r="AC1087" s="31">
        <v>63112.99</v>
      </c>
      <c r="AD1087" s="31">
        <v>0</v>
      </c>
      <c r="AE1087" s="31">
        <v>0</v>
      </c>
      <c r="AF1087" s="33" t="s">
        <v>268</v>
      </c>
      <c r="AG1087" s="33">
        <v>2022</v>
      </c>
      <c r="AH1087" s="34">
        <v>2022</v>
      </c>
      <c r="BZ1087" s="64"/>
      <c r="CD1087" s="20" t="e">
        <f t="shared" si="255"/>
        <v>#N/A</v>
      </c>
    </row>
    <row r="1088" spans="1:82" ht="61.5" x14ac:dyDescent="0.85">
      <c r="A1088" s="20">
        <v>1</v>
      </c>
      <c r="B1088" s="60">
        <f>SUBTOTAL(103,$A$1036:A1088)</f>
        <v>53</v>
      </c>
      <c r="C1088" s="24" t="s">
        <v>1582</v>
      </c>
      <c r="D1088" s="31">
        <f t="shared" si="251"/>
        <v>2312500.0499999998</v>
      </c>
      <c r="E1088" s="31">
        <v>0</v>
      </c>
      <c r="F1088" s="31">
        <v>0</v>
      </c>
      <c r="G1088" s="31">
        <v>0</v>
      </c>
      <c r="H1088" s="31">
        <v>0</v>
      </c>
      <c r="I1088" s="31">
        <v>0</v>
      </c>
      <c r="J1088" s="31">
        <v>0</v>
      </c>
      <c r="K1088" s="67">
        <v>0</v>
      </c>
      <c r="L1088" s="31">
        <v>0</v>
      </c>
      <c r="M1088" s="31">
        <v>0</v>
      </c>
      <c r="N1088" s="31">
        <v>0</v>
      </c>
      <c r="O1088" s="31">
        <v>0</v>
      </c>
      <c r="P1088" s="31">
        <v>0</v>
      </c>
      <c r="Q1088" s="31">
        <v>840</v>
      </c>
      <c r="R1088" s="31">
        <v>2179803</v>
      </c>
      <c r="S1088" s="31">
        <v>0</v>
      </c>
      <c r="T1088" s="31">
        <v>0</v>
      </c>
      <c r="U1088" s="31">
        <v>0</v>
      </c>
      <c r="V1088" s="31">
        <v>0</v>
      </c>
      <c r="W1088" s="31">
        <v>0</v>
      </c>
      <c r="X1088" s="31">
        <v>0</v>
      </c>
      <c r="Y1088" s="31">
        <v>0</v>
      </c>
      <c r="Z1088" s="31">
        <v>0</v>
      </c>
      <c r="AA1088" s="31">
        <v>0</v>
      </c>
      <c r="AB1088" s="31">
        <v>0</v>
      </c>
      <c r="AC1088" s="31">
        <v>32697.05</v>
      </c>
      <c r="AD1088" s="31">
        <v>100000</v>
      </c>
      <c r="AE1088" s="31">
        <v>0</v>
      </c>
      <c r="AF1088" s="33">
        <v>2022</v>
      </c>
      <c r="AG1088" s="33">
        <v>2022</v>
      </c>
      <c r="AH1088" s="34">
        <v>2022</v>
      </c>
      <c r="BZ1088" s="64"/>
      <c r="CD1088" s="20" t="e">
        <f t="shared" si="255"/>
        <v>#N/A</v>
      </c>
    </row>
    <row r="1089" spans="1:82" ht="61.5" x14ac:dyDescent="0.85">
      <c r="A1089" s="20">
        <v>1</v>
      </c>
      <c r="B1089" s="60">
        <f>SUBTOTAL(103,$A$1036:A1089)</f>
        <v>54</v>
      </c>
      <c r="C1089" s="24" t="s">
        <v>1117</v>
      </c>
      <c r="D1089" s="31">
        <f t="shared" si="251"/>
        <v>4348142.72</v>
      </c>
      <c r="E1089" s="31">
        <v>0</v>
      </c>
      <c r="F1089" s="31">
        <v>0</v>
      </c>
      <c r="G1089" s="31">
        <v>0</v>
      </c>
      <c r="H1089" s="31">
        <v>0</v>
      </c>
      <c r="I1089" s="31">
        <v>0</v>
      </c>
      <c r="J1089" s="31">
        <v>0</v>
      </c>
      <c r="K1089" s="67">
        <v>0</v>
      </c>
      <c r="L1089" s="31">
        <v>0</v>
      </c>
      <c r="M1089" s="31">
        <v>0</v>
      </c>
      <c r="N1089" s="31">
        <v>0</v>
      </c>
      <c r="O1089" s="31">
        <v>0</v>
      </c>
      <c r="P1089" s="31">
        <v>0</v>
      </c>
      <c r="Q1089" s="31">
        <v>1389</v>
      </c>
      <c r="R1089" s="31">
        <v>4165657.85</v>
      </c>
      <c r="S1089" s="31">
        <v>0</v>
      </c>
      <c r="T1089" s="31">
        <v>0</v>
      </c>
      <c r="U1089" s="31">
        <v>0</v>
      </c>
      <c r="V1089" s="31">
        <v>0</v>
      </c>
      <c r="W1089" s="31">
        <v>0</v>
      </c>
      <c r="X1089" s="31">
        <v>0</v>
      </c>
      <c r="Y1089" s="31">
        <v>0</v>
      </c>
      <c r="Z1089" s="31">
        <v>0</v>
      </c>
      <c r="AA1089" s="31">
        <v>0</v>
      </c>
      <c r="AB1089" s="31">
        <v>0</v>
      </c>
      <c r="AC1089" s="31">
        <v>62484.87</v>
      </c>
      <c r="AD1089" s="31">
        <v>120000</v>
      </c>
      <c r="AE1089" s="31">
        <v>0</v>
      </c>
      <c r="AF1089" s="33">
        <v>2022</v>
      </c>
      <c r="AG1089" s="33">
        <v>2022</v>
      </c>
      <c r="AH1089" s="34">
        <v>2022</v>
      </c>
      <c r="BZ1089" s="64"/>
      <c r="CD1089" s="20" t="e">
        <f t="shared" si="255"/>
        <v>#N/A</v>
      </c>
    </row>
    <row r="1090" spans="1:82" ht="61.5" x14ac:dyDescent="0.85">
      <c r="A1090" s="20">
        <v>1</v>
      </c>
      <c r="B1090" s="60">
        <f>SUBTOTAL(103,$A$1036:A1090)</f>
        <v>55</v>
      </c>
      <c r="C1090" s="24" t="s">
        <v>549</v>
      </c>
      <c r="D1090" s="31">
        <f t="shared" si="251"/>
        <v>4057359.23</v>
      </c>
      <c r="E1090" s="31">
        <v>0</v>
      </c>
      <c r="F1090" s="31">
        <v>0</v>
      </c>
      <c r="G1090" s="31">
        <v>0</v>
      </c>
      <c r="H1090" s="31">
        <v>0</v>
      </c>
      <c r="I1090" s="31">
        <v>0</v>
      </c>
      <c r="J1090" s="31">
        <v>0</v>
      </c>
      <c r="K1090" s="67">
        <v>0</v>
      </c>
      <c r="L1090" s="31">
        <v>0</v>
      </c>
      <c r="M1090" s="31">
        <v>0</v>
      </c>
      <c r="N1090" s="31">
        <v>0</v>
      </c>
      <c r="O1090" s="31">
        <v>0</v>
      </c>
      <c r="P1090" s="31">
        <v>0</v>
      </c>
      <c r="Q1090" s="31">
        <v>940.98</v>
      </c>
      <c r="R1090" s="31">
        <v>3849615</v>
      </c>
      <c r="S1090" s="31">
        <v>0</v>
      </c>
      <c r="T1090" s="31">
        <v>0</v>
      </c>
      <c r="U1090" s="31">
        <v>0</v>
      </c>
      <c r="V1090" s="31">
        <v>0</v>
      </c>
      <c r="W1090" s="31">
        <v>0</v>
      </c>
      <c r="X1090" s="31">
        <v>0</v>
      </c>
      <c r="Y1090" s="31">
        <v>0</v>
      </c>
      <c r="Z1090" s="31">
        <v>0</v>
      </c>
      <c r="AA1090" s="31">
        <v>0</v>
      </c>
      <c r="AB1090" s="31">
        <v>0</v>
      </c>
      <c r="AC1090" s="31">
        <v>57744.23</v>
      </c>
      <c r="AD1090" s="31">
        <v>150000</v>
      </c>
      <c r="AE1090" s="31">
        <v>0</v>
      </c>
      <c r="AF1090" s="33">
        <v>2022</v>
      </c>
      <c r="AG1090" s="33">
        <v>2022</v>
      </c>
      <c r="AH1090" s="34">
        <v>2022</v>
      </c>
      <c r="AT1090" s="20" t="e">
        <f>VLOOKUP(C1090,AW:AX,2,FALSE)</f>
        <v>#N/A</v>
      </c>
      <c r="BZ1090" s="64"/>
      <c r="CD1090" s="20" t="e">
        <f t="shared" si="255"/>
        <v>#N/A</v>
      </c>
    </row>
    <row r="1091" spans="1:82" ht="61.5" x14ac:dyDescent="0.85">
      <c r="A1091" s="20">
        <v>1</v>
      </c>
      <c r="B1091" s="60">
        <f>SUBTOTAL(103,$A$1036:A1091)</f>
        <v>56</v>
      </c>
      <c r="C1091" s="24" t="s">
        <v>553</v>
      </c>
      <c r="D1091" s="31">
        <f t="shared" si="251"/>
        <v>4448638.5999999996</v>
      </c>
      <c r="E1091" s="31">
        <v>0</v>
      </c>
      <c r="F1091" s="31">
        <v>0</v>
      </c>
      <c r="G1091" s="31">
        <v>0</v>
      </c>
      <c r="H1091" s="31">
        <v>0</v>
      </c>
      <c r="I1091" s="31">
        <v>0</v>
      </c>
      <c r="J1091" s="31">
        <v>0</v>
      </c>
      <c r="K1091" s="67">
        <v>0</v>
      </c>
      <c r="L1091" s="31">
        <v>0</v>
      </c>
      <c r="M1091" s="31">
        <v>0</v>
      </c>
      <c r="N1091" s="31">
        <v>0</v>
      </c>
      <c r="O1091" s="31">
        <v>0</v>
      </c>
      <c r="P1091" s="31">
        <v>0</v>
      </c>
      <c r="Q1091" s="31">
        <v>1047.25</v>
      </c>
      <c r="R1091" s="31">
        <v>4284373</v>
      </c>
      <c r="S1091" s="31">
        <v>0</v>
      </c>
      <c r="T1091" s="31">
        <v>0</v>
      </c>
      <c r="U1091" s="31">
        <v>0</v>
      </c>
      <c r="V1091" s="31">
        <v>0</v>
      </c>
      <c r="W1091" s="31">
        <v>0</v>
      </c>
      <c r="X1091" s="31">
        <v>0</v>
      </c>
      <c r="Y1091" s="31">
        <v>0</v>
      </c>
      <c r="Z1091" s="31">
        <v>0</v>
      </c>
      <c r="AA1091" s="31">
        <v>0</v>
      </c>
      <c r="AB1091" s="31">
        <v>0</v>
      </c>
      <c r="AC1091" s="31">
        <v>64265.599999999999</v>
      </c>
      <c r="AD1091" s="31">
        <v>100000</v>
      </c>
      <c r="AE1091" s="31">
        <v>0</v>
      </c>
      <c r="AF1091" s="33">
        <v>2022</v>
      </c>
      <c r="AG1091" s="33">
        <v>2022</v>
      </c>
      <c r="AH1091" s="34">
        <v>2022</v>
      </c>
      <c r="AT1091" s="20" t="e">
        <f>VLOOKUP(C1091,AW:AX,2,FALSE)</f>
        <v>#N/A</v>
      </c>
      <c r="BZ1091" s="64"/>
      <c r="CD1091" s="20" t="e">
        <f t="shared" si="255"/>
        <v>#N/A</v>
      </c>
    </row>
    <row r="1092" spans="1:82" ht="61.5" x14ac:dyDescent="0.85">
      <c r="A1092" s="20">
        <v>1</v>
      </c>
      <c r="B1092" s="60">
        <f>SUBTOTAL(103,$A$1036:A1092)</f>
        <v>57</v>
      </c>
      <c r="C1092" s="24" t="s">
        <v>556</v>
      </c>
      <c r="D1092" s="31">
        <f t="shared" si="251"/>
        <v>4973747.95</v>
      </c>
      <c r="E1092" s="31">
        <v>0</v>
      </c>
      <c r="F1092" s="31">
        <v>0</v>
      </c>
      <c r="G1092" s="31">
        <v>0</v>
      </c>
      <c r="H1092" s="31">
        <v>0</v>
      </c>
      <c r="I1092" s="31">
        <v>0</v>
      </c>
      <c r="J1092" s="31">
        <v>0</v>
      </c>
      <c r="K1092" s="67">
        <v>0</v>
      </c>
      <c r="L1092" s="31">
        <v>0</v>
      </c>
      <c r="M1092" s="31">
        <v>0</v>
      </c>
      <c r="N1092" s="31">
        <v>0</v>
      </c>
      <c r="O1092" s="31">
        <v>0</v>
      </c>
      <c r="P1092" s="31">
        <v>0</v>
      </c>
      <c r="Q1092" s="31">
        <v>1160</v>
      </c>
      <c r="R1092" s="31">
        <v>4801722.12</v>
      </c>
      <c r="S1092" s="31">
        <v>0</v>
      </c>
      <c r="T1092" s="31">
        <v>0</v>
      </c>
      <c r="U1092" s="31">
        <v>0</v>
      </c>
      <c r="V1092" s="31">
        <v>0</v>
      </c>
      <c r="W1092" s="31">
        <v>0</v>
      </c>
      <c r="X1092" s="31">
        <v>0</v>
      </c>
      <c r="Y1092" s="31">
        <v>0</v>
      </c>
      <c r="Z1092" s="31">
        <v>0</v>
      </c>
      <c r="AA1092" s="31">
        <v>0</v>
      </c>
      <c r="AB1092" s="31">
        <v>0</v>
      </c>
      <c r="AC1092" s="31">
        <v>72025.83</v>
      </c>
      <c r="AD1092" s="31">
        <v>100000</v>
      </c>
      <c r="AE1092" s="31">
        <v>0</v>
      </c>
      <c r="AF1092" s="33">
        <v>2022</v>
      </c>
      <c r="AG1092" s="33">
        <v>2022</v>
      </c>
      <c r="AH1092" s="34">
        <v>2022</v>
      </c>
      <c r="AT1092" s="20" t="e">
        <f>VLOOKUP(C1092,AW:AX,2,FALSE)</f>
        <v>#N/A</v>
      </c>
      <c r="BZ1092" s="64"/>
      <c r="CD1092" s="20" t="e">
        <f t="shared" si="255"/>
        <v>#N/A</v>
      </c>
    </row>
    <row r="1093" spans="1:82" ht="61.5" x14ac:dyDescent="0.85">
      <c r="A1093" s="20">
        <v>1</v>
      </c>
      <c r="B1093" s="60">
        <f>SUBTOTAL(103,$A$1036:A1093)</f>
        <v>58</v>
      </c>
      <c r="C1093" s="24" t="s">
        <v>550</v>
      </c>
      <c r="D1093" s="31">
        <f t="shared" si="251"/>
        <v>2880414.3600000003</v>
      </c>
      <c r="E1093" s="31">
        <v>0</v>
      </c>
      <c r="F1093" s="31">
        <v>0</v>
      </c>
      <c r="G1093" s="31">
        <v>0</v>
      </c>
      <c r="H1093" s="31">
        <v>0</v>
      </c>
      <c r="I1093" s="31">
        <v>0</v>
      </c>
      <c r="J1093" s="31">
        <v>0</v>
      </c>
      <c r="K1093" s="67">
        <v>0</v>
      </c>
      <c r="L1093" s="31">
        <v>0</v>
      </c>
      <c r="M1093" s="31">
        <v>560</v>
      </c>
      <c r="N1093" s="31">
        <v>2739324.49</v>
      </c>
      <c r="O1093" s="31">
        <v>0</v>
      </c>
      <c r="P1093" s="31">
        <v>0</v>
      </c>
      <c r="Q1093" s="31">
        <v>0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  <c r="AA1093" s="31">
        <v>0</v>
      </c>
      <c r="AB1093" s="31">
        <v>0</v>
      </c>
      <c r="AC1093" s="31">
        <v>41089.870000000003</v>
      </c>
      <c r="AD1093" s="31">
        <v>100000</v>
      </c>
      <c r="AE1093" s="31">
        <v>0</v>
      </c>
      <c r="AF1093" s="33">
        <v>2022</v>
      </c>
      <c r="AG1093" s="33">
        <v>2022</v>
      </c>
      <c r="AH1093" s="34">
        <v>2022</v>
      </c>
      <c r="AT1093" s="20" t="e">
        <f>VLOOKUP(C1093,AW:AX,2,FALSE)</f>
        <v>#N/A</v>
      </c>
      <c r="BZ1093" s="64"/>
      <c r="CD1093" s="20" t="e">
        <f t="shared" si="255"/>
        <v>#N/A</v>
      </c>
    </row>
    <row r="1094" spans="1:82" ht="61.5" x14ac:dyDescent="0.85">
      <c r="A1094" s="20">
        <v>1</v>
      </c>
      <c r="B1094" s="60">
        <f>SUBTOTAL(103,$A$1036:A1094)</f>
        <v>59</v>
      </c>
      <c r="C1094" s="24" t="s">
        <v>2289</v>
      </c>
      <c r="D1094" s="31">
        <f t="shared" si="251"/>
        <v>763048.75</v>
      </c>
      <c r="E1094" s="31">
        <v>0</v>
      </c>
      <c r="F1094" s="31">
        <v>0</v>
      </c>
      <c r="G1094" s="31">
        <v>0</v>
      </c>
      <c r="H1094" s="31">
        <v>0</v>
      </c>
      <c r="I1094" s="31">
        <v>0</v>
      </c>
      <c r="J1094" s="31">
        <v>0</v>
      </c>
      <c r="K1094" s="67">
        <v>0</v>
      </c>
      <c r="L1094" s="31">
        <v>0</v>
      </c>
      <c r="M1094" s="31">
        <v>185.8</v>
      </c>
      <c r="N1094" s="31">
        <v>653250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  <c r="AA1094" s="31">
        <v>0</v>
      </c>
      <c r="AB1094" s="31">
        <v>0</v>
      </c>
      <c r="AC1094" s="31">
        <v>9798.75</v>
      </c>
      <c r="AD1094" s="31">
        <v>100000</v>
      </c>
      <c r="AE1094" s="31">
        <v>0</v>
      </c>
      <c r="AF1094" s="33">
        <v>2022</v>
      </c>
      <c r="AG1094" s="33">
        <v>2022</v>
      </c>
      <c r="AH1094" s="34">
        <v>2022</v>
      </c>
      <c r="AT1094" s="20" t="e">
        <f>VLOOKUP(C1094,AW:AX,2,FALSE)</f>
        <v>#N/A</v>
      </c>
      <c r="BZ1094" s="64"/>
      <c r="CD1094" s="20" t="e">
        <f t="shared" si="255"/>
        <v>#N/A</v>
      </c>
    </row>
    <row r="1095" spans="1:82" ht="61.5" x14ac:dyDescent="0.85">
      <c r="A1095" s="20">
        <v>1</v>
      </c>
      <c r="B1095" s="60">
        <f>SUBTOTAL(103,$A$1036:A1095)</f>
        <v>60</v>
      </c>
      <c r="C1095" s="24" t="s">
        <v>2290</v>
      </c>
      <c r="D1095" s="31">
        <f t="shared" si="251"/>
        <v>2942000</v>
      </c>
      <c r="E1095" s="31">
        <v>0</v>
      </c>
      <c r="F1095" s="31">
        <v>0</v>
      </c>
      <c r="G1095" s="31">
        <v>0</v>
      </c>
      <c r="H1095" s="31">
        <v>0</v>
      </c>
      <c r="I1095" s="31">
        <v>0</v>
      </c>
      <c r="J1095" s="31">
        <v>0</v>
      </c>
      <c r="K1095" s="67">
        <v>0</v>
      </c>
      <c r="L1095" s="31">
        <v>0</v>
      </c>
      <c r="M1095" s="31">
        <v>0</v>
      </c>
      <c r="N1095" s="31">
        <v>0</v>
      </c>
      <c r="O1095" s="31">
        <v>0</v>
      </c>
      <c r="P1095" s="31">
        <v>0</v>
      </c>
      <c r="Q1095" s="31">
        <v>688.4</v>
      </c>
      <c r="R1095" s="31">
        <v>2800000</v>
      </c>
      <c r="S1095" s="31">
        <v>0</v>
      </c>
      <c r="T1095" s="31">
        <v>0</v>
      </c>
      <c r="U1095" s="31">
        <v>0</v>
      </c>
      <c r="V1095" s="31">
        <v>0</v>
      </c>
      <c r="W1095" s="31">
        <v>0</v>
      </c>
      <c r="X1095" s="31">
        <v>0</v>
      </c>
      <c r="Y1095" s="31">
        <v>0</v>
      </c>
      <c r="Z1095" s="31">
        <v>0</v>
      </c>
      <c r="AA1095" s="31">
        <v>0</v>
      </c>
      <c r="AB1095" s="31">
        <v>0</v>
      </c>
      <c r="AC1095" s="31">
        <v>42000</v>
      </c>
      <c r="AD1095" s="31">
        <v>100000</v>
      </c>
      <c r="AE1095" s="31">
        <v>0</v>
      </c>
      <c r="AF1095" s="33">
        <v>2022</v>
      </c>
      <c r="AG1095" s="33">
        <v>2022</v>
      </c>
      <c r="AH1095" s="34">
        <v>2022</v>
      </c>
      <c r="BZ1095" s="64"/>
      <c r="CD1095" s="20" t="e">
        <f t="shared" si="255"/>
        <v>#N/A</v>
      </c>
    </row>
    <row r="1096" spans="1:82" ht="61.5" x14ac:dyDescent="0.85">
      <c r="A1096" s="20">
        <v>1</v>
      </c>
      <c r="B1096" s="60">
        <f>SUBTOTAL(103,$A$1036:A1096)</f>
        <v>61</v>
      </c>
      <c r="C1096" s="24" t="s">
        <v>2291</v>
      </c>
      <c r="D1096" s="31">
        <f t="shared" si="251"/>
        <v>1876250</v>
      </c>
      <c r="E1096" s="31">
        <v>0</v>
      </c>
      <c r="F1096" s="31">
        <v>0</v>
      </c>
      <c r="G1096" s="31">
        <v>0</v>
      </c>
      <c r="H1096" s="31">
        <v>0</v>
      </c>
      <c r="I1096" s="31">
        <v>0</v>
      </c>
      <c r="J1096" s="31">
        <v>0</v>
      </c>
      <c r="K1096" s="67">
        <v>0</v>
      </c>
      <c r="L1096" s="31">
        <v>0</v>
      </c>
      <c r="M1096" s="31">
        <v>330</v>
      </c>
      <c r="N1096" s="31">
        <v>1750000</v>
      </c>
      <c r="O1096" s="31">
        <v>0</v>
      </c>
      <c r="P1096" s="31">
        <v>0</v>
      </c>
      <c r="Q1096" s="31">
        <v>0</v>
      </c>
      <c r="R1096" s="31">
        <v>0</v>
      </c>
      <c r="S1096" s="31">
        <v>0</v>
      </c>
      <c r="T1096" s="31">
        <v>0</v>
      </c>
      <c r="U1096" s="31">
        <v>0</v>
      </c>
      <c r="V1096" s="31">
        <v>0</v>
      </c>
      <c r="W1096" s="31">
        <v>0</v>
      </c>
      <c r="X1096" s="31">
        <v>0</v>
      </c>
      <c r="Y1096" s="31">
        <v>0</v>
      </c>
      <c r="Z1096" s="31">
        <v>0</v>
      </c>
      <c r="AA1096" s="31">
        <v>0</v>
      </c>
      <c r="AB1096" s="31">
        <v>0</v>
      </c>
      <c r="AC1096" s="31">
        <v>26250</v>
      </c>
      <c r="AD1096" s="31">
        <v>100000</v>
      </c>
      <c r="AE1096" s="31">
        <v>0</v>
      </c>
      <c r="AF1096" s="33">
        <v>2022</v>
      </c>
      <c r="AG1096" s="33">
        <v>2022</v>
      </c>
      <c r="AH1096" s="34">
        <v>2022</v>
      </c>
      <c r="AT1096" s="20" t="e">
        <f>VLOOKUP(C1096,AW:AX,2,FALSE)</f>
        <v>#N/A</v>
      </c>
      <c r="BZ1096" s="64"/>
      <c r="CD1096" s="20" t="e">
        <f t="shared" si="255"/>
        <v>#N/A</v>
      </c>
    </row>
    <row r="1097" spans="1:82" ht="61.5" x14ac:dyDescent="0.85">
      <c r="A1097" s="20">
        <v>1</v>
      </c>
      <c r="B1097" s="60">
        <f>SUBTOTAL(103,$A$1036:A1097)</f>
        <v>62</v>
      </c>
      <c r="C1097" s="24" t="s">
        <v>2292</v>
      </c>
      <c r="D1097" s="31">
        <f t="shared" si="251"/>
        <v>3635053.04</v>
      </c>
      <c r="E1097" s="31">
        <v>0</v>
      </c>
      <c r="F1097" s="31">
        <v>0</v>
      </c>
      <c r="G1097" s="31">
        <v>0</v>
      </c>
      <c r="H1097" s="31">
        <v>0</v>
      </c>
      <c r="I1097" s="31">
        <v>0</v>
      </c>
      <c r="J1097" s="31">
        <v>0</v>
      </c>
      <c r="K1097" s="67">
        <v>0</v>
      </c>
      <c r="L1097" s="31">
        <v>0</v>
      </c>
      <c r="M1097" s="31">
        <v>0</v>
      </c>
      <c r="N1097" s="31">
        <v>0</v>
      </c>
      <c r="O1097" s="31">
        <v>0</v>
      </c>
      <c r="P1097" s="31">
        <v>0</v>
      </c>
      <c r="Q1097" s="31">
        <v>1042</v>
      </c>
      <c r="R1097" s="31">
        <v>3482810.88</v>
      </c>
      <c r="S1097" s="31">
        <v>0</v>
      </c>
      <c r="T1097" s="31">
        <v>0</v>
      </c>
      <c r="U1097" s="31">
        <v>0</v>
      </c>
      <c r="V1097" s="31">
        <v>0</v>
      </c>
      <c r="W1097" s="31">
        <v>0</v>
      </c>
      <c r="X1097" s="31">
        <v>0</v>
      </c>
      <c r="Y1097" s="31">
        <v>0</v>
      </c>
      <c r="Z1097" s="31">
        <v>0</v>
      </c>
      <c r="AA1097" s="31">
        <v>0</v>
      </c>
      <c r="AB1097" s="31">
        <v>0</v>
      </c>
      <c r="AC1097" s="31">
        <v>52242.16</v>
      </c>
      <c r="AD1097" s="31">
        <v>100000</v>
      </c>
      <c r="AE1097" s="31">
        <v>0</v>
      </c>
      <c r="AF1097" s="33">
        <v>2022</v>
      </c>
      <c r="AG1097" s="33">
        <v>2022</v>
      </c>
      <c r="AH1097" s="34">
        <v>2022</v>
      </c>
      <c r="BZ1097" s="64"/>
      <c r="CD1097" s="20" t="e">
        <f t="shared" si="255"/>
        <v>#N/A</v>
      </c>
    </row>
    <row r="1098" spans="1:82" ht="61.5" x14ac:dyDescent="0.85">
      <c r="A1098" s="20">
        <v>1</v>
      </c>
      <c r="B1098" s="60">
        <f>SUBTOTAL(103,$A$1036:A1098)</f>
        <v>63</v>
      </c>
      <c r="C1098" s="24" t="s">
        <v>2293</v>
      </c>
      <c r="D1098" s="31">
        <f t="shared" si="251"/>
        <v>3449500</v>
      </c>
      <c r="E1098" s="31">
        <v>0</v>
      </c>
      <c r="F1098" s="31">
        <v>0</v>
      </c>
      <c r="G1098" s="31">
        <v>0</v>
      </c>
      <c r="H1098" s="31">
        <v>0</v>
      </c>
      <c r="I1098" s="31">
        <v>0</v>
      </c>
      <c r="J1098" s="31">
        <v>0</v>
      </c>
      <c r="K1098" s="67">
        <v>0</v>
      </c>
      <c r="L1098" s="31">
        <v>0</v>
      </c>
      <c r="M1098" s="31">
        <v>0</v>
      </c>
      <c r="N1098" s="31">
        <v>0</v>
      </c>
      <c r="O1098" s="31">
        <v>0</v>
      </c>
      <c r="P1098" s="31">
        <v>0</v>
      </c>
      <c r="Q1098" s="31">
        <v>1004.7</v>
      </c>
      <c r="R1098" s="31">
        <v>3300000</v>
      </c>
      <c r="S1098" s="31">
        <v>0</v>
      </c>
      <c r="T1098" s="31">
        <v>0</v>
      </c>
      <c r="U1098" s="31">
        <v>0</v>
      </c>
      <c r="V1098" s="31">
        <v>0</v>
      </c>
      <c r="W1098" s="31">
        <v>0</v>
      </c>
      <c r="X1098" s="31">
        <v>0</v>
      </c>
      <c r="Y1098" s="31">
        <v>0</v>
      </c>
      <c r="Z1098" s="31">
        <v>0</v>
      </c>
      <c r="AA1098" s="31">
        <v>0</v>
      </c>
      <c r="AB1098" s="31">
        <v>0</v>
      </c>
      <c r="AC1098" s="31">
        <v>49500</v>
      </c>
      <c r="AD1098" s="31">
        <v>100000</v>
      </c>
      <c r="AE1098" s="31">
        <v>0</v>
      </c>
      <c r="AF1098" s="33">
        <v>2022</v>
      </c>
      <c r="AG1098" s="33">
        <v>2022</v>
      </c>
      <c r="AH1098" s="34">
        <v>2022</v>
      </c>
      <c r="BZ1098" s="64"/>
      <c r="CD1098" s="20" t="e">
        <f t="shared" si="255"/>
        <v>#N/A</v>
      </c>
    </row>
    <row r="1099" spans="1:82" ht="61.5" x14ac:dyDescent="0.85">
      <c r="A1099" s="20">
        <v>1</v>
      </c>
      <c r="B1099" s="60">
        <f>SUBTOTAL(103,$A$1036:A1099)</f>
        <v>64</v>
      </c>
      <c r="C1099" s="24" t="s">
        <v>2294</v>
      </c>
      <c r="D1099" s="31">
        <f t="shared" si="251"/>
        <v>3635053.04</v>
      </c>
      <c r="E1099" s="31">
        <v>0</v>
      </c>
      <c r="F1099" s="31">
        <v>0</v>
      </c>
      <c r="G1099" s="31">
        <v>0</v>
      </c>
      <c r="H1099" s="31">
        <v>0</v>
      </c>
      <c r="I1099" s="31">
        <v>0</v>
      </c>
      <c r="J1099" s="31">
        <v>0</v>
      </c>
      <c r="K1099" s="67">
        <v>0</v>
      </c>
      <c r="L1099" s="31">
        <v>0</v>
      </c>
      <c r="M1099" s="31">
        <v>0</v>
      </c>
      <c r="N1099" s="31">
        <v>0</v>
      </c>
      <c r="O1099" s="31">
        <v>0</v>
      </c>
      <c r="P1099" s="31">
        <v>0</v>
      </c>
      <c r="Q1099" s="31">
        <v>1142</v>
      </c>
      <c r="R1099" s="31">
        <v>3482810.88</v>
      </c>
      <c r="S1099" s="31">
        <v>0</v>
      </c>
      <c r="T1099" s="31">
        <v>0</v>
      </c>
      <c r="U1099" s="31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  <c r="AA1099" s="31">
        <v>0</v>
      </c>
      <c r="AB1099" s="31">
        <v>0</v>
      </c>
      <c r="AC1099" s="31">
        <v>52242.16</v>
      </c>
      <c r="AD1099" s="31">
        <v>100000</v>
      </c>
      <c r="AE1099" s="31">
        <v>0</v>
      </c>
      <c r="AF1099" s="33">
        <v>2022</v>
      </c>
      <c r="AG1099" s="33">
        <v>2022</v>
      </c>
      <c r="AH1099" s="34">
        <v>2022</v>
      </c>
      <c r="BZ1099" s="64"/>
      <c r="CD1099" s="20" t="e">
        <f t="shared" si="255"/>
        <v>#N/A</v>
      </c>
    </row>
    <row r="1100" spans="1:82" ht="61.5" x14ac:dyDescent="0.85">
      <c r="A1100" s="20">
        <v>1</v>
      </c>
      <c r="B1100" s="60">
        <f>SUBTOTAL(103,$A$1036:A1100)</f>
        <v>65</v>
      </c>
      <c r="C1100" s="24" t="s">
        <v>2295</v>
      </c>
      <c r="D1100" s="31">
        <f t="shared" si="251"/>
        <v>2891250</v>
      </c>
      <c r="E1100" s="31">
        <v>0</v>
      </c>
      <c r="F1100" s="31">
        <v>0</v>
      </c>
      <c r="G1100" s="31">
        <v>0</v>
      </c>
      <c r="H1100" s="31">
        <v>0</v>
      </c>
      <c r="I1100" s="31">
        <v>0</v>
      </c>
      <c r="J1100" s="31">
        <v>0</v>
      </c>
      <c r="K1100" s="67">
        <v>0</v>
      </c>
      <c r="L1100" s="31">
        <v>0</v>
      </c>
      <c r="M1100" s="31">
        <v>650</v>
      </c>
      <c r="N1100" s="31">
        <v>2750000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0</v>
      </c>
      <c r="U1100" s="31">
        <v>0</v>
      </c>
      <c r="V1100" s="31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0</v>
      </c>
      <c r="AB1100" s="31">
        <v>0</v>
      </c>
      <c r="AC1100" s="31">
        <v>41250</v>
      </c>
      <c r="AD1100" s="31">
        <v>100000</v>
      </c>
      <c r="AE1100" s="31">
        <v>0</v>
      </c>
      <c r="AF1100" s="33">
        <v>2022</v>
      </c>
      <c r="AG1100" s="33">
        <v>2022</v>
      </c>
      <c r="AH1100" s="34">
        <v>2022</v>
      </c>
      <c r="AT1100" s="20" t="e">
        <f t="shared" ref="AT1100:AT1117" si="256">VLOOKUP(C1100,AW:AX,2,FALSE)</f>
        <v>#N/A</v>
      </c>
      <c r="BZ1100" s="64"/>
      <c r="CD1100" s="20" t="e">
        <f t="shared" si="255"/>
        <v>#N/A</v>
      </c>
    </row>
    <row r="1101" spans="1:82" ht="61.5" x14ac:dyDescent="0.85">
      <c r="A1101" s="20">
        <v>1</v>
      </c>
      <c r="B1101" s="60">
        <f>SUBTOTAL(103,$A$1036:A1101)</f>
        <v>66</v>
      </c>
      <c r="C1101" s="24" t="s">
        <v>2296</v>
      </c>
      <c r="D1101" s="31">
        <f t="shared" si="251"/>
        <v>4829900</v>
      </c>
      <c r="E1101" s="31">
        <v>0</v>
      </c>
      <c r="F1101" s="31">
        <v>0</v>
      </c>
      <c r="G1101" s="31">
        <v>0</v>
      </c>
      <c r="H1101" s="31">
        <v>0</v>
      </c>
      <c r="I1101" s="31">
        <v>0</v>
      </c>
      <c r="J1101" s="31">
        <v>0</v>
      </c>
      <c r="K1101" s="67">
        <v>0</v>
      </c>
      <c r="L1101" s="31">
        <v>0</v>
      </c>
      <c r="M1101" s="31">
        <v>899</v>
      </c>
      <c r="N1101" s="31">
        <v>4660000</v>
      </c>
      <c r="O1101" s="31">
        <v>0</v>
      </c>
      <c r="P1101" s="31">
        <v>0</v>
      </c>
      <c r="Q1101" s="31">
        <v>0</v>
      </c>
      <c r="R1101" s="31">
        <v>0</v>
      </c>
      <c r="S1101" s="31">
        <v>0</v>
      </c>
      <c r="T1101" s="31">
        <v>0</v>
      </c>
      <c r="U1101" s="31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0</v>
      </c>
      <c r="AC1101" s="31">
        <v>69900</v>
      </c>
      <c r="AD1101" s="31">
        <v>100000</v>
      </c>
      <c r="AE1101" s="31">
        <v>0</v>
      </c>
      <c r="AF1101" s="33">
        <v>2022</v>
      </c>
      <c r="AG1101" s="33">
        <v>2022</v>
      </c>
      <c r="AH1101" s="34">
        <v>2022</v>
      </c>
      <c r="AT1101" s="20" t="e">
        <f t="shared" si="256"/>
        <v>#N/A</v>
      </c>
      <c r="BZ1101" s="64"/>
      <c r="CD1101" s="20" t="e">
        <f t="shared" si="255"/>
        <v>#N/A</v>
      </c>
    </row>
    <row r="1102" spans="1:82" ht="61.5" x14ac:dyDescent="0.85">
      <c r="A1102" s="20">
        <v>1</v>
      </c>
      <c r="B1102" s="60">
        <f>SUBTOTAL(103,$A$1036:A1102)</f>
        <v>67</v>
      </c>
      <c r="C1102" s="24" t="s">
        <v>2297</v>
      </c>
      <c r="D1102" s="31">
        <f t="shared" si="251"/>
        <v>1521000</v>
      </c>
      <c r="E1102" s="31">
        <v>0</v>
      </c>
      <c r="F1102" s="31">
        <v>0</v>
      </c>
      <c r="G1102" s="31">
        <v>0</v>
      </c>
      <c r="H1102" s="31">
        <v>0</v>
      </c>
      <c r="I1102" s="31">
        <v>0</v>
      </c>
      <c r="J1102" s="31">
        <v>0</v>
      </c>
      <c r="K1102" s="67">
        <v>0</v>
      </c>
      <c r="L1102" s="31">
        <v>0</v>
      </c>
      <c r="M1102" s="31">
        <v>275</v>
      </c>
      <c r="N1102" s="31">
        <v>1400000</v>
      </c>
      <c r="O1102" s="31">
        <v>0</v>
      </c>
      <c r="P1102" s="31">
        <v>0</v>
      </c>
      <c r="Q1102" s="31">
        <v>0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31">
        <v>0</v>
      </c>
      <c r="X1102" s="31">
        <v>0</v>
      </c>
      <c r="Y1102" s="31">
        <v>0</v>
      </c>
      <c r="Z1102" s="31">
        <v>0</v>
      </c>
      <c r="AA1102" s="31">
        <v>0</v>
      </c>
      <c r="AB1102" s="31">
        <v>0</v>
      </c>
      <c r="AC1102" s="31">
        <v>21000</v>
      </c>
      <c r="AD1102" s="31">
        <v>100000</v>
      </c>
      <c r="AE1102" s="31">
        <v>0</v>
      </c>
      <c r="AF1102" s="33">
        <v>2022</v>
      </c>
      <c r="AG1102" s="33">
        <v>2022</v>
      </c>
      <c r="AH1102" s="34">
        <v>2022</v>
      </c>
      <c r="AT1102" s="20" t="e">
        <f t="shared" si="256"/>
        <v>#N/A</v>
      </c>
      <c r="BZ1102" s="64"/>
      <c r="CD1102" s="20" t="e">
        <f t="shared" si="255"/>
        <v>#N/A</v>
      </c>
    </row>
    <row r="1103" spans="1:82" ht="61.5" x14ac:dyDescent="0.85">
      <c r="A1103" s="20">
        <v>1</v>
      </c>
      <c r="B1103" s="60">
        <f>SUBTOTAL(103,$A$1036:A1103)</f>
        <v>68</v>
      </c>
      <c r="C1103" s="24" t="s">
        <v>2298</v>
      </c>
      <c r="D1103" s="31">
        <f t="shared" si="251"/>
        <v>4858515.0599999996</v>
      </c>
      <c r="E1103" s="31">
        <v>0</v>
      </c>
      <c r="F1103" s="31">
        <v>0</v>
      </c>
      <c r="G1103" s="31">
        <v>0</v>
      </c>
      <c r="H1103" s="31">
        <v>0</v>
      </c>
      <c r="I1103" s="31">
        <v>0</v>
      </c>
      <c r="J1103" s="31">
        <v>0</v>
      </c>
      <c r="K1103" s="67">
        <v>0</v>
      </c>
      <c r="L1103" s="31">
        <v>0</v>
      </c>
      <c r="M1103" s="31">
        <v>1147.5</v>
      </c>
      <c r="N1103" s="31">
        <v>4688192.18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  <c r="AC1103" s="31">
        <v>70322.880000000005</v>
      </c>
      <c r="AD1103" s="31">
        <v>100000</v>
      </c>
      <c r="AE1103" s="31">
        <v>0</v>
      </c>
      <c r="AF1103" s="33">
        <v>2022</v>
      </c>
      <c r="AG1103" s="33">
        <v>2022</v>
      </c>
      <c r="AH1103" s="34">
        <v>2022</v>
      </c>
      <c r="AT1103" s="20" t="e">
        <f t="shared" si="256"/>
        <v>#N/A</v>
      </c>
      <c r="BZ1103" s="64"/>
      <c r="CD1103" s="20" t="e">
        <f t="shared" si="255"/>
        <v>#N/A</v>
      </c>
    </row>
    <row r="1104" spans="1:82" ht="61.5" x14ac:dyDescent="0.85">
      <c r="B1104" s="24" t="s">
        <v>756</v>
      </c>
      <c r="C1104" s="198"/>
      <c r="D1104" s="199">
        <f>SUM(D1105:D1118)</f>
        <v>44764760.649999999</v>
      </c>
      <c r="E1104" s="31">
        <f t="shared" ref="E1104:AE1104" si="257">SUM(E1105:E1118)</f>
        <v>0</v>
      </c>
      <c r="F1104" s="31">
        <f t="shared" si="257"/>
        <v>0</v>
      </c>
      <c r="G1104" s="31">
        <f t="shared" si="257"/>
        <v>0</v>
      </c>
      <c r="H1104" s="31">
        <f t="shared" si="257"/>
        <v>415281.24</v>
      </c>
      <c r="I1104" s="31">
        <f t="shared" si="257"/>
        <v>0</v>
      </c>
      <c r="J1104" s="31">
        <f t="shared" si="257"/>
        <v>0</v>
      </c>
      <c r="K1104" s="67">
        <f t="shared" si="257"/>
        <v>0</v>
      </c>
      <c r="L1104" s="31">
        <f t="shared" si="257"/>
        <v>0</v>
      </c>
      <c r="M1104" s="31">
        <f t="shared" si="257"/>
        <v>7727.4100000000008</v>
      </c>
      <c r="N1104" s="31">
        <f t="shared" si="257"/>
        <v>41638670.140000008</v>
      </c>
      <c r="O1104" s="31">
        <f t="shared" si="257"/>
        <v>0</v>
      </c>
      <c r="P1104" s="31">
        <f t="shared" si="257"/>
        <v>0</v>
      </c>
      <c r="Q1104" s="31">
        <f t="shared" si="257"/>
        <v>0</v>
      </c>
      <c r="R1104" s="31">
        <f t="shared" si="257"/>
        <v>0</v>
      </c>
      <c r="S1104" s="31">
        <f t="shared" si="257"/>
        <v>0</v>
      </c>
      <c r="T1104" s="31">
        <f t="shared" si="257"/>
        <v>0</v>
      </c>
      <c r="U1104" s="31">
        <f t="shared" si="257"/>
        <v>0</v>
      </c>
      <c r="V1104" s="31">
        <f t="shared" si="257"/>
        <v>0</v>
      </c>
      <c r="W1104" s="31">
        <f t="shared" si="257"/>
        <v>0</v>
      </c>
      <c r="X1104" s="31">
        <f t="shared" si="257"/>
        <v>0</v>
      </c>
      <c r="Y1104" s="31">
        <f t="shared" si="257"/>
        <v>0</v>
      </c>
      <c r="Z1104" s="31">
        <f t="shared" si="257"/>
        <v>0</v>
      </c>
      <c r="AA1104" s="31">
        <f t="shared" si="257"/>
        <v>0</v>
      </c>
      <c r="AB1104" s="31">
        <f t="shared" si="257"/>
        <v>0</v>
      </c>
      <c r="AC1104" s="31">
        <f t="shared" si="257"/>
        <v>630809.27</v>
      </c>
      <c r="AD1104" s="31">
        <f t="shared" si="257"/>
        <v>1960000</v>
      </c>
      <c r="AE1104" s="31">
        <f t="shared" si="257"/>
        <v>120000</v>
      </c>
      <c r="AF1104" s="65" t="s">
        <v>751</v>
      </c>
      <c r="AG1104" s="65" t="s">
        <v>751</v>
      </c>
      <c r="AH1104" s="79" t="s">
        <v>751</v>
      </c>
      <c r="AT1104" s="20" t="e">
        <f t="shared" si="256"/>
        <v>#N/A</v>
      </c>
      <c r="BZ1104" s="31">
        <v>45048314.759999998</v>
      </c>
      <c r="CA1104" s="31"/>
      <c r="CB1104" s="31">
        <f>BZ1104-D1104</f>
        <v>283554.1099999994</v>
      </c>
    </row>
    <row r="1105" spans="1:78" ht="61.5" x14ac:dyDescent="0.85">
      <c r="A1105" s="20">
        <v>1</v>
      </c>
      <c r="B1105" s="60">
        <f>SUBTOTAL(103,$A$1036:A1105)</f>
        <v>69</v>
      </c>
      <c r="C1105" s="24" t="s">
        <v>466</v>
      </c>
      <c r="D1105" s="31">
        <f t="shared" si="251"/>
        <v>3951259.39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459">
        <v>0</v>
      </c>
      <c r="L1105" s="32">
        <v>0</v>
      </c>
      <c r="M1105" s="31">
        <v>648.4</v>
      </c>
      <c r="N1105" s="31">
        <v>3745083.14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2">
        <v>0</v>
      </c>
      <c r="V1105" s="32">
        <v>0</v>
      </c>
      <c r="W1105" s="32">
        <v>0</v>
      </c>
      <c r="X1105" s="32">
        <v>0</v>
      </c>
      <c r="Y1105" s="32">
        <v>0</v>
      </c>
      <c r="Z1105" s="32">
        <v>0</v>
      </c>
      <c r="AA1105" s="31">
        <v>0</v>
      </c>
      <c r="AB1105" s="31">
        <v>0</v>
      </c>
      <c r="AC1105" s="31">
        <f>ROUND(N1105*1.5%,2)</f>
        <v>56176.25</v>
      </c>
      <c r="AD1105" s="31">
        <v>150000</v>
      </c>
      <c r="AE1105" s="31">
        <v>0</v>
      </c>
      <c r="AF1105" s="33">
        <v>2022</v>
      </c>
      <c r="AG1105" s="33">
        <v>2022</v>
      </c>
      <c r="AH1105" s="34">
        <v>2022</v>
      </c>
      <c r="AT1105" s="20" t="e">
        <f t="shared" si="256"/>
        <v>#N/A</v>
      </c>
      <c r="BZ1105" s="64"/>
    </row>
    <row r="1106" spans="1:78" ht="61.5" x14ac:dyDescent="0.85">
      <c r="A1106" s="20">
        <v>1</v>
      </c>
      <c r="B1106" s="60">
        <f>SUBTOTAL(103,$A$1036:A1106)</f>
        <v>70</v>
      </c>
      <c r="C1106" s="24" t="s">
        <v>467</v>
      </c>
      <c r="D1106" s="31">
        <f t="shared" ref="D1106:D1118" si="258">E1106+F1106+G1106+H1106+I1106+J1106+L1106+N1106+P1106+R1106+T1106+U1106+V1106+W1106+X1106+Y1106+Z1106+AA1106+AB1106+AC1106+AD1106+AE1106</f>
        <v>2999201</v>
      </c>
      <c r="E1106" s="32">
        <v>0</v>
      </c>
      <c r="F1106" s="32">
        <v>0</v>
      </c>
      <c r="G1106" s="32">
        <v>0</v>
      </c>
      <c r="H1106" s="32">
        <v>0</v>
      </c>
      <c r="I1106" s="32">
        <v>0</v>
      </c>
      <c r="J1106" s="32">
        <v>0</v>
      </c>
      <c r="K1106" s="459">
        <v>0</v>
      </c>
      <c r="L1106" s="32">
        <v>0</v>
      </c>
      <c r="M1106" s="31">
        <v>547</v>
      </c>
      <c r="N1106" s="31">
        <v>2807094.58</v>
      </c>
      <c r="O1106" s="32">
        <v>0</v>
      </c>
      <c r="P1106" s="32">
        <v>0</v>
      </c>
      <c r="Q1106" s="32">
        <v>0</v>
      </c>
      <c r="R1106" s="32">
        <v>0</v>
      </c>
      <c r="S1106" s="32">
        <v>0</v>
      </c>
      <c r="T1106" s="32">
        <v>0</v>
      </c>
      <c r="U1106" s="32">
        <v>0</v>
      </c>
      <c r="V1106" s="32">
        <v>0</v>
      </c>
      <c r="W1106" s="32">
        <v>0</v>
      </c>
      <c r="X1106" s="32">
        <v>0</v>
      </c>
      <c r="Y1106" s="32">
        <v>0</v>
      </c>
      <c r="Z1106" s="32">
        <v>0</v>
      </c>
      <c r="AA1106" s="31">
        <v>0</v>
      </c>
      <c r="AB1106" s="31">
        <v>0</v>
      </c>
      <c r="AC1106" s="31">
        <f>ROUND(N1106*1.5%,2)</f>
        <v>42106.42</v>
      </c>
      <c r="AD1106" s="31">
        <v>150000</v>
      </c>
      <c r="AE1106" s="31">
        <v>0</v>
      </c>
      <c r="AF1106" s="33">
        <v>2022</v>
      </c>
      <c r="AG1106" s="33">
        <v>2022</v>
      </c>
      <c r="AH1106" s="34">
        <v>2022</v>
      </c>
      <c r="AT1106" s="20" t="e">
        <f t="shared" si="256"/>
        <v>#N/A</v>
      </c>
      <c r="BZ1106" s="64"/>
    </row>
    <row r="1107" spans="1:78" ht="61.5" x14ac:dyDescent="0.85">
      <c r="A1107" s="20">
        <v>1</v>
      </c>
      <c r="B1107" s="60">
        <f>SUBTOTAL(103,$A$1036:A1107)</f>
        <v>71</v>
      </c>
      <c r="C1107" s="24" t="s">
        <v>468</v>
      </c>
      <c r="D1107" s="31">
        <f t="shared" si="258"/>
        <v>2584541.12</v>
      </c>
      <c r="E1107" s="32">
        <v>0</v>
      </c>
      <c r="F1107" s="32">
        <v>0</v>
      </c>
      <c r="G1107" s="32">
        <v>0</v>
      </c>
      <c r="H1107" s="32">
        <v>0</v>
      </c>
      <c r="I1107" s="32">
        <v>0</v>
      </c>
      <c r="J1107" s="32">
        <v>0</v>
      </c>
      <c r="K1107" s="459">
        <v>0</v>
      </c>
      <c r="L1107" s="32">
        <v>0</v>
      </c>
      <c r="M1107" s="31">
        <v>493.2</v>
      </c>
      <c r="N1107" s="31">
        <v>2428119.33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2">
        <v>0</v>
      </c>
      <c r="V1107" s="32">
        <v>0</v>
      </c>
      <c r="W1107" s="32">
        <v>0</v>
      </c>
      <c r="X1107" s="32">
        <v>0</v>
      </c>
      <c r="Y1107" s="32">
        <v>0</v>
      </c>
      <c r="Z1107" s="32">
        <v>0</v>
      </c>
      <c r="AA1107" s="31">
        <v>0</v>
      </c>
      <c r="AB1107" s="31">
        <v>0</v>
      </c>
      <c r="AC1107" s="31">
        <f>ROUND(N1107*1.5%,2)</f>
        <v>36421.79</v>
      </c>
      <c r="AD1107" s="31">
        <v>120000</v>
      </c>
      <c r="AE1107" s="31">
        <v>0</v>
      </c>
      <c r="AF1107" s="33">
        <v>2022</v>
      </c>
      <c r="AG1107" s="33">
        <v>2022</v>
      </c>
      <c r="AH1107" s="34">
        <v>2022</v>
      </c>
      <c r="AT1107" s="20" t="e">
        <f t="shared" si="256"/>
        <v>#N/A</v>
      </c>
      <c r="BZ1107" s="64"/>
    </row>
    <row r="1108" spans="1:78" ht="61.5" x14ac:dyDescent="0.85">
      <c r="A1108" s="20">
        <v>1</v>
      </c>
      <c r="B1108" s="60">
        <f>SUBTOTAL(103,$A$1036:A1108)</f>
        <v>72</v>
      </c>
      <c r="C1108" s="24" t="s">
        <v>469</v>
      </c>
      <c r="D1108" s="31">
        <f t="shared" si="258"/>
        <v>6581549.3999999994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459">
        <v>0</v>
      </c>
      <c r="L1108" s="32">
        <v>0</v>
      </c>
      <c r="M1108" s="31">
        <v>1130</v>
      </c>
      <c r="N1108" s="31">
        <v>6306945.2199999997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2">
        <v>0</v>
      </c>
      <c r="V1108" s="32">
        <v>0</v>
      </c>
      <c r="W1108" s="32">
        <v>0</v>
      </c>
      <c r="X1108" s="32">
        <v>0</v>
      </c>
      <c r="Y1108" s="32">
        <v>0</v>
      </c>
      <c r="Z1108" s="32">
        <v>0</v>
      </c>
      <c r="AA1108" s="31">
        <v>0</v>
      </c>
      <c r="AB1108" s="31">
        <v>0</v>
      </c>
      <c r="AC1108" s="31">
        <f>ROUND(N1108*1.5%,2)</f>
        <v>94604.18</v>
      </c>
      <c r="AD1108" s="31">
        <v>180000</v>
      </c>
      <c r="AE1108" s="31">
        <v>0</v>
      </c>
      <c r="AF1108" s="33">
        <v>2022</v>
      </c>
      <c r="AG1108" s="33">
        <v>2022</v>
      </c>
      <c r="AH1108" s="34">
        <v>2022</v>
      </c>
      <c r="AT1108" s="20" t="e">
        <f t="shared" si="256"/>
        <v>#N/A</v>
      </c>
      <c r="BZ1108" s="64"/>
    </row>
    <row r="1109" spans="1:78" ht="61.5" x14ac:dyDescent="0.85">
      <c r="A1109" s="20">
        <v>1</v>
      </c>
      <c r="B1109" s="60">
        <f>SUBTOTAL(103,$A$1036:A1109)</f>
        <v>73</v>
      </c>
      <c r="C1109" s="24" t="s">
        <v>470</v>
      </c>
      <c r="D1109" s="31">
        <f t="shared" si="258"/>
        <v>4737312</v>
      </c>
      <c r="E1109" s="32">
        <v>0</v>
      </c>
      <c r="F1109" s="32">
        <v>0</v>
      </c>
      <c r="G1109" s="32">
        <v>0</v>
      </c>
      <c r="H1109" s="32">
        <v>0</v>
      </c>
      <c r="I1109" s="32">
        <v>0</v>
      </c>
      <c r="J1109" s="32">
        <v>0</v>
      </c>
      <c r="K1109" s="459">
        <v>0</v>
      </c>
      <c r="L1109" s="32">
        <v>0</v>
      </c>
      <c r="M1109" s="31">
        <v>864</v>
      </c>
      <c r="N1109" s="31">
        <v>4519519.21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2">
        <v>0</v>
      </c>
      <c r="V1109" s="32">
        <v>0</v>
      </c>
      <c r="W1109" s="32">
        <v>0</v>
      </c>
      <c r="X1109" s="32">
        <v>0</v>
      </c>
      <c r="Y1109" s="32">
        <v>0</v>
      </c>
      <c r="Z1109" s="32">
        <v>0</v>
      </c>
      <c r="AA1109" s="31">
        <v>0</v>
      </c>
      <c r="AB1109" s="31">
        <v>0</v>
      </c>
      <c r="AC1109" s="31">
        <f>ROUND(N1109*1.5%,2)</f>
        <v>67792.789999999994</v>
      </c>
      <c r="AD1109" s="31">
        <v>150000</v>
      </c>
      <c r="AE1109" s="31">
        <v>0</v>
      </c>
      <c r="AF1109" s="33">
        <v>2022</v>
      </c>
      <c r="AG1109" s="33">
        <v>2022</v>
      </c>
      <c r="AH1109" s="34">
        <v>2022</v>
      </c>
      <c r="AT1109" s="20" t="e">
        <f t="shared" si="256"/>
        <v>#N/A</v>
      </c>
      <c r="BZ1109" s="64"/>
    </row>
    <row r="1110" spans="1:78" ht="61.5" x14ac:dyDescent="0.85">
      <c r="A1110" s="20">
        <v>1</v>
      </c>
      <c r="B1110" s="60">
        <f>SUBTOTAL(103,$A$1036:A1110)</f>
        <v>74</v>
      </c>
      <c r="C1110" s="24" t="s">
        <v>471</v>
      </c>
      <c r="D1110" s="31">
        <f t="shared" si="258"/>
        <v>491510.45999999996</v>
      </c>
      <c r="E1110" s="32">
        <v>0</v>
      </c>
      <c r="F1110" s="32">
        <v>0</v>
      </c>
      <c r="G1110" s="32">
        <v>0</v>
      </c>
      <c r="H1110" s="31">
        <v>415281.24</v>
      </c>
      <c r="I1110" s="32">
        <v>0</v>
      </c>
      <c r="J1110" s="32">
        <v>0</v>
      </c>
      <c r="K1110" s="459">
        <v>0</v>
      </c>
      <c r="L1110" s="32">
        <v>0</v>
      </c>
      <c r="M1110" s="31">
        <v>0</v>
      </c>
      <c r="N1110" s="31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2">
        <v>0</v>
      </c>
      <c r="V1110" s="32">
        <v>0</v>
      </c>
      <c r="W1110" s="32">
        <v>0</v>
      </c>
      <c r="X1110" s="32">
        <v>0</v>
      </c>
      <c r="Y1110" s="32">
        <v>0</v>
      </c>
      <c r="Z1110" s="32">
        <v>0</v>
      </c>
      <c r="AA1110" s="31">
        <v>0</v>
      </c>
      <c r="AB1110" s="31">
        <v>0</v>
      </c>
      <c r="AC1110" s="31">
        <f>ROUND((E1110+F1110+G1110+H1110+I1110+J1110)*1.5%,2)</f>
        <v>6229.22</v>
      </c>
      <c r="AD1110" s="31">
        <v>70000</v>
      </c>
      <c r="AE1110" s="31">
        <v>0</v>
      </c>
      <c r="AF1110" s="33">
        <v>2022</v>
      </c>
      <c r="AG1110" s="33">
        <v>2022</v>
      </c>
      <c r="AH1110" s="34">
        <v>2022</v>
      </c>
      <c r="AT1110" s="20" t="e">
        <f t="shared" si="256"/>
        <v>#N/A</v>
      </c>
      <c r="BZ1110" s="64"/>
    </row>
    <row r="1111" spans="1:78" ht="61.5" x14ac:dyDescent="0.85">
      <c r="A1111" s="20">
        <v>1</v>
      </c>
      <c r="B1111" s="60">
        <f>SUBTOTAL(103,$A$1036:A1111)</f>
        <v>75</v>
      </c>
      <c r="C1111" s="24" t="s">
        <v>472</v>
      </c>
      <c r="D1111" s="31">
        <f t="shared" si="258"/>
        <v>3422817.5799999996</v>
      </c>
      <c r="E1111" s="32">
        <v>0</v>
      </c>
      <c r="F1111" s="32">
        <v>0</v>
      </c>
      <c r="G1111" s="32">
        <v>0</v>
      </c>
      <c r="H1111" s="32">
        <v>0</v>
      </c>
      <c r="I1111" s="32">
        <v>0</v>
      </c>
      <c r="J1111" s="32">
        <v>0</v>
      </c>
      <c r="K1111" s="459">
        <v>0</v>
      </c>
      <c r="L1111" s="32">
        <v>0</v>
      </c>
      <c r="M1111" s="31">
        <v>624.26</v>
      </c>
      <c r="N1111" s="31">
        <v>3224450.82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2">
        <v>0</v>
      </c>
      <c r="V1111" s="32">
        <v>0</v>
      </c>
      <c r="W1111" s="32">
        <v>0</v>
      </c>
      <c r="X1111" s="32">
        <v>0</v>
      </c>
      <c r="Y1111" s="32">
        <v>0</v>
      </c>
      <c r="Z1111" s="32">
        <v>0</v>
      </c>
      <c r="AA1111" s="31">
        <v>0</v>
      </c>
      <c r="AB1111" s="31">
        <v>0</v>
      </c>
      <c r="AC1111" s="31">
        <f t="shared" ref="AC1111:AC1116" si="259">ROUND(N1111*1.5%,2)</f>
        <v>48366.76</v>
      </c>
      <c r="AD1111" s="31">
        <v>150000</v>
      </c>
      <c r="AE1111" s="31">
        <v>0</v>
      </c>
      <c r="AF1111" s="33">
        <v>2022</v>
      </c>
      <c r="AG1111" s="33">
        <v>2022</v>
      </c>
      <c r="AH1111" s="34">
        <v>2022</v>
      </c>
      <c r="AT1111" s="20" t="e">
        <f t="shared" si="256"/>
        <v>#N/A</v>
      </c>
      <c r="BZ1111" s="64"/>
    </row>
    <row r="1112" spans="1:78" ht="61.5" x14ac:dyDescent="0.85">
      <c r="A1112" s="20">
        <v>1</v>
      </c>
      <c r="B1112" s="60">
        <f>SUBTOTAL(103,$A$1036:A1112)</f>
        <v>76</v>
      </c>
      <c r="C1112" s="24" t="s">
        <v>473</v>
      </c>
      <c r="D1112" s="31">
        <f t="shared" si="258"/>
        <v>2888444.4</v>
      </c>
      <c r="E1112" s="32">
        <v>0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  <c r="K1112" s="459">
        <v>0</v>
      </c>
      <c r="L1112" s="32">
        <v>0</v>
      </c>
      <c r="M1112" s="31">
        <v>526.79999999999995</v>
      </c>
      <c r="N1112" s="31">
        <v>2697974.78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2">
        <v>0</v>
      </c>
      <c r="V1112" s="32">
        <v>0</v>
      </c>
      <c r="W1112" s="32">
        <v>0</v>
      </c>
      <c r="X1112" s="32">
        <v>0</v>
      </c>
      <c r="Y1112" s="32">
        <v>0</v>
      </c>
      <c r="Z1112" s="32">
        <v>0</v>
      </c>
      <c r="AA1112" s="31">
        <v>0</v>
      </c>
      <c r="AB1112" s="31">
        <v>0</v>
      </c>
      <c r="AC1112" s="31">
        <f t="shared" si="259"/>
        <v>40469.620000000003</v>
      </c>
      <c r="AD1112" s="31">
        <v>150000</v>
      </c>
      <c r="AE1112" s="31">
        <v>0</v>
      </c>
      <c r="AF1112" s="33">
        <v>2022</v>
      </c>
      <c r="AG1112" s="33">
        <v>2022</v>
      </c>
      <c r="AH1112" s="34">
        <v>2022</v>
      </c>
      <c r="AT1112" s="20" t="e">
        <f t="shared" si="256"/>
        <v>#N/A</v>
      </c>
      <c r="BZ1112" s="64"/>
    </row>
    <row r="1113" spans="1:78" ht="61.5" x14ac:dyDescent="0.85">
      <c r="A1113" s="20">
        <v>1</v>
      </c>
      <c r="B1113" s="60">
        <f>SUBTOTAL(103,$A$1036:A1113)</f>
        <v>77</v>
      </c>
      <c r="C1113" s="24" t="s">
        <v>474</v>
      </c>
      <c r="D1113" s="31">
        <f t="shared" si="258"/>
        <v>3422817.5799999996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459">
        <v>0</v>
      </c>
      <c r="L1113" s="32">
        <v>0</v>
      </c>
      <c r="M1113" s="31">
        <v>624.26</v>
      </c>
      <c r="N1113" s="31">
        <v>3224450.82</v>
      </c>
      <c r="O1113" s="32">
        <v>0</v>
      </c>
      <c r="P1113" s="32">
        <v>0</v>
      </c>
      <c r="Q1113" s="32">
        <v>0</v>
      </c>
      <c r="R1113" s="32">
        <v>0</v>
      </c>
      <c r="S1113" s="32">
        <v>0</v>
      </c>
      <c r="T1113" s="32">
        <v>0</v>
      </c>
      <c r="U1113" s="32">
        <v>0</v>
      </c>
      <c r="V1113" s="32">
        <v>0</v>
      </c>
      <c r="W1113" s="32">
        <v>0</v>
      </c>
      <c r="X1113" s="32">
        <v>0</v>
      </c>
      <c r="Y1113" s="32">
        <v>0</v>
      </c>
      <c r="Z1113" s="32">
        <v>0</v>
      </c>
      <c r="AA1113" s="31">
        <v>0</v>
      </c>
      <c r="AB1113" s="31">
        <v>0</v>
      </c>
      <c r="AC1113" s="31">
        <f t="shared" si="259"/>
        <v>48366.76</v>
      </c>
      <c r="AD1113" s="31">
        <v>150000</v>
      </c>
      <c r="AE1113" s="31">
        <v>0</v>
      </c>
      <c r="AF1113" s="33">
        <v>2022</v>
      </c>
      <c r="AG1113" s="33">
        <v>2022</v>
      </c>
      <c r="AH1113" s="34">
        <v>2022</v>
      </c>
      <c r="AT1113" s="20" t="e">
        <f t="shared" si="256"/>
        <v>#N/A</v>
      </c>
      <c r="BZ1113" s="64"/>
    </row>
    <row r="1114" spans="1:78" ht="61.5" x14ac:dyDescent="0.85">
      <c r="A1114" s="20">
        <v>1</v>
      </c>
      <c r="B1114" s="60">
        <f>SUBTOTAL(103,$A$1036:A1114)</f>
        <v>78</v>
      </c>
      <c r="C1114" s="24" t="s">
        <v>475</v>
      </c>
      <c r="D1114" s="31">
        <f t="shared" si="258"/>
        <v>3106903.4</v>
      </c>
      <c r="E1114" s="32">
        <v>0</v>
      </c>
      <c r="F1114" s="32">
        <v>0</v>
      </c>
      <c r="G1114" s="32">
        <v>0</v>
      </c>
      <c r="H1114" s="32">
        <v>0</v>
      </c>
      <c r="I1114" s="32">
        <v>0</v>
      </c>
      <c r="J1114" s="32">
        <v>0</v>
      </c>
      <c r="K1114" s="459">
        <v>0</v>
      </c>
      <c r="L1114" s="32">
        <v>0</v>
      </c>
      <c r="M1114" s="31">
        <v>544.85</v>
      </c>
      <c r="N1114" s="31">
        <f>2664960.76+248244.56</f>
        <v>2913205.32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2">
        <v>0</v>
      </c>
      <c r="V1114" s="32">
        <v>0</v>
      </c>
      <c r="W1114" s="32">
        <v>0</v>
      </c>
      <c r="X1114" s="32">
        <v>0</v>
      </c>
      <c r="Y1114" s="32">
        <v>0</v>
      </c>
      <c r="Z1114" s="32">
        <v>0</v>
      </c>
      <c r="AA1114" s="31">
        <v>0</v>
      </c>
      <c r="AB1114" s="31">
        <v>0</v>
      </c>
      <c r="AC1114" s="31">
        <f t="shared" si="259"/>
        <v>43698.080000000002</v>
      </c>
      <c r="AD1114" s="31">
        <v>150000</v>
      </c>
      <c r="AE1114" s="31">
        <v>0</v>
      </c>
      <c r="AF1114" s="33">
        <v>2022</v>
      </c>
      <c r="AG1114" s="33">
        <v>2022</v>
      </c>
      <c r="AH1114" s="34">
        <v>2022</v>
      </c>
      <c r="AT1114" s="20" t="e">
        <f t="shared" si="256"/>
        <v>#N/A</v>
      </c>
      <c r="BZ1114" s="64"/>
    </row>
    <row r="1115" spans="1:78" ht="61.5" x14ac:dyDescent="0.85">
      <c r="A1115" s="20">
        <v>1</v>
      </c>
      <c r="B1115" s="60">
        <f>SUBTOTAL(103,$A$1036:A1115)</f>
        <v>79</v>
      </c>
      <c r="C1115" s="24" t="s">
        <v>1694</v>
      </c>
      <c r="D1115" s="31">
        <f t="shared" si="258"/>
        <v>2564145.2799999998</v>
      </c>
      <c r="E1115" s="30">
        <v>0</v>
      </c>
      <c r="F1115" s="32">
        <v>0</v>
      </c>
      <c r="G1115" s="30">
        <v>0</v>
      </c>
      <c r="H1115" s="32">
        <v>0</v>
      </c>
      <c r="I1115" s="32">
        <v>0</v>
      </c>
      <c r="J1115" s="32">
        <v>0</v>
      </c>
      <c r="K1115" s="459">
        <v>0</v>
      </c>
      <c r="L1115" s="32">
        <v>0</v>
      </c>
      <c r="M1115" s="31">
        <v>375</v>
      </c>
      <c r="N1115" s="31">
        <v>2378468.2599999998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2">
        <v>0</v>
      </c>
      <c r="V1115" s="32">
        <v>0</v>
      </c>
      <c r="W1115" s="32">
        <v>0</v>
      </c>
      <c r="X1115" s="32">
        <v>0</v>
      </c>
      <c r="Y1115" s="32">
        <v>0</v>
      </c>
      <c r="Z1115" s="32">
        <v>0</v>
      </c>
      <c r="AA1115" s="31">
        <v>0</v>
      </c>
      <c r="AB1115" s="31">
        <v>0</v>
      </c>
      <c r="AC1115" s="31">
        <f t="shared" si="259"/>
        <v>35677.019999999997</v>
      </c>
      <c r="AD1115" s="31">
        <v>150000</v>
      </c>
      <c r="AE1115" s="31">
        <v>0</v>
      </c>
      <c r="AF1115" s="33">
        <v>2022</v>
      </c>
      <c r="AG1115" s="33">
        <v>2022</v>
      </c>
      <c r="AH1115" s="34">
        <v>2022</v>
      </c>
      <c r="AT1115" s="20" t="e">
        <f t="shared" si="256"/>
        <v>#N/A</v>
      </c>
      <c r="BZ1115" s="64"/>
    </row>
    <row r="1116" spans="1:78" ht="61.5" x14ac:dyDescent="0.85">
      <c r="A1116" s="20">
        <v>1</v>
      </c>
      <c r="B1116" s="60">
        <f>SUBTOTAL(103,$A$1036:A1116)</f>
        <v>80</v>
      </c>
      <c r="C1116" s="24" t="s">
        <v>477</v>
      </c>
      <c r="D1116" s="31">
        <f t="shared" si="258"/>
        <v>3110189.0700000003</v>
      </c>
      <c r="E1116" s="32">
        <v>0</v>
      </c>
      <c r="F1116" s="32">
        <v>0</v>
      </c>
      <c r="G1116" s="32">
        <v>0</v>
      </c>
      <c r="H1116" s="32">
        <v>0</v>
      </c>
      <c r="I1116" s="32">
        <v>0</v>
      </c>
      <c r="J1116" s="32">
        <v>0</v>
      </c>
      <c r="K1116" s="459">
        <v>0</v>
      </c>
      <c r="L1116" s="32">
        <v>0</v>
      </c>
      <c r="M1116" s="31">
        <v>547</v>
      </c>
      <c r="N1116" s="31">
        <f>2667213.48+249224.14+4.81</f>
        <v>2916442.43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1">
        <v>0</v>
      </c>
      <c r="U1116" s="32">
        <v>0</v>
      </c>
      <c r="V1116" s="32">
        <v>0</v>
      </c>
      <c r="W1116" s="32">
        <v>0</v>
      </c>
      <c r="X1116" s="32">
        <v>0</v>
      </c>
      <c r="Y1116" s="32">
        <v>0</v>
      </c>
      <c r="Z1116" s="32">
        <v>0</v>
      </c>
      <c r="AA1116" s="31">
        <v>0</v>
      </c>
      <c r="AB1116" s="31">
        <v>0</v>
      </c>
      <c r="AC1116" s="31">
        <f t="shared" si="259"/>
        <v>43746.64</v>
      </c>
      <c r="AD1116" s="31">
        <v>150000</v>
      </c>
      <c r="AE1116" s="31">
        <v>0</v>
      </c>
      <c r="AF1116" s="33">
        <v>2022</v>
      </c>
      <c r="AG1116" s="33">
        <v>2022</v>
      </c>
      <c r="AH1116" s="34">
        <v>2022</v>
      </c>
      <c r="AT1116" s="20" t="e">
        <f t="shared" si="256"/>
        <v>#N/A</v>
      </c>
      <c r="BZ1116" s="64"/>
    </row>
    <row r="1117" spans="1:78" ht="61.5" x14ac:dyDescent="0.85">
      <c r="A1117" s="20">
        <v>1</v>
      </c>
      <c r="B1117" s="60">
        <f>SUBTOTAL(103,$A$1036:A1117)</f>
        <v>81</v>
      </c>
      <c r="C1117" s="24" t="s">
        <v>478</v>
      </c>
      <c r="D1117" s="31">
        <f t="shared" si="258"/>
        <v>2521758.64</v>
      </c>
      <c r="E1117" s="32">
        <v>0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459">
        <v>0</v>
      </c>
      <c r="L1117" s="32">
        <v>0</v>
      </c>
      <c r="M1117" s="31">
        <v>398.44</v>
      </c>
      <c r="N1117" s="31">
        <v>2366264.67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2">
        <v>0</v>
      </c>
      <c r="V1117" s="32">
        <v>0</v>
      </c>
      <c r="W1117" s="32">
        <v>0</v>
      </c>
      <c r="X1117" s="32">
        <v>0</v>
      </c>
      <c r="Y1117" s="32">
        <v>0</v>
      </c>
      <c r="Z1117" s="32">
        <v>0</v>
      </c>
      <c r="AA1117" s="31">
        <v>0</v>
      </c>
      <c r="AB1117" s="31">
        <v>0</v>
      </c>
      <c r="AC1117" s="31">
        <f>ROUND(N1117*1.5%,2)</f>
        <v>35493.97</v>
      </c>
      <c r="AD1117" s="31">
        <v>120000</v>
      </c>
      <c r="AE1117" s="31">
        <v>0</v>
      </c>
      <c r="AF1117" s="33">
        <v>2022</v>
      </c>
      <c r="AG1117" s="33">
        <v>2022</v>
      </c>
      <c r="AH1117" s="34">
        <v>2022</v>
      </c>
      <c r="AT1117" s="20" t="e">
        <f t="shared" si="256"/>
        <v>#N/A</v>
      </c>
      <c r="BZ1117" s="64"/>
    </row>
    <row r="1118" spans="1:78" ht="61.5" x14ac:dyDescent="0.85">
      <c r="A1118" s="20">
        <v>1</v>
      </c>
      <c r="B1118" s="60">
        <f>SUBTOTAL(103,$A$1036:A1118)</f>
        <v>82</v>
      </c>
      <c r="C1118" s="24" t="s">
        <v>1590</v>
      </c>
      <c r="D1118" s="31">
        <f t="shared" si="258"/>
        <v>2382311.33</v>
      </c>
      <c r="E1118" s="32">
        <v>0</v>
      </c>
      <c r="F1118" s="32">
        <v>0</v>
      </c>
      <c r="G1118" s="32">
        <v>0</v>
      </c>
      <c r="H1118" s="32">
        <v>0</v>
      </c>
      <c r="I1118" s="32">
        <v>0</v>
      </c>
      <c r="J1118" s="32">
        <v>0</v>
      </c>
      <c r="K1118" s="459">
        <v>0</v>
      </c>
      <c r="L1118" s="32">
        <v>0</v>
      </c>
      <c r="M1118" s="31">
        <v>404.2</v>
      </c>
      <c r="N1118" s="31">
        <v>2110651.56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2">
        <v>0</v>
      </c>
      <c r="V1118" s="32">
        <v>0</v>
      </c>
      <c r="W1118" s="32">
        <v>0</v>
      </c>
      <c r="X1118" s="32">
        <v>0</v>
      </c>
      <c r="Y1118" s="32">
        <v>0</v>
      </c>
      <c r="Z1118" s="32">
        <v>0</v>
      </c>
      <c r="AA1118" s="31">
        <v>0</v>
      </c>
      <c r="AB1118" s="31">
        <v>0</v>
      </c>
      <c r="AC1118" s="31">
        <f>ROUND(N1118*1.5%,2)</f>
        <v>31659.77</v>
      </c>
      <c r="AD1118" s="31">
        <v>120000</v>
      </c>
      <c r="AE1118" s="31">
        <v>120000</v>
      </c>
      <c r="AF1118" s="33">
        <v>2022</v>
      </c>
      <c r="AG1118" s="33">
        <v>2022</v>
      </c>
      <c r="AH1118" s="34">
        <v>2022</v>
      </c>
      <c r="BZ1118" s="64"/>
    </row>
    <row r="1119" spans="1:78" ht="61.5" x14ac:dyDescent="0.85">
      <c r="B1119" s="24" t="s">
        <v>757</v>
      </c>
      <c r="C1119" s="198"/>
      <c r="D1119" s="199">
        <f t="shared" ref="D1119:AE1119" si="260">SUM(D1120:D1145)</f>
        <v>90625537.659999982</v>
      </c>
      <c r="E1119" s="31">
        <f t="shared" si="260"/>
        <v>0</v>
      </c>
      <c r="F1119" s="31">
        <f t="shared" si="260"/>
        <v>501213.02</v>
      </c>
      <c r="G1119" s="31">
        <f t="shared" si="260"/>
        <v>2727709.55</v>
      </c>
      <c r="H1119" s="31">
        <f t="shared" si="260"/>
        <v>377747.66</v>
      </c>
      <c r="I1119" s="31">
        <f t="shared" si="260"/>
        <v>1074076.8500000001</v>
      </c>
      <c r="J1119" s="31">
        <f t="shared" si="260"/>
        <v>0</v>
      </c>
      <c r="K1119" s="67">
        <f t="shared" si="260"/>
        <v>5</v>
      </c>
      <c r="L1119" s="31">
        <f t="shared" si="260"/>
        <v>10631631.530000001</v>
      </c>
      <c r="M1119" s="31">
        <f t="shared" si="260"/>
        <v>13835</v>
      </c>
      <c r="N1119" s="31">
        <f t="shared" si="260"/>
        <v>64129525.969999999</v>
      </c>
      <c r="O1119" s="31">
        <f t="shared" si="260"/>
        <v>0</v>
      </c>
      <c r="P1119" s="31">
        <f t="shared" si="260"/>
        <v>0</v>
      </c>
      <c r="Q1119" s="31">
        <f t="shared" si="260"/>
        <v>1050</v>
      </c>
      <c r="R1119" s="31">
        <f t="shared" si="260"/>
        <v>5664975.3700000001</v>
      </c>
      <c r="S1119" s="31">
        <f t="shared" si="260"/>
        <v>19.07</v>
      </c>
      <c r="T1119" s="31">
        <f t="shared" si="260"/>
        <v>671457.14</v>
      </c>
      <c r="U1119" s="31">
        <f t="shared" si="260"/>
        <v>0</v>
      </c>
      <c r="V1119" s="31">
        <f t="shared" si="260"/>
        <v>0</v>
      </c>
      <c r="W1119" s="31">
        <f t="shared" si="260"/>
        <v>0</v>
      </c>
      <c r="X1119" s="31">
        <f t="shared" si="260"/>
        <v>0</v>
      </c>
      <c r="Y1119" s="31">
        <f t="shared" si="260"/>
        <v>0</v>
      </c>
      <c r="Z1119" s="31">
        <f t="shared" si="260"/>
        <v>0</v>
      </c>
      <c r="AA1119" s="31">
        <f t="shared" si="260"/>
        <v>0</v>
      </c>
      <c r="AB1119" s="31">
        <f t="shared" si="260"/>
        <v>0</v>
      </c>
      <c r="AC1119" s="31">
        <f t="shared" si="260"/>
        <v>1127200.57</v>
      </c>
      <c r="AD1119" s="31">
        <f t="shared" si="260"/>
        <v>3600000</v>
      </c>
      <c r="AE1119" s="31">
        <f t="shared" si="260"/>
        <v>120000</v>
      </c>
      <c r="AF1119" s="65" t="s">
        <v>751</v>
      </c>
      <c r="AG1119" s="65" t="s">
        <v>751</v>
      </c>
      <c r="AH1119" s="79" t="s">
        <v>751</v>
      </c>
      <c r="AT1119" s="20" t="e">
        <f t="shared" ref="AT1119:AT1155" si="261">VLOOKUP(C1119,AW:AX,2,FALSE)</f>
        <v>#N/A</v>
      </c>
      <c r="BZ1119" s="64">
        <v>91626897.959999993</v>
      </c>
    </row>
    <row r="1120" spans="1:78" ht="61.5" x14ac:dyDescent="0.85">
      <c r="A1120" s="20">
        <v>1</v>
      </c>
      <c r="B1120" s="60">
        <f>SUBTOTAL(103,$A$1036:A1120)</f>
        <v>83</v>
      </c>
      <c r="C1120" s="24" t="s">
        <v>423</v>
      </c>
      <c r="D1120" s="31">
        <f t="shared" ref="D1120:D1145" si="262">E1120+F1120+G1120+H1120+I1120+J1120+L1120+N1120+P1120+R1120+T1120+U1120+V1120+W1120+X1120+Y1120+Z1120+AA1120+AB1120+AC1120+AD1120+AE1120</f>
        <v>4487224.8899999997</v>
      </c>
      <c r="E1120" s="31">
        <v>0</v>
      </c>
      <c r="F1120" s="31">
        <v>0</v>
      </c>
      <c r="G1120" s="31">
        <v>0</v>
      </c>
      <c r="H1120" s="31">
        <v>0</v>
      </c>
      <c r="I1120" s="31">
        <v>0</v>
      </c>
      <c r="J1120" s="31">
        <v>0</v>
      </c>
      <c r="K1120" s="67">
        <v>0</v>
      </c>
      <c r="L1120" s="31">
        <v>0</v>
      </c>
      <c r="M1120" s="31">
        <v>930</v>
      </c>
      <c r="N1120" s="31">
        <v>4273127.97</v>
      </c>
      <c r="O1120" s="31">
        <v>0</v>
      </c>
      <c r="P1120" s="31">
        <v>0</v>
      </c>
      <c r="Q1120" s="31">
        <v>0</v>
      </c>
      <c r="R1120" s="31">
        <v>0</v>
      </c>
      <c r="S1120" s="31">
        <v>0</v>
      </c>
      <c r="T1120" s="31">
        <v>0</v>
      </c>
      <c r="U1120" s="31">
        <v>0</v>
      </c>
      <c r="V1120" s="31">
        <v>0</v>
      </c>
      <c r="W1120" s="31">
        <v>0</v>
      </c>
      <c r="X1120" s="31">
        <v>0</v>
      </c>
      <c r="Y1120" s="31">
        <v>0</v>
      </c>
      <c r="Z1120" s="31">
        <v>0</v>
      </c>
      <c r="AA1120" s="31">
        <v>0</v>
      </c>
      <c r="AB1120" s="31">
        <v>0</v>
      </c>
      <c r="AC1120" s="31">
        <f>ROUND(N1120*1.5%,2)</f>
        <v>64096.92</v>
      </c>
      <c r="AD1120" s="31">
        <v>150000</v>
      </c>
      <c r="AE1120" s="31">
        <v>0</v>
      </c>
      <c r="AF1120" s="33">
        <v>2022</v>
      </c>
      <c r="AG1120" s="33">
        <v>2022</v>
      </c>
      <c r="AH1120" s="34">
        <v>2022</v>
      </c>
      <c r="AT1120" s="20" t="e">
        <f t="shared" si="261"/>
        <v>#N/A</v>
      </c>
      <c r="BZ1120" s="64"/>
    </row>
    <row r="1121" spans="1:82" ht="61.5" x14ac:dyDescent="0.85">
      <c r="A1121" s="20">
        <v>1</v>
      </c>
      <c r="B1121" s="60">
        <f>SUBTOTAL(103,$A$1036:A1121)</f>
        <v>84</v>
      </c>
      <c r="C1121" s="24" t="s">
        <v>424</v>
      </c>
      <c r="D1121" s="31">
        <f t="shared" si="262"/>
        <v>3810770.28</v>
      </c>
      <c r="E1121" s="31">
        <v>0</v>
      </c>
      <c r="F1121" s="31">
        <v>501213.02</v>
      </c>
      <c r="G1121" s="31">
        <f>1795210.65+932498.9</f>
        <v>2727709.55</v>
      </c>
      <c r="H1121" s="31">
        <v>377747.66</v>
      </c>
      <c r="I1121" s="31">
        <v>0</v>
      </c>
      <c r="J1121" s="31">
        <v>0</v>
      </c>
      <c r="K1121" s="67">
        <v>0</v>
      </c>
      <c r="L1121" s="31">
        <v>0</v>
      </c>
      <c r="M1121" s="31">
        <v>0</v>
      </c>
      <c r="N1121" s="31">
        <v>0</v>
      </c>
      <c r="O1121" s="31">
        <v>0</v>
      </c>
      <c r="P1121" s="31">
        <v>0</v>
      </c>
      <c r="Q1121" s="31">
        <v>0</v>
      </c>
      <c r="R1121" s="31">
        <v>0</v>
      </c>
      <c r="S1121" s="31">
        <v>0</v>
      </c>
      <c r="T1121" s="31">
        <v>0</v>
      </c>
      <c r="U1121" s="31">
        <v>0</v>
      </c>
      <c r="V1121" s="31">
        <v>0</v>
      </c>
      <c r="W1121" s="31">
        <v>0</v>
      </c>
      <c r="X1121" s="31">
        <v>0</v>
      </c>
      <c r="Y1121" s="31">
        <v>0</v>
      </c>
      <c r="Z1121" s="31">
        <v>0</v>
      </c>
      <c r="AA1121" s="31">
        <v>0</v>
      </c>
      <c r="AB1121" s="31">
        <v>0</v>
      </c>
      <c r="AC1121" s="31">
        <f>ROUND((F1121+G1121+H1121)*1.5%,2)</f>
        <v>54100.05</v>
      </c>
      <c r="AD1121" s="31">
        <v>150000</v>
      </c>
      <c r="AE1121" s="31">
        <v>0</v>
      </c>
      <c r="AF1121" s="33">
        <v>2022</v>
      </c>
      <c r="AG1121" s="33">
        <v>2022</v>
      </c>
      <c r="AH1121" s="34">
        <v>2022</v>
      </c>
      <c r="AT1121" s="20" t="e">
        <f t="shared" si="261"/>
        <v>#N/A</v>
      </c>
      <c r="BZ1121" s="64"/>
    </row>
    <row r="1122" spans="1:82" ht="61.5" x14ac:dyDescent="0.85">
      <c r="A1122" s="20">
        <v>1</v>
      </c>
      <c r="B1122" s="60">
        <f>SUBTOTAL(103,$A$1036:A1122)</f>
        <v>85</v>
      </c>
      <c r="C1122" s="24" t="s">
        <v>425</v>
      </c>
      <c r="D1122" s="31">
        <f t="shared" si="262"/>
        <v>5394319.6899999995</v>
      </c>
      <c r="E1122" s="31">
        <v>0</v>
      </c>
      <c r="F1122" s="31">
        <v>0</v>
      </c>
      <c r="G1122" s="31">
        <v>0</v>
      </c>
      <c r="H1122" s="31">
        <v>0</v>
      </c>
      <c r="I1122" s="31">
        <v>0</v>
      </c>
      <c r="J1122" s="31">
        <v>0</v>
      </c>
      <c r="K1122" s="67">
        <v>0</v>
      </c>
      <c r="L1122" s="31">
        <v>0</v>
      </c>
      <c r="M1122" s="31">
        <v>1118</v>
      </c>
      <c r="N1122" s="31">
        <v>5137260.7799999993</v>
      </c>
      <c r="O1122" s="31">
        <v>0</v>
      </c>
      <c r="P1122" s="31">
        <v>0</v>
      </c>
      <c r="Q1122" s="31">
        <v>0</v>
      </c>
      <c r="R1122" s="31">
        <v>0</v>
      </c>
      <c r="S1122" s="31">
        <v>0</v>
      </c>
      <c r="T1122" s="31">
        <v>0</v>
      </c>
      <c r="U1122" s="31">
        <v>0</v>
      </c>
      <c r="V1122" s="31">
        <v>0</v>
      </c>
      <c r="W1122" s="31">
        <v>0</v>
      </c>
      <c r="X1122" s="31">
        <v>0</v>
      </c>
      <c r="Y1122" s="31">
        <v>0</v>
      </c>
      <c r="Z1122" s="31">
        <v>0</v>
      </c>
      <c r="AA1122" s="31">
        <v>0</v>
      </c>
      <c r="AB1122" s="31">
        <v>0</v>
      </c>
      <c r="AC1122" s="31">
        <f>ROUND(N1122*1.5%,2)</f>
        <v>77058.91</v>
      </c>
      <c r="AD1122" s="31">
        <v>180000</v>
      </c>
      <c r="AE1122" s="31">
        <v>0</v>
      </c>
      <c r="AF1122" s="33">
        <v>2022</v>
      </c>
      <c r="AG1122" s="33">
        <v>2022</v>
      </c>
      <c r="AH1122" s="34">
        <v>2022</v>
      </c>
      <c r="AT1122" s="20" t="e">
        <f t="shared" si="261"/>
        <v>#N/A</v>
      </c>
      <c r="BZ1122" s="64"/>
    </row>
    <row r="1123" spans="1:82" ht="61.5" x14ac:dyDescent="0.85">
      <c r="A1123" s="20">
        <v>1</v>
      </c>
      <c r="B1123" s="60">
        <f>SUBTOTAL(103,$A$1036:A1123)</f>
        <v>86</v>
      </c>
      <c r="C1123" s="24" t="s">
        <v>426</v>
      </c>
      <c r="D1123" s="31">
        <f t="shared" si="262"/>
        <v>5949950</v>
      </c>
      <c r="E1123" s="31">
        <v>0</v>
      </c>
      <c r="F1123" s="31">
        <v>0</v>
      </c>
      <c r="G1123" s="31">
        <v>0</v>
      </c>
      <c r="H1123" s="31">
        <v>0</v>
      </c>
      <c r="I1123" s="31">
        <v>0</v>
      </c>
      <c r="J1123" s="31">
        <v>0</v>
      </c>
      <c r="K1123" s="67">
        <v>0</v>
      </c>
      <c r="L1123" s="31">
        <v>0</v>
      </c>
      <c r="M1123" s="31">
        <v>0</v>
      </c>
      <c r="N1123" s="31">
        <v>0</v>
      </c>
      <c r="O1123" s="31">
        <v>0</v>
      </c>
      <c r="P1123" s="31">
        <v>0</v>
      </c>
      <c r="Q1123" s="31">
        <v>1050</v>
      </c>
      <c r="R1123" s="31">
        <v>5664975.3700000001</v>
      </c>
      <c r="S1123" s="31">
        <v>0</v>
      </c>
      <c r="T1123" s="31">
        <v>0</v>
      </c>
      <c r="U1123" s="31">
        <v>0</v>
      </c>
      <c r="V1123" s="31">
        <v>0</v>
      </c>
      <c r="W1123" s="31">
        <v>0</v>
      </c>
      <c r="X1123" s="31">
        <v>0</v>
      </c>
      <c r="Y1123" s="31">
        <v>0</v>
      </c>
      <c r="Z1123" s="31">
        <v>0</v>
      </c>
      <c r="AA1123" s="31">
        <v>0</v>
      </c>
      <c r="AB1123" s="31">
        <v>0</v>
      </c>
      <c r="AC1123" s="31">
        <f>ROUND(R1123*1.5%,2)</f>
        <v>84974.63</v>
      </c>
      <c r="AD1123" s="31">
        <v>200000</v>
      </c>
      <c r="AE1123" s="31">
        <v>0</v>
      </c>
      <c r="AF1123" s="33">
        <v>2022</v>
      </c>
      <c r="AG1123" s="33">
        <v>2022</v>
      </c>
      <c r="AH1123" s="34">
        <v>2022</v>
      </c>
      <c r="AT1123" s="20" t="e">
        <f t="shared" si="261"/>
        <v>#N/A</v>
      </c>
      <c r="BZ1123" s="64"/>
    </row>
    <row r="1124" spans="1:82" ht="61.5" x14ac:dyDescent="0.85">
      <c r="A1124" s="20">
        <v>1</v>
      </c>
      <c r="B1124" s="60">
        <f>SUBTOTAL(103,$A$1036:A1124)</f>
        <v>87</v>
      </c>
      <c r="C1124" s="24" t="s">
        <v>419</v>
      </c>
      <c r="D1124" s="31">
        <f t="shared" si="262"/>
        <v>2345314.9499999997</v>
      </c>
      <c r="E1124" s="31">
        <v>0</v>
      </c>
      <c r="F1124" s="31">
        <v>0</v>
      </c>
      <c r="G1124" s="31">
        <v>0</v>
      </c>
      <c r="H1124" s="31">
        <v>0</v>
      </c>
      <c r="I1124" s="31">
        <v>0</v>
      </c>
      <c r="J1124" s="31">
        <v>0</v>
      </c>
      <c r="K1124" s="67">
        <v>0</v>
      </c>
      <c r="L1124" s="31">
        <v>0</v>
      </c>
      <c r="M1124" s="31">
        <v>365</v>
      </c>
      <c r="N1124" s="31">
        <v>2074201.92</v>
      </c>
      <c r="O1124" s="31">
        <v>0</v>
      </c>
      <c r="P1124" s="31">
        <v>0</v>
      </c>
      <c r="Q1124" s="31">
        <v>0</v>
      </c>
      <c r="R1124" s="31">
        <v>0</v>
      </c>
      <c r="S1124" s="31">
        <v>0</v>
      </c>
      <c r="T1124" s="31">
        <v>0</v>
      </c>
      <c r="U1124" s="31">
        <v>0</v>
      </c>
      <c r="V1124" s="31">
        <v>0</v>
      </c>
      <c r="W1124" s="31">
        <v>0</v>
      </c>
      <c r="X1124" s="31">
        <v>0</v>
      </c>
      <c r="Y1124" s="31">
        <v>0</v>
      </c>
      <c r="Z1124" s="31">
        <v>0</v>
      </c>
      <c r="AA1124" s="31">
        <v>0</v>
      </c>
      <c r="AB1124" s="31">
        <v>0</v>
      </c>
      <c r="AC1124" s="31">
        <f>ROUND(N1124*1.5%,2)</f>
        <v>31113.03</v>
      </c>
      <c r="AD1124" s="31">
        <v>120000</v>
      </c>
      <c r="AE1124" s="31">
        <v>120000</v>
      </c>
      <c r="AF1124" s="33">
        <v>2022</v>
      </c>
      <c r="AG1124" s="33">
        <v>2022</v>
      </c>
      <c r="AH1124" s="33">
        <v>2022</v>
      </c>
      <c r="AT1124" s="20" t="e">
        <f t="shared" si="261"/>
        <v>#N/A</v>
      </c>
      <c r="BZ1124" s="64"/>
      <c r="CD1124" s="20" t="e">
        <f>VLOOKUP(C1124,CE:CF,2,FALSE)</f>
        <v>#N/A</v>
      </c>
    </row>
    <row r="1125" spans="1:82" ht="61.5" x14ac:dyDescent="0.85">
      <c r="A1125" s="20">
        <v>1</v>
      </c>
      <c r="B1125" s="60">
        <f>SUBTOTAL(103,$A$1036:A1125)</f>
        <v>88</v>
      </c>
      <c r="C1125" s="24" t="s">
        <v>428</v>
      </c>
      <c r="D1125" s="31">
        <f t="shared" si="262"/>
        <v>8270003.5300000003</v>
      </c>
      <c r="E1125" s="31">
        <v>0</v>
      </c>
      <c r="F1125" s="31">
        <v>0</v>
      </c>
      <c r="G1125" s="31">
        <v>0</v>
      </c>
      <c r="H1125" s="31">
        <v>0</v>
      </c>
      <c r="I1125" s="31">
        <v>0</v>
      </c>
      <c r="J1125" s="31">
        <v>0</v>
      </c>
      <c r="K1125" s="67">
        <v>0</v>
      </c>
      <c r="L1125" s="31">
        <v>0</v>
      </c>
      <c r="M1125" s="31">
        <v>1714</v>
      </c>
      <c r="N1125" s="31">
        <v>7970446.8300000001</v>
      </c>
      <c r="O1125" s="31">
        <v>0</v>
      </c>
      <c r="P1125" s="31">
        <v>0</v>
      </c>
      <c r="Q1125" s="31">
        <v>0</v>
      </c>
      <c r="R1125" s="31">
        <v>0</v>
      </c>
      <c r="S1125" s="31">
        <v>0</v>
      </c>
      <c r="T1125" s="31">
        <v>0</v>
      </c>
      <c r="U1125" s="31">
        <v>0</v>
      </c>
      <c r="V1125" s="31">
        <v>0</v>
      </c>
      <c r="W1125" s="31">
        <v>0</v>
      </c>
      <c r="X1125" s="31">
        <v>0</v>
      </c>
      <c r="Y1125" s="31">
        <v>0</v>
      </c>
      <c r="Z1125" s="31">
        <v>0</v>
      </c>
      <c r="AA1125" s="31">
        <v>0</v>
      </c>
      <c r="AB1125" s="31">
        <v>0</v>
      </c>
      <c r="AC1125" s="31">
        <f>ROUND(N1125*1.5%,2)</f>
        <v>119556.7</v>
      </c>
      <c r="AD1125" s="31">
        <v>180000</v>
      </c>
      <c r="AE1125" s="31">
        <v>0</v>
      </c>
      <c r="AF1125" s="33">
        <v>2022</v>
      </c>
      <c r="AG1125" s="33">
        <v>2022</v>
      </c>
      <c r="AH1125" s="34">
        <v>2022</v>
      </c>
      <c r="AT1125" s="20" t="e">
        <f t="shared" si="261"/>
        <v>#N/A</v>
      </c>
      <c r="BZ1125" s="64"/>
    </row>
    <row r="1126" spans="1:82" ht="61.5" x14ac:dyDescent="0.85">
      <c r="A1126" s="20">
        <v>1</v>
      </c>
      <c r="B1126" s="60">
        <f>SUBTOTAL(103,$A$1036:A1126)</f>
        <v>89</v>
      </c>
      <c r="C1126" s="24" t="s">
        <v>429</v>
      </c>
      <c r="D1126" s="31">
        <f t="shared" si="262"/>
        <v>2894983.73</v>
      </c>
      <c r="E1126" s="31">
        <v>0</v>
      </c>
      <c r="F1126" s="31">
        <v>0</v>
      </c>
      <c r="G1126" s="31">
        <v>0</v>
      </c>
      <c r="H1126" s="31">
        <v>0</v>
      </c>
      <c r="I1126" s="31">
        <v>0</v>
      </c>
      <c r="J1126" s="31">
        <v>0</v>
      </c>
      <c r="K1126" s="67">
        <v>0</v>
      </c>
      <c r="L1126" s="31">
        <v>0</v>
      </c>
      <c r="M1126" s="31">
        <v>600</v>
      </c>
      <c r="N1126" s="31">
        <v>2704417.47</v>
      </c>
      <c r="O1126" s="31">
        <v>0</v>
      </c>
      <c r="P1126" s="31">
        <v>0</v>
      </c>
      <c r="Q1126" s="31">
        <v>0</v>
      </c>
      <c r="R1126" s="31">
        <v>0</v>
      </c>
      <c r="S1126" s="31">
        <v>0</v>
      </c>
      <c r="T1126" s="31">
        <v>0</v>
      </c>
      <c r="U1126" s="31">
        <v>0</v>
      </c>
      <c r="V1126" s="31">
        <v>0</v>
      </c>
      <c r="W1126" s="31">
        <v>0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f>ROUND(N1126*1.5%,2)</f>
        <v>40566.26</v>
      </c>
      <c r="AD1126" s="31">
        <v>150000</v>
      </c>
      <c r="AE1126" s="31">
        <v>0</v>
      </c>
      <c r="AF1126" s="33">
        <v>2022</v>
      </c>
      <c r="AG1126" s="33">
        <v>2022</v>
      </c>
      <c r="AH1126" s="34">
        <v>2022</v>
      </c>
      <c r="AT1126" s="20" t="e">
        <f t="shared" si="261"/>
        <v>#N/A</v>
      </c>
      <c r="BZ1126" s="64"/>
    </row>
    <row r="1127" spans="1:82" ht="61.5" x14ac:dyDescent="0.85">
      <c r="A1127" s="20">
        <v>1</v>
      </c>
      <c r="B1127" s="60">
        <f>SUBTOTAL(103,$A$1036:A1127)</f>
        <v>90</v>
      </c>
      <c r="C1127" s="24" t="s">
        <v>1697</v>
      </c>
      <c r="D1127" s="31">
        <f t="shared" si="262"/>
        <v>1688740.5100000002</v>
      </c>
      <c r="E1127" s="31">
        <v>0</v>
      </c>
      <c r="F1127" s="31">
        <v>0</v>
      </c>
      <c r="G1127" s="31">
        <v>0</v>
      </c>
      <c r="H1127" s="31">
        <v>0</v>
      </c>
      <c r="I1127" s="31">
        <v>0</v>
      </c>
      <c r="J1127" s="31">
        <v>0</v>
      </c>
      <c r="K1127" s="67">
        <v>0</v>
      </c>
      <c r="L1127" s="31">
        <v>0</v>
      </c>
      <c r="M1127" s="31">
        <v>350</v>
      </c>
      <c r="N1127" s="31">
        <v>1545557.1500000001</v>
      </c>
      <c r="O1127" s="31">
        <v>0</v>
      </c>
      <c r="P1127" s="31">
        <v>0</v>
      </c>
      <c r="Q1127" s="31">
        <v>0</v>
      </c>
      <c r="R1127" s="31">
        <v>0</v>
      </c>
      <c r="S1127" s="31">
        <v>0</v>
      </c>
      <c r="T1127" s="31">
        <v>0</v>
      </c>
      <c r="U1127" s="31">
        <v>0</v>
      </c>
      <c r="V1127" s="31">
        <v>0</v>
      </c>
      <c r="W1127" s="31">
        <v>0</v>
      </c>
      <c r="X1127" s="31">
        <v>0</v>
      </c>
      <c r="Y1127" s="31">
        <v>0</v>
      </c>
      <c r="Z1127" s="31">
        <v>0</v>
      </c>
      <c r="AA1127" s="31">
        <v>0</v>
      </c>
      <c r="AB1127" s="31">
        <v>0</v>
      </c>
      <c r="AC1127" s="31">
        <f>ROUND(N1127*1.5%,2)</f>
        <v>23183.360000000001</v>
      </c>
      <c r="AD1127" s="31">
        <v>120000</v>
      </c>
      <c r="AE1127" s="31">
        <v>0</v>
      </c>
      <c r="AF1127" s="33">
        <v>2022</v>
      </c>
      <c r="AG1127" s="33">
        <v>2022</v>
      </c>
      <c r="AH1127" s="34">
        <v>2022</v>
      </c>
      <c r="AT1127" s="20" t="e">
        <f t="shared" si="261"/>
        <v>#N/A</v>
      </c>
      <c r="BZ1127" s="64"/>
    </row>
    <row r="1128" spans="1:82" ht="61.5" x14ac:dyDescent="0.85">
      <c r="A1128" s="20">
        <v>1</v>
      </c>
      <c r="B1128" s="60">
        <f>SUBTOTAL(103,$A$1036:A1128)</f>
        <v>91</v>
      </c>
      <c r="C1128" s="24" t="s">
        <v>204</v>
      </c>
      <c r="D1128" s="31">
        <f t="shared" si="262"/>
        <v>4821497.92</v>
      </c>
      <c r="E1128" s="31">
        <v>0</v>
      </c>
      <c r="F1128" s="31">
        <v>0</v>
      </c>
      <c r="G1128" s="31">
        <v>0</v>
      </c>
      <c r="H1128" s="31">
        <v>0</v>
      </c>
      <c r="I1128" s="31">
        <v>0</v>
      </c>
      <c r="J1128" s="31">
        <v>0</v>
      </c>
      <c r="K1128" s="67">
        <v>0</v>
      </c>
      <c r="L1128" s="31">
        <v>0</v>
      </c>
      <c r="M1128" s="31">
        <v>999</v>
      </c>
      <c r="N1128" s="31">
        <v>4602461</v>
      </c>
      <c r="O1128" s="31">
        <v>0</v>
      </c>
      <c r="P1128" s="31">
        <v>0</v>
      </c>
      <c r="Q1128" s="31">
        <v>0</v>
      </c>
      <c r="R1128" s="31">
        <v>0</v>
      </c>
      <c r="S1128" s="31">
        <v>0</v>
      </c>
      <c r="T1128" s="31">
        <v>0</v>
      </c>
      <c r="U1128" s="31">
        <v>0</v>
      </c>
      <c r="V1128" s="31">
        <v>0</v>
      </c>
      <c r="W1128" s="31">
        <v>0</v>
      </c>
      <c r="X1128" s="31">
        <v>0</v>
      </c>
      <c r="Y1128" s="31">
        <v>0</v>
      </c>
      <c r="Z1128" s="31">
        <v>0</v>
      </c>
      <c r="AA1128" s="31">
        <v>0</v>
      </c>
      <c r="AB1128" s="31">
        <v>0</v>
      </c>
      <c r="AC1128" s="31">
        <f>ROUND(N1128*1.5%,2)</f>
        <v>69036.92</v>
      </c>
      <c r="AD1128" s="31">
        <v>150000</v>
      </c>
      <c r="AE1128" s="31">
        <v>0</v>
      </c>
      <c r="AF1128" s="33">
        <v>2022</v>
      </c>
      <c r="AG1128" s="33">
        <v>2022</v>
      </c>
      <c r="AH1128" s="34">
        <v>2022</v>
      </c>
      <c r="AT1128" s="20" t="e">
        <f t="shared" si="261"/>
        <v>#N/A</v>
      </c>
      <c r="BZ1128" s="64"/>
    </row>
    <row r="1129" spans="1:82" ht="61.5" x14ac:dyDescent="0.85">
      <c r="A1129" s="20">
        <v>1</v>
      </c>
      <c r="B1129" s="60">
        <f>SUBTOTAL(103,$A$1036:A1129)</f>
        <v>92</v>
      </c>
      <c r="C1129" s="24" t="s">
        <v>205</v>
      </c>
      <c r="D1129" s="31">
        <f t="shared" si="262"/>
        <v>527907</v>
      </c>
      <c r="E1129" s="31">
        <v>0</v>
      </c>
      <c r="F1129" s="31">
        <v>0</v>
      </c>
      <c r="G1129" s="31">
        <v>0</v>
      </c>
      <c r="H1129" s="31">
        <v>0</v>
      </c>
      <c r="I1129" s="31">
        <v>451139.9</v>
      </c>
      <c r="J1129" s="31">
        <v>0</v>
      </c>
      <c r="K1129" s="67">
        <v>0</v>
      </c>
      <c r="L1129" s="31">
        <v>0</v>
      </c>
      <c r="M1129" s="31">
        <v>0</v>
      </c>
      <c r="N1129" s="31">
        <v>0</v>
      </c>
      <c r="O1129" s="31">
        <v>0</v>
      </c>
      <c r="P1129" s="31">
        <v>0</v>
      </c>
      <c r="Q1129" s="31">
        <v>0</v>
      </c>
      <c r="R1129" s="31">
        <v>0</v>
      </c>
      <c r="S1129" s="31">
        <v>0</v>
      </c>
      <c r="T1129" s="31">
        <v>0</v>
      </c>
      <c r="U1129" s="31">
        <v>0</v>
      </c>
      <c r="V1129" s="31">
        <v>0</v>
      </c>
      <c r="W1129" s="31">
        <v>0</v>
      </c>
      <c r="X1129" s="31">
        <v>0</v>
      </c>
      <c r="Y1129" s="31">
        <v>0</v>
      </c>
      <c r="Z1129" s="31">
        <v>0</v>
      </c>
      <c r="AA1129" s="31">
        <v>0</v>
      </c>
      <c r="AB1129" s="31">
        <v>0</v>
      </c>
      <c r="AC1129" s="31">
        <f>ROUND((E1129+F1129+G1129+H1129+I1129+J1129)*1.5%,2)</f>
        <v>6767.1</v>
      </c>
      <c r="AD1129" s="31">
        <v>70000</v>
      </c>
      <c r="AE1129" s="31">
        <v>0</v>
      </c>
      <c r="AF1129" s="33">
        <v>2022</v>
      </c>
      <c r="AG1129" s="33">
        <v>2022</v>
      </c>
      <c r="AH1129" s="34">
        <v>2022</v>
      </c>
      <c r="AT1129" s="20" t="e">
        <f t="shared" si="261"/>
        <v>#N/A</v>
      </c>
      <c r="BZ1129" s="64"/>
    </row>
    <row r="1130" spans="1:82" ht="61.5" x14ac:dyDescent="0.85">
      <c r="A1130" s="20">
        <v>1</v>
      </c>
      <c r="B1130" s="60">
        <f>SUBTOTAL(103,$A$1036:A1130)</f>
        <v>93</v>
      </c>
      <c r="C1130" s="24" t="s">
        <v>206</v>
      </c>
      <c r="D1130" s="31">
        <f t="shared" si="262"/>
        <v>702281</v>
      </c>
      <c r="E1130" s="31">
        <v>0</v>
      </c>
      <c r="F1130" s="31">
        <v>0</v>
      </c>
      <c r="G1130" s="31">
        <v>0</v>
      </c>
      <c r="H1130" s="31">
        <v>0</v>
      </c>
      <c r="I1130" s="31">
        <v>622936.94999999995</v>
      </c>
      <c r="J1130" s="31">
        <v>0</v>
      </c>
      <c r="K1130" s="67">
        <v>0</v>
      </c>
      <c r="L1130" s="31">
        <v>0</v>
      </c>
      <c r="M1130" s="31">
        <v>0</v>
      </c>
      <c r="N1130" s="31">
        <v>0</v>
      </c>
      <c r="O1130" s="31">
        <v>0</v>
      </c>
      <c r="P1130" s="31">
        <v>0</v>
      </c>
      <c r="Q1130" s="31">
        <v>0</v>
      </c>
      <c r="R1130" s="31">
        <v>0</v>
      </c>
      <c r="S1130" s="31">
        <v>0</v>
      </c>
      <c r="T1130" s="31">
        <v>0</v>
      </c>
      <c r="U1130" s="31">
        <v>0</v>
      </c>
      <c r="V1130" s="31">
        <v>0</v>
      </c>
      <c r="W1130" s="31">
        <v>0</v>
      </c>
      <c r="X1130" s="31">
        <v>0</v>
      </c>
      <c r="Y1130" s="31">
        <v>0</v>
      </c>
      <c r="Z1130" s="31">
        <v>0</v>
      </c>
      <c r="AA1130" s="31">
        <v>0</v>
      </c>
      <c r="AB1130" s="31">
        <v>0</v>
      </c>
      <c r="AC1130" s="31">
        <f>ROUND((E1130+F1130+G1130+H1130+I1130+J1130)*1.5%,2)</f>
        <v>9344.0499999999993</v>
      </c>
      <c r="AD1130" s="31">
        <v>70000</v>
      </c>
      <c r="AE1130" s="31">
        <v>0</v>
      </c>
      <c r="AF1130" s="33">
        <v>2022</v>
      </c>
      <c r="AG1130" s="33">
        <v>2022</v>
      </c>
      <c r="AH1130" s="34">
        <v>2022</v>
      </c>
      <c r="AT1130" s="20" t="e">
        <f t="shared" si="261"/>
        <v>#N/A</v>
      </c>
      <c r="BZ1130" s="64"/>
    </row>
    <row r="1131" spans="1:82" ht="61.5" x14ac:dyDescent="0.85">
      <c r="A1131" s="20">
        <v>1</v>
      </c>
      <c r="B1131" s="60">
        <f>SUBTOTAL(103,$A$1036:A1131)</f>
        <v>94</v>
      </c>
      <c r="C1131" s="24" t="s">
        <v>207</v>
      </c>
      <c r="D1131" s="31">
        <f t="shared" si="262"/>
        <v>801529</v>
      </c>
      <c r="E1131" s="31">
        <v>0</v>
      </c>
      <c r="F1131" s="31">
        <v>0</v>
      </c>
      <c r="G1131" s="31">
        <v>0</v>
      </c>
      <c r="H1131" s="31">
        <v>0</v>
      </c>
      <c r="I1131" s="31">
        <v>0</v>
      </c>
      <c r="J1131" s="31">
        <v>0</v>
      </c>
      <c r="K1131" s="67">
        <v>0</v>
      </c>
      <c r="L1131" s="31">
        <v>0</v>
      </c>
      <c r="M1131" s="31">
        <v>0</v>
      </c>
      <c r="N1131" s="31">
        <v>0</v>
      </c>
      <c r="O1131" s="31">
        <v>0</v>
      </c>
      <c r="P1131" s="31">
        <v>0</v>
      </c>
      <c r="Q1131" s="31">
        <v>0</v>
      </c>
      <c r="R1131" s="31">
        <v>0</v>
      </c>
      <c r="S1131" s="31">
        <v>19.07</v>
      </c>
      <c r="T1131" s="31">
        <f>720718.23-49261.09</f>
        <v>671457.14</v>
      </c>
      <c r="U1131" s="31">
        <v>0</v>
      </c>
      <c r="V1131" s="31">
        <v>0</v>
      </c>
      <c r="W1131" s="31">
        <v>0</v>
      </c>
      <c r="X1131" s="31">
        <v>0</v>
      </c>
      <c r="Y1131" s="31">
        <v>0</v>
      </c>
      <c r="Z1131" s="31">
        <v>0</v>
      </c>
      <c r="AA1131" s="31">
        <v>0</v>
      </c>
      <c r="AB1131" s="31">
        <v>0</v>
      </c>
      <c r="AC1131" s="31">
        <f>ROUND(T1131*1.5%,2)</f>
        <v>10071.86</v>
      </c>
      <c r="AD1131" s="31">
        <v>120000</v>
      </c>
      <c r="AE1131" s="31">
        <v>0</v>
      </c>
      <c r="AF1131" s="33">
        <v>2022</v>
      </c>
      <c r="AG1131" s="33">
        <v>2022</v>
      </c>
      <c r="AH1131" s="34">
        <v>2022</v>
      </c>
      <c r="AT1131" s="20" t="e">
        <f t="shared" si="261"/>
        <v>#N/A</v>
      </c>
      <c r="BZ1131" s="64"/>
    </row>
    <row r="1132" spans="1:82" ht="61.5" x14ac:dyDescent="0.85">
      <c r="A1132" s="20">
        <v>1</v>
      </c>
      <c r="B1132" s="60">
        <f>SUBTOTAL(103,$A$1036:A1132)</f>
        <v>95</v>
      </c>
      <c r="C1132" s="24" t="s">
        <v>430</v>
      </c>
      <c r="D1132" s="31">
        <f t="shared" si="262"/>
        <v>4940772.24</v>
      </c>
      <c r="E1132" s="31">
        <v>0</v>
      </c>
      <c r="F1132" s="31">
        <v>0</v>
      </c>
      <c r="G1132" s="31">
        <v>0</v>
      </c>
      <c r="H1132" s="31">
        <v>0</v>
      </c>
      <c r="I1132" s="31">
        <v>0</v>
      </c>
      <c r="J1132" s="31">
        <v>0</v>
      </c>
      <c r="K1132" s="67">
        <v>0</v>
      </c>
      <c r="L1132" s="31">
        <v>0</v>
      </c>
      <c r="M1132" s="31">
        <v>1024</v>
      </c>
      <c r="N1132" s="31">
        <v>4690416</v>
      </c>
      <c r="O1132" s="31">
        <v>0</v>
      </c>
      <c r="P1132" s="31">
        <v>0</v>
      </c>
      <c r="Q1132" s="31">
        <v>0</v>
      </c>
      <c r="R1132" s="31">
        <v>0</v>
      </c>
      <c r="S1132" s="31">
        <v>0</v>
      </c>
      <c r="T1132" s="31">
        <v>0</v>
      </c>
      <c r="U1132" s="31">
        <v>0</v>
      </c>
      <c r="V1132" s="31">
        <v>0</v>
      </c>
      <c r="W1132" s="31">
        <v>0</v>
      </c>
      <c r="X1132" s="31">
        <v>0</v>
      </c>
      <c r="Y1132" s="31">
        <v>0</v>
      </c>
      <c r="Z1132" s="31">
        <v>0</v>
      </c>
      <c r="AA1132" s="31">
        <v>0</v>
      </c>
      <c r="AB1132" s="31">
        <v>0</v>
      </c>
      <c r="AC1132" s="31">
        <f>ROUND(N1132*1.5%,2)</f>
        <v>70356.240000000005</v>
      </c>
      <c r="AD1132" s="31">
        <v>180000</v>
      </c>
      <c r="AE1132" s="31">
        <v>0</v>
      </c>
      <c r="AF1132" s="33">
        <v>2022</v>
      </c>
      <c r="AG1132" s="33">
        <v>2022</v>
      </c>
      <c r="AH1132" s="34">
        <v>2022</v>
      </c>
      <c r="AT1132" s="20" t="e">
        <f t="shared" si="261"/>
        <v>#N/A</v>
      </c>
      <c r="BZ1132" s="64"/>
    </row>
    <row r="1133" spans="1:82" ht="61.5" x14ac:dyDescent="0.85">
      <c r="A1133" s="20">
        <v>1</v>
      </c>
      <c r="B1133" s="60">
        <f>SUBTOTAL(103,$A$1036:A1133)</f>
        <v>96</v>
      </c>
      <c r="C1133" s="24" t="s">
        <v>431</v>
      </c>
      <c r="D1133" s="31">
        <f t="shared" si="262"/>
        <v>4431631.53</v>
      </c>
      <c r="E1133" s="31">
        <v>0</v>
      </c>
      <c r="F1133" s="31">
        <v>0</v>
      </c>
      <c r="G1133" s="31">
        <v>0</v>
      </c>
      <c r="H1133" s="31">
        <v>0</v>
      </c>
      <c r="I1133" s="31">
        <v>0</v>
      </c>
      <c r="J1133" s="31">
        <v>0</v>
      </c>
      <c r="K1133" s="67">
        <v>2</v>
      </c>
      <c r="L1133" s="31">
        <v>4331631.53</v>
      </c>
      <c r="M1133" s="31">
        <v>0</v>
      </c>
      <c r="N1133" s="31">
        <v>0</v>
      </c>
      <c r="O1133" s="31">
        <v>0</v>
      </c>
      <c r="P1133" s="31">
        <v>0</v>
      </c>
      <c r="Q1133" s="31">
        <v>0</v>
      </c>
      <c r="R1133" s="31">
        <v>0</v>
      </c>
      <c r="S1133" s="31">
        <v>0</v>
      </c>
      <c r="T1133" s="31">
        <v>0</v>
      </c>
      <c r="U1133" s="31">
        <v>0</v>
      </c>
      <c r="V1133" s="31">
        <v>0</v>
      </c>
      <c r="W1133" s="31">
        <v>0</v>
      </c>
      <c r="X1133" s="31">
        <v>0</v>
      </c>
      <c r="Y1133" s="31">
        <v>0</v>
      </c>
      <c r="Z1133" s="31">
        <v>0</v>
      </c>
      <c r="AA1133" s="31">
        <v>0</v>
      </c>
      <c r="AB1133" s="31">
        <v>0</v>
      </c>
      <c r="AC1133" s="31">
        <v>0</v>
      </c>
      <c r="AD1133" s="31">
        <v>100000</v>
      </c>
      <c r="AE1133" s="31">
        <v>0</v>
      </c>
      <c r="AF1133" s="33">
        <v>2022</v>
      </c>
      <c r="AG1133" s="33">
        <v>2022</v>
      </c>
      <c r="AH1133" s="34" t="s">
        <v>268</v>
      </c>
      <c r="AT1133" s="20">
        <f t="shared" si="261"/>
        <v>1</v>
      </c>
      <c r="BZ1133" s="64"/>
    </row>
    <row r="1134" spans="1:82" ht="61.5" x14ac:dyDescent="0.85">
      <c r="A1134" s="20">
        <v>1</v>
      </c>
      <c r="B1134" s="60">
        <f>SUBTOTAL(103,$A$1036:A1134)</f>
        <v>97</v>
      </c>
      <c r="C1134" s="24" t="s">
        <v>432</v>
      </c>
      <c r="D1134" s="31">
        <f t="shared" si="262"/>
        <v>2939948.7</v>
      </c>
      <c r="E1134" s="31">
        <v>0</v>
      </c>
      <c r="F1134" s="31">
        <v>0</v>
      </c>
      <c r="G1134" s="31">
        <v>0</v>
      </c>
      <c r="H1134" s="31">
        <v>0</v>
      </c>
      <c r="I1134" s="31">
        <v>0</v>
      </c>
      <c r="J1134" s="31">
        <v>0</v>
      </c>
      <c r="K1134" s="67">
        <v>0</v>
      </c>
      <c r="L1134" s="31">
        <v>0</v>
      </c>
      <c r="M1134" s="31">
        <v>600</v>
      </c>
      <c r="N1134" s="31">
        <v>2748717.93</v>
      </c>
      <c r="O1134" s="31">
        <v>0</v>
      </c>
      <c r="P1134" s="31">
        <v>0</v>
      </c>
      <c r="Q1134" s="31">
        <v>0</v>
      </c>
      <c r="R1134" s="31">
        <v>0</v>
      </c>
      <c r="S1134" s="31">
        <v>0</v>
      </c>
      <c r="T1134" s="31">
        <v>0</v>
      </c>
      <c r="U1134" s="31">
        <v>0</v>
      </c>
      <c r="V1134" s="31">
        <v>0</v>
      </c>
      <c r="W1134" s="31">
        <v>0</v>
      </c>
      <c r="X1134" s="31">
        <v>0</v>
      </c>
      <c r="Y1134" s="31">
        <v>0</v>
      </c>
      <c r="Z1134" s="31">
        <v>0</v>
      </c>
      <c r="AA1134" s="31">
        <v>0</v>
      </c>
      <c r="AB1134" s="31">
        <v>0</v>
      </c>
      <c r="AC1134" s="31">
        <f t="shared" ref="AC1134:AC1141" si="263">ROUND(N1134*1.5%,2)</f>
        <v>41230.769999999997</v>
      </c>
      <c r="AD1134" s="31">
        <v>150000</v>
      </c>
      <c r="AE1134" s="31">
        <v>0</v>
      </c>
      <c r="AF1134" s="33">
        <v>2022</v>
      </c>
      <c r="AG1134" s="33">
        <v>2022</v>
      </c>
      <c r="AH1134" s="34">
        <v>2022</v>
      </c>
      <c r="AT1134" s="20" t="e">
        <f t="shared" si="261"/>
        <v>#N/A</v>
      </c>
      <c r="BZ1134" s="64"/>
    </row>
    <row r="1135" spans="1:82" ht="61.5" x14ac:dyDescent="0.85">
      <c r="A1135" s="20">
        <v>1</v>
      </c>
      <c r="B1135" s="60">
        <f>SUBTOTAL(103,$A$1036:A1135)</f>
        <v>98</v>
      </c>
      <c r="C1135" s="24" t="s">
        <v>433</v>
      </c>
      <c r="D1135" s="31">
        <f t="shared" si="262"/>
        <v>3392314.75</v>
      </c>
      <c r="E1135" s="31">
        <v>0</v>
      </c>
      <c r="F1135" s="31">
        <v>0</v>
      </c>
      <c r="G1135" s="31">
        <v>0</v>
      </c>
      <c r="H1135" s="31">
        <v>0</v>
      </c>
      <c r="I1135" s="31">
        <v>0</v>
      </c>
      <c r="J1135" s="31">
        <v>0</v>
      </c>
      <c r="K1135" s="67">
        <v>0</v>
      </c>
      <c r="L1135" s="31">
        <v>0</v>
      </c>
      <c r="M1135" s="31">
        <v>747</v>
      </c>
      <c r="N1135" s="31">
        <v>3194398.77</v>
      </c>
      <c r="O1135" s="31">
        <v>0</v>
      </c>
      <c r="P1135" s="31">
        <v>0</v>
      </c>
      <c r="Q1135" s="31">
        <v>0</v>
      </c>
      <c r="R1135" s="31">
        <v>0</v>
      </c>
      <c r="S1135" s="31">
        <v>0</v>
      </c>
      <c r="T1135" s="31">
        <v>0</v>
      </c>
      <c r="U1135" s="31">
        <v>0</v>
      </c>
      <c r="V1135" s="31">
        <v>0</v>
      </c>
      <c r="W1135" s="31">
        <v>0</v>
      </c>
      <c r="X1135" s="31">
        <v>0</v>
      </c>
      <c r="Y1135" s="31">
        <v>0</v>
      </c>
      <c r="Z1135" s="31">
        <v>0</v>
      </c>
      <c r="AA1135" s="31">
        <v>0</v>
      </c>
      <c r="AB1135" s="31">
        <v>0</v>
      </c>
      <c r="AC1135" s="31">
        <f t="shared" si="263"/>
        <v>47915.98</v>
      </c>
      <c r="AD1135" s="31">
        <v>150000</v>
      </c>
      <c r="AE1135" s="31">
        <v>0</v>
      </c>
      <c r="AF1135" s="33">
        <v>2022</v>
      </c>
      <c r="AG1135" s="33">
        <v>2022</v>
      </c>
      <c r="AH1135" s="34">
        <v>2022</v>
      </c>
      <c r="AT1135" s="20" t="e">
        <f t="shared" si="261"/>
        <v>#N/A</v>
      </c>
      <c r="BZ1135" s="64"/>
    </row>
    <row r="1136" spans="1:82" ht="61.5" x14ac:dyDescent="0.85">
      <c r="A1136" s="20">
        <v>1</v>
      </c>
      <c r="B1136" s="60">
        <f>SUBTOTAL(103,$A$1036:A1136)</f>
        <v>99</v>
      </c>
      <c r="C1136" s="24" t="s">
        <v>434</v>
      </c>
      <c r="D1136" s="31">
        <f t="shared" si="262"/>
        <v>2330461.9000000004</v>
      </c>
      <c r="E1136" s="31">
        <v>0</v>
      </c>
      <c r="F1136" s="31">
        <v>0</v>
      </c>
      <c r="G1136" s="31">
        <v>0</v>
      </c>
      <c r="H1136" s="31">
        <v>0</v>
      </c>
      <c r="I1136" s="31">
        <v>0</v>
      </c>
      <c r="J1136" s="31">
        <v>0</v>
      </c>
      <c r="K1136" s="67">
        <v>0</v>
      </c>
      <c r="L1136" s="31">
        <v>0</v>
      </c>
      <c r="M1136" s="31">
        <v>483</v>
      </c>
      <c r="N1136" s="31">
        <v>2177794.9800000004</v>
      </c>
      <c r="O1136" s="31">
        <v>0</v>
      </c>
      <c r="P1136" s="31">
        <v>0</v>
      </c>
      <c r="Q1136" s="31">
        <v>0</v>
      </c>
      <c r="R1136" s="31">
        <v>0</v>
      </c>
      <c r="S1136" s="31">
        <v>0</v>
      </c>
      <c r="T1136" s="31">
        <v>0</v>
      </c>
      <c r="U1136" s="31">
        <v>0</v>
      </c>
      <c r="V1136" s="31">
        <v>0</v>
      </c>
      <c r="W1136" s="31">
        <v>0</v>
      </c>
      <c r="X1136" s="31">
        <v>0</v>
      </c>
      <c r="Y1136" s="31">
        <v>0</v>
      </c>
      <c r="Z1136" s="31">
        <v>0</v>
      </c>
      <c r="AA1136" s="31">
        <v>0</v>
      </c>
      <c r="AB1136" s="31">
        <v>0</v>
      </c>
      <c r="AC1136" s="31">
        <f t="shared" si="263"/>
        <v>32666.92</v>
      </c>
      <c r="AD1136" s="31">
        <v>120000</v>
      </c>
      <c r="AE1136" s="31">
        <v>0</v>
      </c>
      <c r="AF1136" s="33">
        <v>2022</v>
      </c>
      <c r="AG1136" s="33">
        <v>2022</v>
      </c>
      <c r="AH1136" s="34">
        <v>2022</v>
      </c>
      <c r="AT1136" s="20" t="e">
        <f t="shared" si="261"/>
        <v>#N/A</v>
      </c>
      <c r="BZ1136" s="64"/>
    </row>
    <row r="1137" spans="1:78" ht="61.5" x14ac:dyDescent="0.85">
      <c r="A1137" s="20">
        <v>1</v>
      </c>
      <c r="B1137" s="60">
        <f>SUBTOTAL(103,$A$1036:A1137)</f>
        <v>100</v>
      </c>
      <c r="C1137" s="24" t="s">
        <v>435</v>
      </c>
      <c r="D1137" s="31">
        <f t="shared" si="262"/>
        <v>7737284.3099999996</v>
      </c>
      <c r="E1137" s="31">
        <v>0</v>
      </c>
      <c r="F1137" s="31">
        <v>0</v>
      </c>
      <c r="G1137" s="31">
        <v>0</v>
      </c>
      <c r="H1137" s="31">
        <v>0</v>
      </c>
      <c r="I1137" s="31">
        <v>0</v>
      </c>
      <c r="J1137" s="31">
        <v>0</v>
      </c>
      <c r="K1137" s="67">
        <v>0</v>
      </c>
      <c r="L1137" s="31">
        <v>0</v>
      </c>
      <c r="M1137" s="31">
        <v>1501</v>
      </c>
      <c r="N1137" s="31">
        <v>7445600.3099999996</v>
      </c>
      <c r="O1137" s="31">
        <v>0</v>
      </c>
      <c r="P1137" s="31">
        <v>0</v>
      </c>
      <c r="Q1137" s="31">
        <v>0</v>
      </c>
      <c r="R1137" s="31">
        <v>0</v>
      </c>
      <c r="S1137" s="31">
        <v>0</v>
      </c>
      <c r="T1137" s="31">
        <v>0</v>
      </c>
      <c r="U1137" s="31">
        <v>0</v>
      </c>
      <c r="V1137" s="31">
        <v>0</v>
      </c>
      <c r="W1137" s="31">
        <v>0</v>
      </c>
      <c r="X1137" s="31">
        <v>0</v>
      </c>
      <c r="Y1137" s="31">
        <v>0</v>
      </c>
      <c r="Z1137" s="31">
        <v>0</v>
      </c>
      <c r="AA1137" s="31">
        <v>0</v>
      </c>
      <c r="AB1137" s="31">
        <v>0</v>
      </c>
      <c r="AC1137" s="31">
        <f t="shared" si="263"/>
        <v>111684</v>
      </c>
      <c r="AD1137" s="31">
        <v>180000</v>
      </c>
      <c r="AE1137" s="31">
        <v>0</v>
      </c>
      <c r="AF1137" s="33">
        <v>2022</v>
      </c>
      <c r="AG1137" s="33">
        <v>2022</v>
      </c>
      <c r="AH1137" s="34">
        <v>2022</v>
      </c>
      <c r="AT1137" s="20" t="e">
        <f t="shared" si="261"/>
        <v>#N/A</v>
      </c>
      <c r="BZ1137" s="64"/>
    </row>
    <row r="1138" spans="1:78" ht="61.5" x14ac:dyDescent="0.85">
      <c r="A1138" s="20">
        <v>1</v>
      </c>
      <c r="B1138" s="60">
        <f>SUBTOTAL(103,$A$1036:A1138)</f>
        <v>101</v>
      </c>
      <c r="C1138" s="24" t="s">
        <v>436</v>
      </c>
      <c r="D1138" s="31">
        <f t="shared" si="262"/>
        <v>3223377.74</v>
      </c>
      <c r="E1138" s="31">
        <v>0</v>
      </c>
      <c r="F1138" s="31">
        <v>0</v>
      </c>
      <c r="G1138" s="31">
        <v>0</v>
      </c>
      <c r="H1138" s="31">
        <v>0</v>
      </c>
      <c r="I1138" s="31">
        <v>0</v>
      </c>
      <c r="J1138" s="31">
        <v>0</v>
      </c>
      <c r="K1138" s="67">
        <v>0</v>
      </c>
      <c r="L1138" s="31">
        <v>0</v>
      </c>
      <c r="M1138" s="31">
        <v>600</v>
      </c>
      <c r="N1138" s="31">
        <v>3027958.3600000003</v>
      </c>
      <c r="O1138" s="31">
        <v>0</v>
      </c>
      <c r="P1138" s="31">
        <v>0</v>
      </c>
      <c r="Q1138" s="31">
        <v>0</v>
      </c>
      <c r="R1138" s="31">
        <v>0</v>
      </c>
      <c r="S1138" s="31">
        <v>0</v>
      </c>
      <c r="T1138" s="31">
        <v>0</v>
      </c>
      <c r="U1138" s="31">
        <v>0</v>
      </c>
      <c r="V1138" s="31">
        <v>0</v>
      </c>
      <c r="W1138" s="31">
        <v>0</v>
      </c>
      <c r="X1138" s="31">
        <v>0</v>
      </c>
      <c r="Y1138" s="31">
        <v>0</v>
      </c>
      <c r="Z1138" s="31">
        <v>0</v>
      </c>
      <c r="AA1138" s="31">
        <v>0</v>
      </c>
      <c r="AB1138" s="31">
        <v>0</v>
      </c>
      <c r="AC1138" s="31">
        <f t="shared" si="263"/>
        <v>45419.38</v>
      </c>
      <c r="AD1138" s="31">
        <v>150000</v>
      </c>
      <c r="AE1138" s="31">
        <v>0</v>
      </c>
      <c r="AF1138" s="33">
        <v>2022</v>
      </c>
      <c r="AG1138" s="33">
        <v>2022</v>
      </c>
      <c r="AH1138" s="34">
        <v>2022</v>
      </c>
      <c r="AT1138" s="20" t="e">
        <f t="shared" si="261"/>
        <v>#N/A</v>
      </c>
      <c r="BZ1138" s="64"/>
    </row>
    <row r="1139" spans="1:78" ht="61.5" x14ac:dyDescent="0.85">
      <c r="A1139" s="20">
        <v>1</v>
      </c>
      <c r="B1139" s="60">
        <f>SUBTOTAL(103,$A$1036:A1139)</f>
        <v>102</v>
      </c>
      <c r="C1139" s="24" t="s">
        <v>437</v>
      </c>
      <c r="D1139" s="31">
        <f t="shared" si="262"/>
        <v>1785415</v>
      </c>
      <c r="E1139" s="31">
        <v>0</v>
      </c>
      <c r="F1139" s="31">
        <v>0</v>
      </c>
      <c r="G1139" s="31">
        <v>0</v>
      </c>
      <c r="H1139" s="31">
        <v>0</v>
      </c>
      <c r="I1139" s="31">
        <v>0</v>
      </c>
      <c r="J1139" s="31">
        <v>0</v>
      </c>
      <c r="K1139" s="67">
        <v>0</v>
      </c>
      <c r="L1139" s="31">
        <v>0</v>
      </c>
      <c r="M1139" s="31">
        <v>369</v>
      </c>
      <c r="N1139" s="31">
        <v>1640802.96</v>
      </c>
      <c r="O1139" s="31">
        <v>0</v>
      </c>
      <c r="P1139" s="31">
        <v>0</v>
      </c>
      <c r="Q1139" s="31">
        <v>0</v>
      </c>
      <c r="R1139" s="31">
        <v>0</v>
      </c>
      <c r="S1139" s="31">
        <v>0</v>
      </c>
      <c r="T1139" s="31">
        <v>0</v>
      </c>
      <c r="U1139" s="31">
        <v>0</v>
      </c>
      <c r="V1139" s="31">
        <v>0</v>
      </c>
      <c r="W1139" s="31">
        <v>0</v>
      </c>
      <c r="X1139" s="31">
        <v>0</v>
      </c>
      <c r="Y1139" s="31">
        <v>0</v>
      </c>
      <c r="Z1139" s="31">
        <v>0</v>
      </c>
      <c r="AA1139" s="31">
        <v>0</v>
      </c>
      <c r="AB1139" s="31">
        <v>0</v>
      </c>
      <c r="AC1139" s="31">
        <f t="shared" si="263"/>
        <v>24612.04</v>
      </c>
      <c r="AD1139" s="31">
        <v>120000</v>
      </c>
      <c r="AE1139" s="31">
        <v>0</v>
      </c>
      <c r="AF1139" s="33">
        <v>2022</v>
      </c>
      <c r="AG1139" s="33">
        <v>2022</v>
      </c>
      <c r="AH1139" s="34">
        <v>2022</v>
      </c>
      <c r="AT1139" s="20" t="e">
        <f t="shared" si="261"/>
        <v>#N/A</v>
      </c>
      <c r="BZ1139" s="64"/>
    </row>
    <row r="1140" spans="1:78" ht="61.5" x14ac:dyDescent="0.85">
      <c r="A1140" s="20">
        <v>1</v>
      </c>
      <c r="B1140" s="60">
        <f>SUBTOTAL(103,$A$1036:A1140)</f>
        <v>103</v>
      </c>
      <c r="C1140" s="24" t="s">
        <v>209</v>
      </c>
      <c r="D1140" s="31">
        <f t="shared" si="262"/>
        <v>2534110.7700000005</v>
      </c>
      <c r="E1140" s="31">
        <v>0</v>
      </c>
      <c r="F1140" s="31">
        <v>0</v>
      </c>
      <c r="G1140" s="31">
        <v>0</v>
      </c>
      <c r="H1140" s="31">
        <v>0</v>
      </c>
      <c r="I1140" s="31">
        <v>0</v>
      </c>
      <c r="J1140" s="31">
        <v>0</v>
      </c>
      <c r="K1140" s="67">
        <v>0</v>
      </c>
      <c r="L1140" s="31">
        <v>0</v>
      </c>
      <c r="M1140" s="31">
        <v>525</v>
      </c>
      <c r="N1140" s="31">
        <v>2348877.6100000003</v>
      </c>
      <c r="O1140" s="31">
        <v>0</v>
      </c>
      <c r="P1140" s="31">
        <v>0</v>
      </c>
      <c r="Q1140" s="31">
        <v>0</v>
      </c>
      <c r="R1140" s="31">
        <v>0</v>
      </c>
      <c r="S1140" s="31">
        <v>0</v>
      </c>
      <c r="T1140" s="31">
        <v>0</v>
      </c>
      <c r="U1140" s="31">
        <v>0</v>
      </c>
      <c r="V1140" s="31">
        <v>0</v>
      </c>
      <c r="W1140" s="31">
        <v>0</v>
      </c>
      <c r="X1140" s="31">
        <v>0</v>
      </c>
      <c r="Y1140" s="31">
        <v>0</v>
      </c>
      <c r="Z1140" s="31">
        <v>0</v>
      </c>
      <c r="AA1140" s="31">
        <v>0</v>
      </c>
      <c r="AB1140" s="31">
        <v>0</v>
      </c>
      <c r="AC1140" s="31">
        <f t="shared" si="263"/>
        <v>35233.160000000003</v>
      </c>
      <c r="AD1140" s="31">
        <v>150000</v>
      </c>
      <c r="AE1140" s="31">
        <v>0</v>
      </c>
      <c r="AF1140" s="33">
        <v>2022</v>
      </c>
      <c r="AG1140" s="33">
        <v>2022</v>
      </c>
      <c r="AH1140" s="34">
        <v>2022</v>
      </c>
      <c r="AT1140" s="20" t="e">
        <f t="shared" si="261"/>
        <v>#N/A</v>
      </c>
      <c r="BZ1140" s="64"/>
    </row>
    <row r="1141" spans="1:78" ht="61.5" x14ac:dyDescent="0.85">
      <c r="A1141" s="20">
        <v>1</v>
      </c>
      <c r="B1141" s="60">
        <f>SUBTOTAL(103,$A$1036:A1141)</f>
        <v>104</v>
      </c>
      <c r="C1141" s="24" t="s">
        <v>208</v>
      </c>
      <c r="D1141" s="31">
        <f t="shared" si="262"/>
        <v>2967533.3499999996</v>
      </c>
      <c r="E1141" s="31">
        <v>0</v>
      </c>
      <c r="F1141" s="31">
        <v>0</v>
      </c>
      <c r="G1141" s="31">
        <v>0</v>
      </c>
      <c r="H1141" s="31">
        <v>0</v>
      </c>
      <c r="I1141" s="31">
        <v>0</v>
      </c>
      <c r="J1141" s="31">
        <v>0</v>
      </c>
      <c r="K1141" s="67">
        <v>0</v>
      </c>
      <c r="L1141" s="31">
        <v>0</v>
      </c>
      <c r="M1141" s="31">
        <v>614</v>
      </c>
      <c r="N1141" s="31">
        <v>2775894.9299999997</v>
      </c>
      <c r="O1141" s="31">
        <v>0</v>
      </c>
      <c r="P1141" s="31">
        <v>0</v>
      </c>
      <c r="Q1141" s="31">
        <v>0</v>
      </c>
      <c r="R1141" s="31">
        <v>0</v>
      </c>
      <c r="S1141" s="31">
        <v>0</v>
      </c>
      <c r="T1141" s="31">
        <v>0</v>
      </c>
      <c r="U1141" s="31">
        <v>0</v>
      </c>
      <c r="V1141" s="31">
        <v>0</v>
      </c>
      <c r="W1141" s="31">
        <v>0</v>
      </c>
      <c r="X1141" s="31">
        <v>0</v>
      </c>
      <c r="Y1141" s="31">
        <v>0</v>
      </c>
      <c r="Z1141" s="31">
        <v>0</v>
      </c>
      <c r="AA1141" s="31">
        <v>0</v>
      </c>
      <c r="AB1141" s="31">
        <v>0</v>
      </c>
      <c r="AC1141" s="31">
        <f t="shared" si="263"/>
        <v>41638.42</v>
      </c>
      <c r="AD1141" s="31">
        <v>150000</v>
      </c>
      <c r="AE1141" s="31">
        <v>0</v>
      </c>
      <c r="AF1141" s="33">
        <v>2022</v>
      </c>
      <c r="AG1141" s="33">
        <v>2022</v>
      </c>
      <c r="AH1141" s="34">
        <v>2022</v>
      </c>
      <c r="AT1141" s="20" t="e">
        <f t="shared" si="261"/>
        <v>#N/A</v>
      </c>
      <c r="BZ1141" s="64"/>
    </row>
    <row r="1142" spans="1:78" ht="61.5" x14ac:dyDescent="0.85">
      <c r="A1142" s="20">
        <v>1</v>
      </c>
      <c r="B1142" s="60">
        <f>SUBTOTAL(103,$A$1036:A1142)</f>
        <v>105</v>
      </c>
      <c r="C1142" s="24" t="s">
        <v>439</v>
      </c>
      <c r="D1142" s="31">
        <f t="shared" si="262"/>
        <v>1780239.97</v>
      </c>
      <c r="E1142" s="31">
        <v>0</v>
      </c>
      <c r="F1142" s="31">
        <v>0</v>
      </c>
      <c r="G1142" s="31">
        <v>0</v>
      </c>
      <c r="H1142" s="31">
        <v>0</v>
      </c>
      <c r="I1142" s="31">
        <v>0</v>
      </c>
      <c r="J1142" s="31">
        <v>0</v>
      </c>
      <c r="K1142" s="67">
        <v>0</v>
      </c>
      <c r="L1142" s="31">
        <v>0</v>
      </c>
      <c r="M1142" s="31">
        <v>370</v>
      </c>
      <c r="N1142" s="31">
        <v>1635704.4</v>
      </c>
      <c r="O1142" s="31">
        <v>0</v>
      </c>
      <c r="P1142" s="31">
        <v>0</v>
      </c>
      <c r="Q1142" s="31">
        <v>0</v>
      </c>
      <c r="R1142" s="31">
        <v>0</v>
      </c>
      <c r="S1142" s="31">
        <v>0</v>
      </c>
      <c r="T1142" s="31">
        <v>0</v>
      </c>
      <c r="U1142" s="31">
        <v>0</v>
      </c>
      <c r="V1142" s="31">
        <v>0</v>
      </c>
      <c r="W1142" s="31">
        <v>0</v>
      </c>
      <c r="X1142" s="31">
        <v>0</v>
      </c>
      <c r="Y1142" s="31">
        <v>0</v>
      </c>
      <c r="Z1142" s="31">
        <v>0</v>
      </c>
      <c r="AA1142" s="31">
        <v>0</v>
      </c>
      <c r="AB1142" s="31">
        <v>0</v>
      </c>
      <c r="AC1142" s="31">
        <f>ROUND(N1142*1.5%,2)</f>
        <v>24535.57</v>
      </c>
      <c r="AD1142" s="31">
        <v>120000</v>
      </c>
      <c r="AE1142" s="31">
        <v>0</v>
      </c>
      <c r="AF1142" s="33">
        <v>2022</v>
      </c>
      <c r="AG1142" s="33">
        <v>2022</v>
      </c>
      <c r="AH1142" s="34">
        <v>2022</v>
      </c>
      <c r="AT1142" s="20" t="e">
        <f t="shared" si="261"/>
        <v>#N/A</v>
      </c>
      <c r="BZ1142" s="64"/>
    </row>
    <row r="1143" spans="1:78" ht="61.5" x14ac:dyDescent="0.85">
      <c r="A1143" s="20">
        <v>1</v>
      </c>
      <c r="B1143" s="60">
        <f>SUBTOTAL(103,$A$1036:A1143)</f>
        <v>106</v>
      </c>
      <c r="C1143" s="24" t="s">
        <v>440</v>
      </c>
      <c r="D1143" s="31">
        <f t="shared" si="262"/>
        <v>2557235.63</v>
      </c>
      <c r="E1143" s="31">
        <v>0</v>
      </c>
      <c r="F1143" s="31">
        <v>0</v>
      </c>
      <c r="G1143" s="31">
        <v>0</v>
      </c>
      <c r="H1143" s="31">
        <v>0</v>
      </c>
      <c r="I1143" s="31">
        <v>0</v>
      </c>
      <c r="J1143" s="31">
        <v>0</v>
      </c>
      <c r="K1143" s="67">
        <v>0</v>
      </c>
      <c r="L1143" s="31">
        <v>0</v>
      </c>
      <c r="M1143" s="31">
        <v>530</v>
      </c>
      <c r="N1143" s="31">
        <v>2371660.7199999997</v>
      </c>
      <c r="O1143" s="31">
        <v>0</v>
      </c>
      <c r="P1143" s="31">
        <v>0</v>
      </c>
      <c r="Q1143" s="31">
        <v>0</v>
      </c>
      <c r="R1143" s="31">
        <v>0</v>
      </c>
      <c r="S1143" s="31">
        <v>0</v>
      </c>
      <c r="T1143" s="31">
        <v>0</v>
      </c>
      <c r="U1143" s="31">
        <v>0</v>
      </c>
      <c r="V1143" s="31">
        <v>0</v>
      </c>
      <c r="W1143" s="31">
        <v>0</v>
      </c>
      <c r="X1143" s="31">
        <v>0</v>
      </c>
      <c r="Y1143" s="31">
        <v>0</v>
      </c>
      <c r="Z1143" s="31">
        <v>0</v>
      </c>
      <c r="AA1143" s="31">
        <v>0</v>
      </c>
      <c r="AB1143" s="31">
        <v>0</v>
      </c>
      <c r="AC1143" s="31">
        <f>ROUND(N1143*1.5%,2)</f>
        <v>35574.910000000003</v>
      </c>
      <c r="AD1143" s="31">
        <v>150000</v>
      </c>
      <c r="AE1143" s="31">
        <v>0</v>
      </c>
      <c r="AF1143" s="33">
        <v>2022</v>
      </c>
      <c r="AG1143" s="33">
        <v>2022</v>
      </c>
      <c r="AH1143" s="34">
        <v>2022</v>
      </c>
      <c r="AT1143" s="20" t="e">
        <f t="shared" si="261"/>
        <v>#N/A</v>
      </c>
      <c r="BZ1143" s="64"/>
    </row>
    <row r="1144" spans="1:78" ht="61.5" x14ac:dyDescent="0.85">
      <c r="A1144" s="20">
        <v>1</v>
      </c>
      <c r="B1144" s="60">
        <f>SUBTOTAL(103,$A$1036:A1144)</f>
        <v>107</v>
      </c>
      <c r="C1144" s="24" t="s">
        <v>441</v>
      </c>
      <c r="D1144" s="31">
        <f t="shared" si="262"/>
        <v>1910689.27</v>
      </c>
      <c r="E1144" s="31">
        <v>0</v>
      </c>
      <c r="F1144" s="31">
        <v>0</v>
      </c>
      <c r="G1144" s="31">
        <v>0</v>
      </c>
      <c r="H1144" s="31">
        <v>0</v>
      </c>
      <c r="I1144" s="31">
        <v>0</v>
      </c>
      <c r="J1144" s="31">
        <v>0</v>
      </c>
      <c r="K1144" s="67">
        <v>0</v>
      </c>
      <c r="L1144" s="31">
        <v>0</v>
      </c>
      <c r="M1144" s="31">
        <v>396</v>
      </c>
      <c r="N1144" s="31">
        <v>1764225.8800000001</v>
      </c>
      <c r="O1144" s="31">
        <v>0</v>
      </c>
      <c r="P1144" s="31">
        <v>0</v>
      </c>
      <c r="Q1144" s="31">
        <v>0</v>
      </c>
      <c r="R1144" s="31">
        <v>0</v>
      </c>
      <c r="S1144" s="31">
        <v>0</v>
      </c>
      <c r="T1144" s="31">
        <v>0</v>
      </c>
      <c r="U1144" s="31">
        <v>0</v>
      </c>
      <c r="V1144" s="31">
        <v>0</v>
      </c>
      <c r="W1144" s="31">
        <v>0</v>
      </c>
      <c r="X1144" s="31">
        <v>0</v>
      </c>
      <c r="Y1144" s="31">
        <v>0</v>
      </c>
      <c r="Z1144" s="31">
        <v>0</v>
      </c>
      <c r="AA1144" s="31">
        <v>0</v>
      </c>
      <c r="AB1144" s="31">
        <v>0</v>
      </c>
      <c r="AC1144" s="31">
        <f>ROUND(N1144*1.5%,2)</f>
        <v>26463.39</v>
      </c>
      <c r="AD1144" s="31">
        <v>120000</v>
      </c>
      <c r="AE1144" s="31">
        <v>0</v>
      </c>
      <c r="AF1144" s="33">
        <v>2022</v>
      </c>
      <c r="AG1144" s="33">
        <v>2022</v>
      </c>
      <c r="AH1144" s="34">
        <v>2022</v>
      </c>
      <c r="AT1144" s="20" t="e">
        <f t="shared" si="261"/>
        <v>#N/A</v>
      </c>
      <c r="BZ1144" s="64"/>
    </row>
    <row r="1145" spans="1:78" ht="61.5" x14ac:dyDescent="0.85">
      <c r="A1145" s="20">
        <v>1</v>
      </c>
      <c r="B1145" s="60">
        <f>SUBTOTAL(103,$A$1036:A1145)</f>
        <v>108</v>
      </c>
      <c r="C1145" s="24" t="s">
        <v>814</v>
      </c>
      <c r="D1145" s="31">
        <f t="shared" si="262"/>
        <v>6400000</v>
      </c>
      <c r="E1145" s="31">
        <v>0</v>
      </c>
      <c r="F1145" s="31">
        <v>0</v>
      </c>
      <c r="G1145" s="31">
        <v>0</v>
      </c>
      <c r="H1145" s="31">
        <v>0</v>
      </c>
      <c r="I1145" s="31">
        <v>0</v>
      </c>
      <c r="J1145" s="31">
        <v>0</v>
      </c>
      <c r="K1145" s="67">
        <v>3</v>
      </c>
      <c r="L1145" s="31">
        <v>6300000</v>
      </c>
      <c r="M1145" s="31">
        <v>0</v>
      </c>
      <c r="N1145" s="31">
        <v>0</v>
      </c>
      <c r="O1145" s="31">
        <v>0</v>
      </c>
      <c r="P1145" s="31">
        <v>0</v>
      </c>
      <c r="Q1145" s="31">
        <v>0</v>
      </c>
      <c r="R1145" s="31">
        <v>0</v>
      </c>
      <c r="S1145" s="31">
        <v>0</v>
      </c>
      <c r="T1145" s="31">
        <v>0</v>
      </c>
      <c r="U1145" s="31">
        <v>0</v>
      </c>
      <c r="V1145" s="31">
        <v>0</v>
      </c>
      <c r="W1145" s="31">
        <v>0</v>
      </c>
      <c r="X1145" s="31">
        <v>0</v>
      </c>
      <c r="Y1145" s="31">
        <v>0</v>
      </c>
      <c r="Z1145" s="31">
        <v>0</v>
      </c>
      <c r="AA1145" s="31">
        <v>0</v>
      </c>
      <c r="AB1145" s="31">
        <v>0</v>
      </c>
      <c r="AC1145" s="31">
        <v>0</v>
      </c>
      <c r="AD1145" s="31">
        <v>100000</v>
      </c>
      <c r="AE1145" s="31">
        <v>0</v>
      </c>
      <c r="AF1145" s="33">
        <v>2022</v>
      </c>
      <c r="AG1145" s="33">
        <v>2022</v>
      </c>
      <c r="AH1145" s="34" t="s">
        <v>268</v>
      </c>
      <c r="AT1145" s="20" t="e">
        <f t="shared" si="261"/>
        <v>#N/A</v>
      </c>
      <c r="BZ1145" s="64"/>
    </row>
    <row r="1146" spans="1:78" ht="61.5" x14ac:dyDescent="0.85">
      <c r="B1146" s="24" t="s">
        <v>781</v>
      </c>
      <c r="C1146" s="24"/>
      <c r="D1146" s="199">
        <f t="shared" ref="D1146:AE1146" si="264">SUM(D1147:D1159)</f>
        <v>50260646.789999992</v>
      </c>
      <c r="E1146" s="31">
        <f t="shared" si="264"/>
        <v>0</v>
      </c>
      <c r="F1146" s="31">
        <f t="shared" si="264"/>
        <v>0</v>
      </c>
      <c r="G1146" s="31">
        <f t="shared" si="264"/>
        <v>0</v>
      </c>
      <c r="H1146" s="31">
        <f t="shared" si="264"/>
        <v>0</v>
      </c>
      <c r="I1146" s="31">
        <f t="shared" si="264"/>
        <v>0</v>
      </c>
      <c r="J1146" s="31">
        <f t="shared" si="264"/>
        <v>0</v>
      </c>
      <c r="K1146" s="67">
        <f t="shared" si="264"/>
        <v>6</v>
      </c>
      <c r="L1146" s="31">
        <f t="shared" si="264"/>
        <v>12052302.120000001</v>
      </c>
      <c r="M1146" s="31">
        <f t="shared" si="264"/>
        <v>7218.5</v>
      </c>
      <c r="N1146" s="31">
        <f t="shared" si="264"/>
        <v>34134436.520000003</v>
      </c>
      <c r="O1146" s="31">
        <f t="shared" si="264"/>
        <v>0</v>
      </c>
      <c r="P1146" s="31">
        <f t="shared" si="264"/>
        <v>0</v>
      </c>
      <c r="Q1146" s="31">
        <f t="shared" si="264"/>
        <v>360</v>
      </c>
      <c r="R1146" s="31">
        <f t="shared" si="264"/>
        <v>1883637.04</v>
      </c>
      <c r="S1146" s="31">
        <f t="shared" si="264"/>
        <v>0</v>
      </c>
      <c r="T1146" s="31">
        <f t="shared" si="264"/>
        <v>0</v>
      </c>
      <c r="U1146" s="31">
        <f t="shared" si="264"/>
        <v>0</v>
      </c>
      <c r="V1146" s="31">
        <f t="shared" si="264"/>
        <v>0</v>
      </c>
      <c r="W1146" s="31">
        <f t="shared" si="264"/>
        <v>0</v>
      </c>
      <c r="X1146" s="31">
        <f t="shared" si="264"/>
        <v>0</v>
      </c>
      <c r="Y1146" s="31">
        <f t="shared" si="264"/>
        <v>0</v>
      </c>
      <c r="Z1146" s="31">
        <f t="shared" si="264"/>
        <v>0</v>
      </c>
      <c r="AA1146" s="31">
        <f t="shared" si="264"/>
        <v>0</v>
      </c>
      <c r="AB1146" s="31">
        <f t="shared" si="264"/>
        <v>0</v>
      </c>
      <c r="AC1146" s="31">
        <f t="shared" si="264"/>
        <v>540271.11</v>
      </c>
      <c r="AD1146" s="31">
        <f t="shared" si="264"/>
        <v>1650000</v>
      </c>
      <c r="AE1146" s="31">
        <f t="shared" si="264"/>
        <v>0</v>
      </c>
      <c r="AF1146" s="33" t="s">
        <v>751</v>
      </c>
      <c r="AG1146" s="33" t="s">
        <v>751</v>
      </c>
      <c r="AH1146" s="34" t="s">
        <v>751</v>
      </c>
      <c r="AT1146" s="20" t="e">
        <f t="shared" si="261"/>
        <v>#N/A</v>
      </c>
      <c r="BZ1146" s="64">
        <v>46315599.309999995</v>
      </c>
    </row>
    <row r="1147" spans="1:78" ht="61.5" x14ac:dyDescent="0.85">
      <c r="A1147" s="20">
        <v>1</v>
      </c>
      <c r="B1147" s="60">
        <f>SUBTOTAL(103,$A$1036:A1147)</f>
        <v>109</v>
      </c>
      <c r="C1147" s="24" t="s">
        <v>782</v>
      </c>
      <c r="D1147" s="31">
        <f t="shared" ref="D1147:D1159" si="265">E1147+F1147+G1147+H1147+I1147+J1147+L1147+N1147+P1147+R1147+T1147+U1147+V1147+W1147+X1147+Y1147+Z1147+AA1147+AB1147+AC1147+AD1147+AE1147</f>
        <v>2642230.7999999998</v>
      </c>
      <c r="E1147" s="31">
        <v>0</v>
      </c>
      <c r="F1147" s="31">
        <v>0</v>
      </c>
      <c r="G1147" s="31">
        <v>0</v>
      </c>
      <c r="H1147" s="31">
        <v>0</v>
      </c>
      <c r="I1147" s="31">
        <v>0</v>
      </c>
      <c r="J1147" s="31">
        <v>0</v>
      </c>
      <c r="K1147" s="67">
        <v>0</v>
      </c>
      <c r="L1147" s="31">
        <v>0</v>
      </c>
      <c r="M1147" s="31">
        <v>506</v>
      </c>
      <c r="N1147" s="31">
        <v>2494808.67</v>
      </c>
      <c r="O1147" s="31">
        <v>0</v>
      </c>
      <c r="P1147" s="31">
        <v>0</v>
      </c>
      <c r="Q1147" s="31">
        <v>0</v>
      </c>
      <c r="R1147" s="31">
        <v>0</v>
      </c>
      <c r="S1147" s="31">
        <v>0</v>
      </c>
      <c r="T1147" s="31">
        <v>0</v>
      </c>
      <c r="U1147" s="31">
        <v>0</v>
      </c>
      <c r="V1147" s="31">
        <v>0</v>
      </c>
      <c r="W1147" s="31">
        <v>0</v>
      </c>
      <c r="X1147" s="31">
        <v>0</v>
      </c>
      <c r="Y1147" s="31">
        <v>0</v>
      </c>
      <c r="Z1147" s="31">
        <v>0</v>
      </c>
      <c r="AA1147" s="31">
        <v>0</v>
      </c>
      <c r="AB1147" s="31">
        <v>0</v>
      </c>
      <c r="AC1147" s="31">
        <f t="shared" ref="AC1147:AC1154" si="266">ROUND(N1147*1.5%,2)</f>
        <v>37422.129999999997</v>
      </c>
      <c r="AD1147" s="31">
        <v>110000</v>
      </c>
      <c r="AE1147" s="31">
        <v>0</v>
      </c>
      <c r="AF1147" s="33">
        <v>2022</v>
      </c>
      <c r="AG1147" s="33">
        <v>2022</v>
      </c>
      <c r="AH1147" s="34">
        <v>2022</v>
      </c>
      <c r="AT1147" s="20" t="e">
        <f t="shared" si="261"/>
        <v>#N/A</v>
      </c>
      <c r="BZ1147" s="64"/>
    </row>
    <row r="1148" spans="1:78" ht="61.5" x14ac:dyDescent="0.85">
      <c r="A1148" s="20">
        <v>1</v>
      </c>
      <c r="B1148" s="60">
        <f>SUBTOTAL(103,$A$1036:A1148)</f>
        <v>110</v>
      </c>
      <c r="C1148" s="24" t="s">
        <v>783</v>
      </c>
      <c r="D1148" s="31">
        <f t="shared" si="265"/>
        <v>2496020.4</v>
      </c>
      <c r="E1148" s="31">
        <v>0</v>
      </c>
      <c r="F1148" s="31">
        <v>0</v>
      </c>
      <c r="G1148" s="31">
        <v>0</v>
      </c>
      <c r="H1148" s="31">
        <v>0</v>
      </c>
      <c r="I1148" s="31">
        <v>0</v>
      </c>
      <c r="J1148" s="31">
        <v>0</v>
      </c>
      <c r="K1148" s="67">
        <v>0</v>
      </c>
      <c r="L1148" s="31">
        <v>0</v>
      </c>
      <c r="M1148" s="31">
        <v>478</v>
      </c>
      <c r="N1148" s="31">
        <v>2350759.0099999998</v>
      </c>
      <c r="O1148" s="31">
        <v>0</v>
      </c>
      <c r="P1148" s="31">
        <v>0</v>
      </c>
      <c r="Q1148" s="31">
        <v>0</v>
      </c>
      <c r="R1148" s="31">
        <v>0</v>
      </c>
      <c r="S1148" s="31">
        <v>0</v>
      </c>
      <c r="T1148" s="31">
        <v>0</v>
      </c>
      <c r="U1148" s="31">
        <v>0</v>
      </c>
      <c r="V1148" s="31">
        <v>0</v>
      </c>
      <c r="W1148" s="31">
        <v>0</v>
      </c>
      <c r="X1148" s="31">
        <v>0</v>
      </c>
      <c r="Y1148" s="31">
        <v>0</v>
      </c>
      <c r="Z1148" s="31">
        <v>0</v>
      </c>
      <c r="AA1148" s="31">
        <v>0</v>
      </c>
      <c r="AB1148" s="31">
        <v>0</v>
      </c>
      <c r="AC1148" s="31">
        <f t="shared" si="266"/>
        <v>35261.39</v>
      </c>
      <c r="AD1148" s="31">
        <v>110000</v>
      </c>
      <c r="AE1148" s="31">
        <v>0</v>
      </c>
      <c r="AF1148" s="33">
        <v>2022</v>
      </c>
      <c r="AG1148" s="33">
        <v>2022</v>
      </c>
      <c r="AH1148" s="34">
        <v>2022</v>
      </c>
      <c r="AT1148" s="20" t="e">
        <f t="shared" si="261"/>
        <v>#N/A</v>
      </c>
      <c r="BZ1148" s="64"/>
    </row>
    <row r="1149" spans="1:78" ht="61.5" x14ac:dyDescent="0.85">
      <c r="A1149" s="20">
        <v>1</v>
      </c>
      <c r="B1149" s="60">
        <f>SUBTOTAL(103,$A$1036:A1149)</f>
        <v>111</v>
      </c>
      <c r="C1149" s="24" t="s">
        <v>2274</v>
      </c>
      <c r="D1149" s="31">
        <f t="shared" si="265"/>
        <v>3119600</v>
      </c>
      <c r="E1149" s="31">
        <v>0</v>
      </c>
      <c r="F1149" s="31">
        <v>0</v>
      </c>
      <c r="G1149" s="31">
        <v>0</v>
      </c>
      <c r="H1149" s="31">
        <v>0</v>
      </c>
      <c r="I1149" s="31">
        <v>0</v>
      </c>
      <c r="J1149" s="31">
        <v>0</v>
      </c>
      <c r="K1149" s="67">
        <v>0</v>
      </c>
      <c r="L1149" s="31">
        <v>0</v>
      </c>
      <c r="M1149" s="31">
        <v>627</v>
      </c>
      <c r="N1149" s="31">
        <v>2965123.15</v>
      </c>
      <c r="O1149" s="31">
        <v>0</v>
      </c>
      <c r="P1149" s="31">
        <v>0</v>
      </c>
      <c r="Q1149" s="31">
        <v>0</v>
      </c>
      <c r="R1149" s="31">
        <v>0</v>
      </c>
      <c r="S1149" s="31">
        <v>0</v>
      </c>
      <c r="T1149" s="31">
        <v>0</v>
      </c>
      <c r="U1149" s="31">
        <v>0</v>
      </c>
      <c r="V1149" s="31">
        <v>0</v>
      </c>
      <c r="W1149" s="31">
        <v>0</v>
      </c>
      <c r="X1149" s="31">
        <v>0</v>
      </c>
      <c r="Y1149" s="31">
        <v>0</v>
      </c>
      <c r="Z1149" s="31">
        <v>0</v>
      </c>
      <c r="AA1149" s="31">
        <v>0</v>
      </c>
      <c r="AB1149" s="31">
        <v>0</v>
      </c>
      <c r="AC1149" s="31">
        <f t="shared" si="266"/>
        <v>44476.85</v>
      </c>
      <c r="AD1149" s="31">
        <v>110000</v>
      </c>
      <c r="AE1149" s="31">
        <v>0</v>
      </c>
      <c r="AF1149" s="33">
        <v>2022</v>
      </c>
      <c r="AG1149" s="33">
        <v>2022</v>
      </c>
      <c r="AH1149" s="34">
        <v>2022</v>
      </c>
      <c r="AT1149" s="20" t="e">
        <f t="shared" si="261"/>
        <v>#N/A</v>
      </c>
      <c r="BZ1149" s="64"/>
    </row>
    <row r="1150" spans="1:78" ht="61.5" x14ac:dyDescent="0.85">
      <c r="A1150" s="20">
        <v>1</v>
      </c>
      <c r="B1150" s="60">
        <f>SUBTOTAL(103,$A$1036:A1150)</f>
        <v>112</v>
      </c>
      <c r="C1150" s="24" t="s">
        <v>787</v>
      </c>
      <c r="D1150" s="31">
        <f t="shared" si="265"/>
        <v>7101648</v>
      </c>
      <c r="E1150" s="31">
        <v>0</v>
      </c>
      <c r="F1150" s="31">
        <v>0</v>
      </c>
      <c r="G1150" s="31">
        <v>0</v>
      </c>
      <c r="H1150" s="31">
        <v>0</v>
      </c>
      <c r="I1150" s="31">
        <v>0</v>
      </c>
      <c r="J1150" s="31">
        <v>0</v>
      </c>
      <c r="K1150" s="67">
        <v>0</v>
      </c>
      <c r="L1150" s="31">
        <v>0</v>
      </c>
      <c r="M1150" s="31">
        <v>1360</v>
      </c>
      <c r="N1150" s="31">
        <v>6858766.5</v>
      </c>
      <c r="O1150" s="31">
        <v>0</v>
      </c>
      <c r="P1150" s="31">
        <v>0</v>
      </c>
      <c r="Q1150" s="31">
        <v>0</v>
      </c>
      <c r="R1150" s="31">
        <v>0</v>
      </c>
      <c r="S1150" s="31">
        <v>0</v>
      </c>
      <c r="T1150" s="31">
        <v>0</v>
      </c>
      <c r="U1150" s="31">
        <v>0</v>
      </c>
      <c r="V1150" s="31">
        <v>0</v>
      </c>
      <c r="W1150" s="31">
        <v>0</v>
      </c>
      <c r="X1150" s="31">
        <v>0</v>
      </c>
      <c r="Y1150" s="31">
        <v>0</v>
      </c>
      <c r="Z1150" s="31">
        <v>0</v>
      </c>
      <c r="AA1150" s="31">
        <v>0</v>
      </c>
      <c r="AB1150" s="31">
        <v>0</v>
      </c>
      <c r="AC1150" s="31">
        <f t="shared" si="266"/>
        <v>102881.5</v>
      </c>
      <c r="AD1150" s="31">
        <v>140000</v>
      </c>
      <c r="AE1150" s="31">
        <v>0</v>
      </c>
      <c r="AF1150" s="33">
        <v>2022</v>
      </c>
      <c r="AG1150" s="33">
        <v>2022</v>
      </c>
      <c r="AH1150" s="34">
        <v>2022</v>
      </c>
      <c r="AT1150" s="20">
        <f t="shared" si="261"/>
        <v>1</v>
      </c>
      <c r="BZ1150" s="64"/>
    </row>
    <row r="1151" spans="1:78" ht="61.5" x14ac:dyDescent="0.85">
      <c r="A1151" s="20">
        <v>1</v>
      </c>
      <c r="B1151" s="60">
        <f>SUBTOTAL(103,$A$1036:A1151)</f>
        <v>113</v>
      </c>
      <c r="C1151" s="24" t="s">
        <v>788</v>
      </c>
      <c r="D1151" s="31">
        <f t="shared" si="265"/>
        <v>3388948.1999999997</v>
      </c>
      <c r="E1151" s="31">
        <v>0</v>
      </c>
      <c r="F1151" s="31">
        <v>0</v>
      </c>
      <c r="G1151" s="31">
        <v>0</v>
      </c>
      <c r="H1151" s="31">
        <v>0</v>
      </c>
      <c r="I1151" s="31">
        <v>0</v>
      </c>
      <c r="J1151" s="31">
        <v>0</v>
      </c>
      <c r="K1151" s="67">
        <v>0</v>
      </c>
      <c r="L1151" s="31">
        <v>0</v>
      </c>
      <c r="M1151" s="31">
        <v>649</v>
      </c>
      <c r="N1151" s="31">
        <v>3230490.84</v>
      </c>
      <c r="O1151" s="31">
        <v>0</v>
      </c>
      <c r="P1151" s="31">
        <v>0</v>
      </c>
      <c r="Q1151" s="31">
        <v>0</v>
      </c>
      <c r="R1151" s="31">
        <v>0</v>
      </c>
      <c r="S1151" s="31">
        <v>0</v>
      </c>
      <c r="T1151" s="31">
        <v>0</v>
      </c>
      <c r="U1151" s="31">
        <v>0</v>
      </c>
      <c r="V1151" s="31">
        <v>0</v>
      </c>
      <c r="W1151" s="31">
        <v>0</v>
      </c>
      <c r="X1151" s="31">
        <v>0</v>
      </c>
      <c r="Y1151" s="31">
        <v>0</v>
      </c>
      <c r="Z1151" s="31">
        <v>0</v>
      </c>
      <c r="AA1151" s="31">
        <v>0</v>
      </c>
      <c r="AB1151" s="31">
        <v>0</v>
      </c>
      <c r="AC1151" s="31">
        <f t="shared" si="266"/>
        <v>48457.36</v>
      </c>
      <c r="AD1151" s="31">
        <v>110000</v>
      </c>
      <c r="AE1151" s="31">
        <v>0</v>
      </c>
      <c r="AF1151" s="33">
        <v>2022</v>
      </c>
      <c r="AG1151" s="33">
        <v>2022</v>
      </c>
      <c r="AH1151" s="34">
        <v>2022</v>
      </c>
      <c r="AT1151" s="20" t="e">
        <f t="shared" si="261"/>
        <v>#N/A</v>
      </c>
      <c r="BZ1151" s="64"/>
    </row>
    <row r="1152" spans="1:78" ht="61.5" x14ac:dyDescent="0.85">
      <c r="A1152" s="20">
        <v>1</v>
      </c>
      <c r="B1152" s="60">
        <f>SUBTOTAL(103,$A$1036:A1152)</f>
        <v>114</v>
      </c>
      <c r="C1152" s="24" t="s">
        <v>789</v>
      </c>
      <c r="D1152" s="31">
        <f t="shared" si="265"/>
        <v>3446388</v>
      </c>
      <c r="E1152" s="31">
        <v>0</v>
      </c>
      <c r="F1152" s="31">
        <v>0</v>
      </c>
      <c r="G1152" s="31">
        <v>0</v>
      </c>
      <c r="H1152" s="31">
        <v>0</v>
      </c>
      <c r="I1152" s="31">
        <v>0</v>
      </c>
      <c r="J1152" s="31">
        <v>0</v>
      </c>
      <c r="K1152" s="67">
        <v>0</v>
      </c>
      <c r="L1152" s="31">
        <v>0</v>
      </c>
      <c r="M1152" s="31">
        <v>660</v>
      </c>
      <c r="N1152" s="31">
        <v>3287081.77</v>
      </c>
      <c r="O1152" s="31">
        <v>0</v>
      </c>
      <c r="P1152" s="31">
        <v>0</v>
      </c>
      <c r="Q1152" s="31">
        <v>0</v>
      </c>
      <c r="R1152" s="31">
        <v>0</v>
      </c>
      <c r="S1152" s="31">
        <v>0</v>
      </c>
      <c r="T1152" s="31">
        <v>0</v>
      </c>
      <c r="U1152" s="31">
        <v>0</v>
      </c>
      <c r="V1152" s="31">
        <v>0</v>
      </c>
      <c r="W1152" s="31">
        <v>0</v>
      </c>
      <c r="X1152" s="31">
        <v>0</v>
      </c>
      <c r="Y1152" s="31">
        <v>0</v>
      </c>
      <c r="Z1152" s="31">
        <v>0</v>
      </c>
      <c r="AA1152" s="31">
        <v>0</v>
      </c>
      <c r="AB1152" s="31">
        <v>0</v>
      </c>
      <c r="AC1152" s="31">
        <f t="shared" si="266"/>
        <v>49306.23</v>
      </c>
      <c r="AD1152" s="31">
        <v>110000</v>
      </c>
      <c r="AE1152" s="31">
        <v>0</v>
      </c>
      <c r="AF1152" s="33">
        <v>2022</v>
      </c>
      <c r="AG1152" s="33">
        <v>2022</v>
      </c>
      <c r="AH1152" s="34">
        <v>2022</v>
      </c>
      <c r="AT1152" s="20" t="e">
        <f t="shared" si="261"/>
        <v>#N/A</v>
      </c>
      <c r="BZ1152" s="64"/>
    </row>
    <row r="1153" spans="1:82" ht="61.5" x14ac:dyDescent="0.85">
      <c r="A1153" s="20">
        <v>1</v>
      </c>
      <c r="B1153" s="60">
        <f>SUBTOTAL(103,$A$1036:A1153)</f>
        <v>115</v>
      </c>
      <c r="C1153" s="24" t="s">
        <v>790</v>
      </c>
      <c r="D1153" s="31">
        <f t="shared" si="265"/>
        <v>2827058</v>
      </c>
      <c r="E1153" s="31">
        <v>0</v>
      </c>
      <c r="F1153" s="31">
        <v>0</v>
      </c>
      <c r="G1153" s="31">
        <v>0</v>
      </c>
      <c r="H1153" s="31">
        <v>0</v>
      </c>
      <c r="I1153" s="31">
        <v>0</v>
      </c>
      <c r="J1153" s="31">
        <v>0</v>
      </c>
      <c r="K1153" s="67">
        <v>0</v>
      </c>
      <c r="L1153" s="31">
        <v>0</v>
      </c>
      <c r="M1153" s="31">
        <v>511</v>
      </c>
      <c r="N1153" s="31">
        <f>M1153*5200</f>
        <v>2657200</v>
      </c>
      <c r="O1153" s="31">
        <v>0</v>
      </c>
      <c r="P1153" s="31">
        <v>0</v>
      </c>
      <c r="Q1153" s="31">
        <v>0</v>
      </c>
      <c r="R1153" s="31">
        <v>0</v>
      </c>
      <c r="S1153" s="31">
        <v>0</v>
      </c>
      <c r="T1153" s="31">
        <v>0</v>
      </c>
      <c r="U1153" s="31">
        <v>0</v>
      </c>
      <c r="V1153" s="31">
        <v>0</v>
      </c>
      <c r="W1153" s="31">
        <v>0</v>
      </c>
      <c r="X1153" s="31">
        <v>0</v>
      </c>
      <c r="Y1153" s="31">
        <v>0</v>
      </c>
      <c r="Z1153" s="31">
        <v>0</v>
      </c>
      <c r="AA1153" s="31">
        <v>0</v>
      </c>
      <c r="AB1153" s="31">
        <v>0</v>
      </c>
      <c r="AC1153" s="31">
        <f t="shared" si="266"/>
        <v>39858</v>
      </c>
      <c r="AD1153" s="31">
        <v>130000</v>
      </c>
      <c r="AE1153" s="31">
        <v>0</v>
      </c>
      <c r="AF1153" s="33">
        <v>2022</v>
      </c>
      <c r="AG1153" s="33">
        <v>2022</v>
      </c>
      <c r="AH1153" s="34">
        <v>2022</v>
      </c>
      <c r="AT1153" s="20" t="e">
        <f t="shared" si="261"/>
        <v>#N/A</v>
      </c>
      <c r="BZ1153" s="64"/>
    </row>
    <row r="1154" spans="1:82" ht="61.5" x14ac:dyDescent="0.85">
      <c r="A1154" s="20">
        <v>1</v>
      </c>
      <c r="B1154" s="60">
        <f>SUBTOTAL(103,$A$1036:A1154)</f>
        <v>116</v>
      </c>
      <c r="C1154" s="24" t="s">
        <v>791</v>
      </c>
      <c r="D1154" s="31">
        <f t="shared" si="265"/>
        <v>8660275.6699999981</v>
      </c>
      <c r="E1154" s="31">
        <v>0</v>
      </c>
      <c r="F1154" s="31">
        <v>0</v>
      </c>
      <c r="G1154" s="31">
        <v>0</v>
      </c>
      <c r="H1154" s="31">
        <v>0</v>
      </c>
      <c r="I1154" s="31">
        <v>0</v>
      </c>
      <c r="J1154" s="31">
        <v>0</v>
      </c>
      <c r="K1154" s="67">
        <v>0</v>
      </c>
      <c r="L1154" s="31">
        <v>0</v>
      </c>
      <c r="M1154" s="31">
        <v>2047.5</v>
      </c>
      <c r="N1154" s="31">
        <f>10533631.03-3411405.54+1213021.48</f>
        <v>8335246.9699999988</v>
      </c>
      <c r="O1154" s="31">
        <v>0</v>
      </c>
      <c r="P1154" s="31">
        <v>0</v>
      </c>
      <c r="Q1154" s="31">
        <v>0</v>
      </c>
      <c r="R1154" s="31">
        <v>0</v>
      </c>
      <c r="S1154" s="31">
        <v>0</v>
      </c>
      <c r="T1154" s="31">
        <v>0</v>
      </c>
      <c r="U1154" s="31">
        <v>0</v>
      </c>
      <c r="V1154" s="31">
        <v>0</v>
      </c>
      <c r="W1154" s="31">
        <v>0</v>
      </c>
      <c r="X1154" s="31">
        <v>0</v>
      </c>
      <c r="Y1154" s="31">
        <v>0</v>
      </c>
      <c r="Z1154" s="31">
        <v>0</v>
      </c>
      <c r="AA1154" s="31">
        <v>0</v>
      </c>
      <c r="AB1154" s="31">
        <v>0</v>
      </c>
      <c r="AC1154" s="31">
        <f t="shared" si="266"/>
        <v>125028.7</v>
      </c>
      <c r="AD1154" s="31">
        <v>200000</v>
      </c>
      <c r="AE1154" s="31">
        <v>0</v>
      </c>
      <c r="AF1154" s="33">
        <v>2022</v>
      </c>
      <c r="AG1154" s="33">
        <v>2022</v>
      </c>
      <c r="AH1154" s="34">
        <v>2022</v>
      </c>
      <c r="AT1154" s="20" t="e">
        <f t="shared" si="261"/>
        <v>#N/A</v>
      </c>
      <c r="BZ1154" s="64"/>
    </row>
    <row r="1155" spans="1:82" ht="61.5" x14ac:dyDescent="0.85">
      <c r="A1155" s="20">
        <v>1</v>
      </c>
      <c r="B1155" s="60">
        <f>SUBTOTAL(103,$A$1036:A1155)</f>
        <v>117</v>
      </c>
      <c r="C1155" s="24" t="s">
        <v>813</v>
      </c>
      <c r="D1155" s="31">
        <f t="shared" si="265"/>
        <v>1991891.6</v>
      </c>
      <c r="E1155" s="31">
        <v>0</v>
      </c>
      <c r="F1155" s="31">
        <v>0</v>
      </c>
      <c r="G1155" s="31">
        <v>0</v>
      </c>
      <c r="H1155" s="31">
        <v>0</v>
      </c>
      <c r="I1155" s="31">
        <v>0</v>
      </c>
      <c r="J1155" s="31">
        <v>0</v>
      </c>
      <c r="K1155" s="67">
        <v>0</v>
      </c>
      <c r="L1155" s="31">
        <v>0</v>
      </c>
      <c r="M1155" s="31">
        <v>0</v>
      </c>
      <c r="N1155" s="31">
        <v>0</v>
      </c>
      <c r="O1155" s="31">
        <v>0</v>
      </c>
      <c r="P1155" s="31">
        <v>0</v>
      </c>
      <c r="Q1155" s="31">
        <v>360</v>
      </c>
      <c r="R1155" s="31">
        <v>1883637.04</v>
      </c>
      <c r="S1155" s="31">
        <v>0</v>
      </c>
      <c r="T1155" s="31">
        <v>0</v>
      </c>
      <c r="U1155" s="31">
        <v>0</v>
      </c>
      <c r="V1155" s="31">
        <v>0</v>
      </c>
      <c r="W1155" s="31">
        <v>0</v>
      </c>
      <c r="X1155" s="31">
        <v>0</v>
      </c>
      <c r="Y1155" s="31">
        <v>0</v>
      </c>
      <c r="Z1155" s="31">
        <v>0</v>
      </c>
      <c r="AA1155" s="31">
        <v>0</v>
      </c>
      <c r="AB1155" s="31">
        <v>0</v>
      </c>
      <c r="AC1155" s="31">
        <f>ROUND(R1155*1.5%,2)</f>
        <v>28254.560000000001</v>
      </c>
      <c r="AD1155" s="31">
        <v>80000</v>
      </c>
      <c r="AE1155" s="31">
        <v>0</v>
      </c>
      <c r="AF1155" s="33">
        <v>2022</v>
      </c>
      <c r="AG1155" s="33">
        <v>2022</v>
      </c>
      <c r="AH1155" s="34">
        <v>2022</v>
      </c>
      <c r="AT1155" s="20">
        <f t="shared" si="261"/>
        <v>1</v>
      </c>
      <c r="BZ1155" s="64"/>
    </row>
    <row r="1156" spans="1:82" ht="61.5" x14ac:dyDescent="0.85">
      <c r="A1156" s="20">
        <v>1</v>
      </c>
      <c r="B1156" s="60">
        <f>SUBTOTAL(103,$A$1036:A1156)</f>
        <v>118</v>
      </c>
      <c r="C1156" s="24" t="s">
        <v>1600</v>
      </c>
      <c r="D1156" s="31">
        <f t="shared" si="265"/>
        <v>2084284</v>
      </c>
      <c r="E1156" s="31">
        <v>0</v>
      </c>
      <c r="F1156" s="31">
        <v>0</v>
      </c>
      <c r="G1156" s="31">
        <v>0</v>
      </c>
      <c r="H1156" s="31">
        <v>0</v>
      </c>
      <c r="I1156" s="31">
        <v>0</v>
      </c>
      <c r="J1156" s="31">
        <v>0</v>
      </c>
      <c r="K1156" s="67">
        <v>0</v>
      </c>
      <c r="L1156" s="31">
        <v>0</v>
      </c>
      <c r="M1156" s="31">
        <v>380</v>
      </c>
      <c r="N1156" s="31">
        <v>1954959.61</v>
      </c>
      <c r="O1156" s="31">
        <v>0</v>
      </c>
      <c r="P1156" s="31">
        <v>0</v>
      </c>
      <c r="Q1156" s="31">
        <v>0</v>
      </c>
      <c r="R1156" s="31">
        <v>0</v>
      </c>
      <c r="S1156" s="31">
        <v>0</v>
      </c>
      <c r="T1156" s="31">
        <v>0</v>
      </c>
      <c r="U1156" s="31">
        <v>0</v>
      </c>
      <c r="V1156" s="31">
        <v>0</v>
      </c>
      <c r="W1156" s="31">
        <v>0</v>
      </c>
      <c r="X1156" s="31">
        <v>0</v>
      </c>
      <c r="Y1156" s="31">
        <v>0</v>
      </c>
      <c r="Z1156" s="31">
        <v>0</v>
      </c>
      <c r="AA1156" s="31">
        <v>0</v>
      </c>
      <c r="AB1156" s="31">
        <v>0</v>
      </c>
      <c r="AC1156" s="31">
        <f>ROUND(N1156*1.5%,2)</f>
        <v>29324.39</v>
      </c>
      <c r="AD1156" s="31">
        <v>100000</v>
      </c>
      <c r="AE1156" s="31">
        <v>0</v>
      </c>
      <c r="AF1156" s="33">
        <v>2022</v>
      </c>
      <c r="AG1156" s="33">
        <v>2022</v>
      </c>
      <c r="AH1156" s="34">
        <v>2022</v>
      </c>
      <c r="BZ1156" s="64"/>
    </row>
    <row r="1157" spans="1:82" ht="61.5" x14ac:dyDescent="0.85">
      <c r="A1157" s="20">
        <v>1</v>
      </c>
      <c r="B1157" s="60">
        <f>SUBTOTAL(103,$A$1036:A1157)</f>
        <v>119</v>
      </c>
      <c r="C1157" s="24" t="s">
        <v>2440</v>
      </c>
      <c r="D1157" s="31">
        <f t="shared" si="265"/>
        <v>4167434.04</v>
      </c>
      <c r="E1157" s="31">
        <v>0</v>
      </c>
      <c r="F1157" s="31">
        <v>0</v>
      </c>
      <c r="G1157" s="31">
        <v>0</v>
      </c>
      <c r="H1157" s="31">
        <v>0</v>
      </c>
      <c r="I1157" s="31">
        <v>0</v>
      </c>
      <c r="J1157" s="31">
        <v>0</v>
      </c>
      <c r="K1157" s="67">
        <v>2</v>
      </c>
      <c r="L1157" s="31">
        <f>2*2377560-150000-587685.96</f>
        <v>4017434.04</v>
      </c>
      <c r="M1157" s="31">
        <v>0</v>
      </c>
      <c r="N1157" s="31">
        <v>0</v>
      </c>
      <c r="O1157" s="31">
        <v>0</v>
      </c>
      <c r="P1157" s="31">
        <v>0</v>
      </c>
      <c r="Q1157" s="31">
        <v>0</v>
      </c>
      <c r="R1157" s="31">
        <v>0</v>
      </c>
      <c r="S1157" s="31">
        <v>0</v>
      </c>
      <c r="T1157" s="31">
        <v>0</v>
      </c>
      <c r="U1157" s="31">
        <v>0</v>
      </c>
      <c r="V1157" s="31">
        <v>0</v>
      </c>
      <c r="W1157" s="31">
        <v>0</v>
      </c>
      <c r="X1157" s="31">
        <v>0</v>
      </c>
      <c r="Y1157" s="31">
        <v>0</v>
      </c>
      <c r="Z1157" s="31">
        <v>0</v>
      </c>
      <c r="AA1157" s="31">
        <v>0</v>
      </c>
      <c r="AB1157" s="31">
        <v>0</v>
      </c>
      <c r="AC1157" s="31">
        <f t="shared" ref="AC1157:AC1159" si="267">ROUND(N1157*1.5%,2)</f>
        <v>0</v>
      </c>
      <c r="AD1157" s="31">
        <v>150000</v>
      </c>
      <c r="AE1157" s="31">
        <v>0</v>
      </c>
      <c r="AF1157" s="33">
        <v>2022</v>
      </c>
      <c r="AG1157" s="33">
        <v>2022</v>
      </c>
      <c r="AH1157" s="34" t="s">
        <v>268</v>
      </c>
      <c r="BZ1157" s="64"/>
      <c r="CD1157" s="20" t="e">
        <f>VLOOKUP(C1157,CE:CF,2,FALSE)</f>
        <v>#N/A</v>
      </c>
    </row>
    <row r="1158" spans="1:82" ht="61.5" x14ac:dyDescent="0.85">
      <c r="A1158" s="20">
        <v>1</v>
      </c>
      <c r="B1158" s="60">
        <f>SUBTOTAL(103,$A$1036:A1158)</f>
        <v>120</v>
      </c>
      <c r="C1158" s="24" t="s">
        <v>2155</v>
      </c>
      <c r="D1158" s="31">
        <f t="shared" si="265"/>
        <v>4167434.04</v>
      </c>
      <c r="E1158" s="31">
        <v>0</v>
      </c>
      <c r="F1158" s="31">
        <v>0</v>
      </c>
      <c r="G1158" s="31">
        <v>0</v>
      </c>
      <c r="H1158" s="31">
        <v>0</v>
      </c>
      <c r="I1158" s="31">
        <v>0</v>
      </c>
      <c r="J1158" s="31">
        <v>0</v>
      </c>
      <c r="K1158" s="67">
        <v>2</v>
      </c>
      <c r="L1158" s="31">
        <f t="shared" ref="L1158:L1159" si="268">2*2377560-150000-587685.96</f>
        <v>4017434.04</v>
      </c>
      <c r="M1158" s="31">
        <v>0</v>
      </c>
      <c r="N1158" s="31">
        <v>0</v>
      </c>
      <c r="O1158" s="31">
        <v>0</v>
      </c>
      <c r="P1158" s="31">
        <v>0</v>
      </c>
      <c r="Q1158" s="31">
        <v>0</v>
      </c>
      <c r="R1158" s="31">
        <v>0</v>
      </c>
      <c r="S1158" s="31">
        <v>0</v>
      </c>
      <c r="T1158" s="31">
        <v>0</v>
      </c>
      <c r="U1158" s="31">
        <v>0</v>
      </c>
      <c r="V1158" s="31">
        <v>0</v>
      </c>
      <c r="W1158" s="31">
        <v>0</v>
      </c>
      <c r="X1158" s="31">
        <v>0</v>
      </c>
      <c r="Y1158" s="31">
        <v>0</v>
      </c>
      <c r="Z1158" s="31">
        <v>0</v>
      </c>
      <c r="AA1158" s="31">
        <v>0</v>
      </c>
      <c r="AB1158" s="31">
        <v>0</v>
      </c>
      <c r="AC1158" s="31">
        <f t="shared" si="267"/>
        <v>0</v>
      </c>
      <c r="AD1158" s="31">
        <v>150000</v>
      </c>
      <c r="AE1158" s="31">
        <v>0</v>
      </c>
      <c r="AF1158" s="33">
        <v>2022</v>
      </c>
      <c r="AG1158" s="33">
        <v>2022</v>
      </c>
      <c r="AH1158" s="34" t="s">
        <v>268</v>
      </c>
      <c r="BZ1158" s="64"/>
      <c r="CD1158" s="20" t="e">
        <f>VLOOKUP(C1158,CE:CF,2,FALSE)</f>
        <v>#N/A</v>
      </c>
    </row>
    <row r="1159" spans="1:82" ht="61.5" x14ac:dyDescent="0.85">
      <c r="A1159" s="20">
        <v>1</v>
      </c>
      <c r="B1159" s="60">
        <f>SUBTOTAL(103,$A$1036:A1159)</f>
        <v>121</v>
      </c>
      <c r="C1159" s="24" t="s">
        <v>2441</v>
      </c>
      <c r="D1159" s="31">
        <f t="shared" si="265"/>
        <v>4167434.04</v>
      </c>
      <c r="E1159" s="31">
        <v>0</v>
      </c>
      <c r="F1159" s="31">
        <v>0</v>
      </c>
      <c r="G1159" s="31">
        <v>0</v>
      </c>
      <c r="H1159" s="31">
        <v>0</v>
      </c>
      <c r="I1159" s="31">
        <v>0</v>
      </c>
      <c r="J1159" s="31">
        <v>0</v>
      </c>
      <c r="K1159" s="67">
        <v>2</v>
      </c>
      <c r="L1159" s="31">
        <f t="shared" si="268"/>
        <v>4017434.04</v>
      </c>
      <c r="M1159" s="31">
        <v>0</v>
      </c>
      <c r="N1159" s="31">
        <v>0</v>
      </c>
      <c r="O1159" s="31">
        <v>0</v>
      </c>
      <c r="P1159" s="31">
        <v>0</v>
      </c>
      <c r="Q1159" s="31">
        <v>0</v>
      </c>
      <c r="R1159" s="31">
        <v>0</v>
      </c>
      <c r="S1159" s="31">
        <v>0</v>
      </c>
      <c r="T1159" s="31">
        <v>0</v>
      </c>
      <c r="U1159" s="31">
        <v>0</v>
      </c>
      <c r="V1159" s="31">
        <v>0</v>
      </c>
      <c r="W1159" s="31">
        <v>0</v>
      </c>
      <c r="X1159" s="31">
        <v>0</v>
      </c>
      <c r="Y1159" s="31">
        <v>0</v>
      </c>
      <c r="Z1159" s="31">
        <v>0</v>
      </c>
      <c r="AA1159" s="31">
        <v>0</v>
      </c>
      <c r="AB1159" s="31">
        <v>0</v>
      </c>
      <c r="AC1159" s="31">
        <f t="shared" si="267"/>
        <v>0</v>
      </c>
      <c r="AD1159" s="31">
        <v>150000</v>
      </c>
      <c r="AE1159" s="31">
        <v>0</v>
      </c>
      <c r="AF1159" s="33">
        <v>2022</v>
      </c>
      <c r="AG1159" s="33">
        <v>2022</v>
      </c>
      <c r="AH1159" s="34" t="s">
        <v>268</v>
      </c>
      <c r="BZ1159" s="64"/>
      <c r="CD1159" s="20" t="e">
        <f>VLOOKUP(C1159,CE:CF,2,FALSE)</f>
        <v>#N/A</v>
      </c>
    </row>
    <row r="1160" spans="1:82" ht="61.5" x14ac:dyDescent="0.85">
      <c r="B1160" s="24" t="s">
        <v>758</v>
      </c>
      <c r="C1160" s="198"/>
      <c r="D1160" s="199">
        <f>SUM(D1161:D1162)</f>
        <v>21856214.649999999</v>
      </c>
      <c r="E1160" s="31">
        <f t="shared" ref="E1160:AE1160" si="269">SUM(E1161:E1162)</f>
        <v>564251.4</v>
      </c>
      <c r="F1160" s="31">
        <f t="shared" si="269"/>
        <v>1368969.5</v>
      </c>
      <c r="G1160" s="31">
        <f t="shared" si="269"/>
        <v>1773880.4000000001</v>
      </c>
      <c r="H1160" s="31">
        <f t="shared" si="269"/>
        <v>1005360.8</v>
      </c>
      <c r="I1160" s="31">
        <f t="shared" si="269"/>
        <v>2430648.5</v>
      </c>
      <c r="J1160" s="31">
        <f t="shared" si="269"/>
        <v>0</v>
      </c>
      <c r="K1160" s="67">
        <f t="shared" si="269"/>
        <v>0</v>
      </c>
      <c r="L1160" s="31">
        <f t="shared" si="269"/>
        <v>0</v>
      </c>
      <c r="M1160" s="31">
        <f t="shared" si="269"/>
        <v>0</v>
      </c>
      <c r="N1160" s="31">
        <f t="shared" si="269"/>
        <v>0</v>
      </c>
      <c r="O1160" s="31">
        <f t="shared" si="269"/>
        <v>0</v>
      </c>
      <c r="P1160" s="31">
        <f t="shared" si="269"/>
        <v>0</v>
      </c>
      <c r="Q1160" s="31">
        <f t="shared" si="269"/>
        <v>7025.9</v>
      </c>
      <c r="R1160" s="31">
        <f t="shared" si="269"/>
        <v>13897494.970000001</v>
      </c>
      <c r="S1160" s="31">
        <f t="shared" si="269"/>
        <v>0</v>
      </c>
      <c r="T1160" s="31">
        <f t="shared" si="269"/>
        <v>0</v>
      </c>
      <c r="U1160" s="31">
        <f t="shared" si="269"/>
        <v>0</v>
      </c>
      <c r="V1160" s="31">
        <f t="shared" si="269"/>
        <v>0</v>
      </c>
      <c r="W1160" s="31">
        <f t="shared" si="269"/>
        <v>0</v>
      </c>
      <c r="X1160" s="31">
        <f t="shared" si="269"/>
        <v>0</v>
      </c>
      <c r="Y1160" s="31">
        <f t="shared" si="269"/>
        <v>0</v>
      </c>
      <c r="Z1160" s="31">
        <f t="shared" si="269"/>
        <v>0</v>
      </c>
      <c r="AA1160" s="31">
        <f t="shared" si="269"/>
        <v>0</v>
      </c>
      <c r="AB1160" s="31">
        <f t="shared" si="269"/>
        <v>0</v>
      </c>
      <c r="AC1160" s="31">
        <f t="shared" si="269"/>
        <v>315609.08</v>
      </c>
      <c r="AD1160" s="31">
        <f t="shared" si="269"/>
        <v>500000</v>
      </c>
      <c r="AE1160" s="31">
        <f t="shared" si="269"/>
        <v>0</v>
      </c>
      <c r="AF1160" s="65" t="s">
        <v>751</v>
      </c>
      <c r="AG1160" s="65" t="s">
        <v>751</v>
      </c>
      <c r="AH1160" s="79" t="s">
        <v>751</v>
      </c>
      <c r="AT1160" s="20" t="e">
        <f t="shared" ref="AT1160:AT1201" si="270">VLOOKUP(C1160,AW:AX,2,FALSE)</f>
        <v>#N/A</v>
      </c>
      <c r="BZ1160" s="64">
        <v>21856214.649999999</v>
      </c>
    </row>
    <row r="1161" spans="1:82" ht="61.5" x14ac:dyDescent="0.85">
      <c r="A1161" s="20">
        <v>1</v>
      </c>
      <c r="B1161" s="60">
        <f>SUBTOTAL(103,$A$1036:A1161)</f>
        <v>122</v>
      </c>
      <c r="C1161" s="24" t="s">
        <v>384</v>
      </c>
      <c r="D1161" s="31">
        <f>E1161+F1161+G1161+H1161+I1161+J1161+L1161+N1161+P1161+R1161+T1161+U1161+V1161+W1161+X1161+Y1161+Z1161+AA1161+AB1161+AC1161+AD1161+AE1161</f>
        <v>7550257.2599999998</v>
      </c>
      <c r="E1161" s="31">
        <v>564251.4</v>
      </c>
      <c r="F1161" s="31">
        <v>1368969.5</v>
      </c>
      <c r="G1161" s="31">
        <v>1773880.4000000001</v>
      </c>
      <c r="H1161" s="31">
        <v>1005360.8</v>
      </c>
      <c r="I1161" s="31">
        <v>2430648.5</v>
      </c>
      <c r="J1161" s="31">
        <v>0</v>
      </c>
      <c r="K1161" s="67">
        <v>0</v>
      </c>
      <c r="L1161" s="31">
        <v>0</v>
      </c>
      <c r="M1161" s="31">
        <v>0</v>
      </c>
      <c r="N1161" s="31">
        <v>0</v>
      </c>
      <c r="O1161" s="31">
        <v>0</v>
      </c>
      <c r="P1161" s="31">
        <v>0</v>
      </c>
      <c r="Q1161" s="31">
        <v>0</v>
      </c>
      <c r="R1161" s="31">
        <v>0</v>
      </c>
      <c r="S1161" s="31">
        <v>0</v>
      </c>
      <c r="T1161" s="31">
        <v>0</v>
      </c>
      <c r="U1161" s="31">
        <v>0</v>
      </c>
      <c r="V1161" s="31">
        <v>0</v>
      </c>
      <c r="W1161" s="31">
        <v>0</v>
      </c>
      <c r="X1161" s="31">
        <v>0</v>
      </c>
      <c r="Y1161" s="31">
        <v>0</v>
      </c>
      <c r="Z1161" s="31">
        <v>0</v>
      </c>
      <c r="AA1161" s="31">
        <v>0</v>
      </c>
      <c r="AB1161" s="31">
        <v>0</v>
      </c>
      <c r="AC1161" s="31">
        <f>ROUND((E1161+F1161+G1161+H1161+I1161+J1161)*1.5%,2)</f>
        <v>107146.66</v>
      </c>
      <c r="AD1161" s="31">
        <v>300000</v>
      </c>
      <c r="AE1161" s="31">
        <v>0</v>
      </c>
      <c r="AF1161" s="33">
        <v>2022</v>
      </c>
      <c r="AG1161" s="33">
        <v>2022</v>
      </c>
      <c r="AH1161" s="34">
        <v>2022</v>
      </c>
      <c r="AT1161" s="20" t="e">
        <f t="shared" si="270"/>
        <v>#N/A</v>
      </c>
      <c r="BZ1161" s="64"/>
    </row>
    <row r="1162" spans="1:82" ht="61.5" x14ac:dyDescent="0.85">
      <c r="A1162" s="20">
        <v>1</v>
      </c>
      <c r="B1162" s="60">
        <f>SUBTOTAL(103,$A$1036:A1162)</f>
        <v>123</v>
      </c>
      <c r="C1162" s="24" t="s">
        <v>385</v>
      </c>
      <c r="D1162" s="31">
        <f>E1162+F1162+G1162+H1162+I1162+J1162+L1162+N1162+P1162+R1162+T1162+U1162+V1162+W1162+X1162+Y1162+Z1162+AA1162+AB1162+AC1162+AD1162+AE1162</f>
        <v>14305957.390000001</v>
      </c>
      <c r="E1162" s="31">
        <v>0</v>
      </c>
      <c r="F1162" s="31">
        <v>0</v>
      </c>
      <c r="G1162" s="31">
        <v>0</v>
      </c>
      <c r="H1162" s="31">
        <v>0</v>
      </c>
      <c r="I1162" s="31">
        <v>0</v>
      </c>
      <c r="J1162" s="31">
        <v>0</v>
      </c>
      <c r="K1162" s="67">
        <v>0</v>
      </c>
      <c r="L1162" s="31">
        <v>0</v>
      </c>
      <c r="M1162" s="31">
        <v>0</v>
      </c>
      <c r="N1162" s="31">
        <v>0</v>
      </c>
      <c r="O1162" s="31">
        <v>0</v>
      </c>
      <c r="P1162" s="31">
        <v>0</v>
      </c>
      <c r="Q1162" s="31">
        <v>7025.9</v>
      </c>
      <c r="R1162" s="31">
        <v>13897494.970000001</v>
      </c>
      <c r="S1162" s="31">
        <v>0</v>
      </c>
      <c r="T1162" s="31">
        <v>0</v>
      </c>
      <c r="U1162" s="31">
        <v>0</v>
      </c>
      <c r="V1162" s="31">
        <v>0</v>
      </c>
      <c r="W1162" s="31">
        <v>0</v>
      </c>
      <c r="X1162" s="31">
        <v>0</v>
      </c>
      <c r="Y1162" s="31">
        <v>0</v>
      </c>
      <c r="Z1162" s="31">
        <v>0</v>
      </c>
      <c r="AA1162" s="31">
        <v>0</v>
      </c>
      <c r="AB1162" s="31">
        <v>0</v>
      </c>
      <c r="AC1162" s="31">
        <f>ROUND(R1162*1.5%,2)</f>
        <v>208462.42</v>
      </c>
      <c r="AD1162" s="31">
        <v>200000</v>
      </c>
      <c r="AE1162" s="31">
        <v>0</v>
      </c>
      <c r="AF1162" s="33">
        <v>2022</v>
      </c>
      <c r="AG1162" s="33">
        <v>2022</v>
      </c>
      <c r="AH1162" s="34">
        <v>2022</v>
      </c>
      <c r="AT1162" s="20" t="e">
        <f t="shared" si="270"/>
        <v>#N/A</v>
      </c>
      <c r="BZ1162" s="64"/>
    </row>
    <row r="1163" spans="1:82" ht="61.5" x14ac:dyDescent="0.85">
      <c r="B1163" s="24" t="s">
        <v>815</v>
      </c>
      <c r="C1163" s="198"/>
      <c r="D1163" s="199">
        <f>SUM(D1164:D1171)</f>
        <v>51599396.32</v>
      </c>
      <c r="E1163" s="31">
        <f t="shared" ref="E1163:AE1163" si="271">SUM(E1164:E1171)</f>
        <v>0</v>
      </c>
      <c r="F1163" s="31">
        <f t="shared" si="271"/>
        <v>0</v>
      </c>
      <c r="G1163" s="31">
        <f t="shared" si="271"/>
        <v>0</v>
      </c>
      <c r="H1163" s="31">
        <f t="shared" si="271"/>
        <v>0</v>
      </c>
      <c r="I1163" s="31">
        <f t="shared" si="271"/>
        <v>0</v>
      </c>
      <c r="J1163" s="31">
        <f t="shared" si="271"/>
        <v>0</v>
      </c>
      <c r="K1163" s="67">
        <f t="shared" si="271"/>
        <v>0</v>
      </c>
      <c r="L1163" s="31">
        <f t="shared" si="271"/>
        <v>0</v>
      </c>
      <c r="M1163" s="31">
        <f t="shared" si="271"/>
        <v>8970.1</v>
      </c>
      <c r="N1163" s="31">
        <f t="shared" si="271"/>
        <v>42994075.339999996</v>
      </c>
      <c r="O1163" s="31">
        <f t="shared" si="271"/>
        <v>0</v>
      </c>
      <c r="P1163" s="31">
        <f t="shared" si="271"/>
        <v>0</v>
      </c>
      <c r="Q1163" s="31">
        <f t="shared" si="271"/>
        <v>0</v>
      </c>
      <c r="R1163" s="31">
        <f t="shared" si="271"/>
        <v>0</v>
      </c>
      <c r="S1163" s="31">
        <f t="shared" si="271"/>
        <v>209</v>
      </c>
      <c r="T1163" s="31">
        <f t="shared" si="271"/>
        <v>6571832.3700000001</v>
      </c>
      <c r="U1163" s="31">
        <f t="shared" si="271"/>
        <v>0</v>
      </c>
      <c r="V1163" s="31">
        <f t="shared" si="271"/>
        <v>0</v>
      </c>
      <c r="W1163" s="31">
        <f t="shared" si="271"/>
        <v>0</v>
      </c>
      <c r="X1163" s="31">
        <f t="shared" si="271"/>
        <v>0</v>
      </c>
      <c r="Y1163" s="31">
        <f t="shared" si="271"/>
        <v>0</v>
      </c>
      <c r="Z1163" s="31">
        <f t="shared" si="271"/>
        <v>0</v>
      </c>
      <c r="AA1163" s="31">
        <f t="shared" si="271"/>
        <v>0</v>
      </c>
      <c r="AB1163" s="31">
        <f t="shared" si="271"/>
        <v>0</v>
      </c>
      <c r="AC1163" s="31">
        <f t="shared" si="271"/>
        <v>743488.60999999987</v>
      </c>
      <c r="AD1163" s="31">
        <f t="shared" si="271"/>
        <v>1290000</v>
      </c>
      <c r="AE1163" s="31">
        <f t="shared" si="271"/>
        <v>0</v>
      </c>
      <c r="AF1163" s="65" t="s">
        <v>751</v>
      </c>
      <c r="AG1163" s="65" t="s">
        <v>751</v>
      </c>
      <c r="AH1163" s="79" t="s">
        <v>751</v>
      </c>
      <c r="AT1163" s="20" t="e">
        <f t="shared" si="270"/>
        <v>#N/A</v>
      </c>
      <c r="BZ1163" s="64">
        <v>51679396.32</v>
      </c>
    </row>
    <row r="1164" spans="1:82" ht="61.5" x14ac:dyDescent="0.85">
      <c r="A1164" s="20">
        <v>1</v>
      </c>
      <c r="B1164" s="60">
        <f>SUBTOTAL(103,$A$1036:A1164)</f>
        <v>124</v>
      </c>
      <c r="C1164" s="24" t="s">
        <v>608</v>
      </c>
      <c r="D1164" s="31">
        <f t="shared" ref="D1164:D1171" si="272">E1164+F1164+G1164+H1164+I1164+J1164+L1164+N1164+P1164+R1164+T1164+U1164+V1164+W1164+X1164+Y1164+Z1164+AA1164+AB1164+AC1164+AD1164+AE1164</f>
        <v>5121801</v>
      </c>
      <c r="E1164" s="37">
        <v>0</v>
      </c>
      <c r="F1164" s="37">
        <v>0</v>
      </c>
      <c r="G1164" s="37">
        <v>0</v>
      </c>
      <c r="H1164" s="37">
        <v>0</v>
      </c>
      <c r="I1164" s="37">
        <v>0</v>
      </c>
      <c r="J1164" s="37">
        <v>0</v>
      </c>
      <c r="K1164" s="77">
        <v>0</v>
      </c>
      <c r="L1164" s="37">
        <v>0</v>
      </c>
      <c r="M1164" s="31">
        <v>981</v>
      </c>
      <c r="N1164" s="31">
        <v>4898326.1100000003</v>
      </c>
      <c r="O1164" s="31">
        <v>0</v>
      </c>
      <c r="P1164" s="31">
        <v>0</v>
      </c>
      <c r="Q1164" s="31">
        <v>0</v>
      </c>
      <c r="R1164" s="31">
        <v>0</v>
      </c>
      <c r="S1164" s="31">
        <v>0</v>
      </c>
      <c r="T1164" s="31">
        <v>0</v>
      </c>
      <c r="U1164" s="31">
        <v>0</v>
      </c>
      <c r="V1164" s="31">
        <v>0</v>
      </c>
      <c r="W1164" s="31">
        <v>0</v>
      </c>
      <c r="X1164" s="31">
        <v>0</v>
      </c>
      <c r="Y1164" s="31">
        <v>0</v>
      </c>
      <c r="Z1164" s="31">
        <v>0</v>
      </c>
      <c r="AA1164" s="31">
        <v>0</v>
      </c>
      <c r="AB1164" s="31">
        <v>0</v>
      </c>
      <c r="AC1164" s="31">
        <f>ROUND(N1164*1.5%,2)</f>
        <v>73474.89</v>
      </c>
      <c r="AD1164" s="31">
        <v>150000</v>
      </c>
      <c r="AE1164" s="31">
        <v>0</v>
      </c>
      <c r="AF1164" s="33">
        <v>2022</v>
      </c>
      <c r="AG1164" s="33">
        <v>2022</v>
      </c>
      <c r="AH1164" s="34">
        <v>2022</v>
      </c>
      <c r="AT1164" s="20" t="e">
        <f t="shared" si="270"/>
        <v>#N/A</v>
      </c>
      <c r="BZ1164" s="64"/>
    </row>
    <row r="1165" spans="1:82" ht="61.5" x14ac:dyDescent="0.85">
      <c r="A1165" s="20">
        <v>1</v>
      </c>
      <c r="B1165" s="60">
        <f>SUBTOTAL(103,$A$1036:A1165)</f>
        <v>125</v>
      </c>
      <c r="C1165" s="24" t="s">
        <v>609</v>
      </c>
      <c r="D1165" s="31">
        <f t="shared" si="272"/>
        <v>8124000</v>
      </c>
      <c r="E1165" s="37">
        <v>0</v>
      </c>
      <c r="F1165" s="37">
        <v>0</v>
      </c>
      <c r="G1165" s="37">
        <v>0</v>
      </c>
      <c r="H1165" s="37">
        <v>0</v>
      </c>
      <c r="I1165" s="37">
        <v>0</v>
      </c>
      <c r="J1165" s="37">
        <v>0</v>
      </c>
      <c r="K1165" s="77">
        <v>0</v>
      </c>
      <c r="L1165" s="37">
        <v>0</v>
      </c>
      <c r="M1165" s="31">
        <v>1692.5</v>
      </c>
      <c r="N1165" s="31">
        <v>7826600.9900000002</v>
      </c>
      <c r="O1165" s="31">
        <v>0</v>
      </c>
      <c r="P1165" s="31">
        <v>0</v>
      </c>
      <c r="Q1165" s="31">
        <v>0</v>
      </c>
      <c r="R1165" s="31">
        <v>0</v>
      </c>
      <c r="S1165" s="31">
        <v>0</v>
      </c>
      <c r="T1165" s="31">
        <v>0</v>
      </c>
      <c r="U1165" s="31">
        <v>0</v>
      </c>
      <c r="V1165" s="31">
        <v>0</v>
      </c>
      <c r="W1165" s="31">
        <v>0</v>
      </c>
      <c r="X1165" s="31">
        <v>0</v>
      </c>
      <c r="Y1165" s="31">
        <v>0</v>
      </c>
      <c r="Z1165" s="31">
        <v>0</v>
      </c>
      <c r="AA1165" s="31">
        <v>0</v>
      </c>
      <c r="AB1165" s="31">
        <v>0</v>
      </c>
      <c r="AC1165" s="31">
        <f>ROUND(N1165*1.5%,2)</f>
        <v>117399.01</v>
      </c>
      <c r="AD1165" s="31">
        <v>180000</v>
      </c>
      <c r="AE1165" s="31">
        <v>0</v>
      </c>
      <c r="AF1165" s="33">
        <v>2022</v>
      </c>
      <c r="AG1165" s="33">
        <v>2022</v>
      </c>
      <c r="AH1165" s="34">
        <v>2022</v>
      </c>
      <c r="AT1165" s="20" t="e">
        <f t="shared" si="270"/>
        <v>#N/A</v>
      </c>
      <c r="BZ1165" s="64"/>
    </row>
    <row r="1166" spans="1:82" ht="61.5" x14ac:dyDescent="0.85">
      <c r="A1166" s="20">
        <v>1</v>
      </c>
      <c r="B1166" s="60">
        <f>SUBTOTAL(103,$A$1036:A1166)</f>
        <v>126</v>
      </c>
      <c r="C1166" s="24" t="s">
        <v>1681</v>
      </c>
      <c r="D1166" s="31">
        <f t="shared" si="272"/>
        <v>4662041.0599999996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7">
        <v>0</v>
      </c>
      <c r="K1166" s="77">
        <v>0</v>
      </c>
      <c r="L1166" s="37">
        <v>0</v>
      </c>
      <c r="M1166" s="31">
        <v>650</v>
      </c>
      <c r="N1166" s="31">
        <f>4474917.3-29556.65</f>
        <v>4445360.6499999994</v>
      </c>
      <c r="O1166" s="31">
        <v>0</v>
      </c>
      <c r="P1166" s="31">
        <v>0</v>
      </c>
      <c r="Q1166" s="31">
        <v>0</v>
      </c>
      <c r="R1166" s="31">
        <v>0</v>
      </c>
      <c r="S1166" s="31">
        <v>0</v>
      </c>
      <c r="T1166" s="31">
        <v>0</v>
      </c>
      <c r="U1166" s="31">
        <v>0</v>
      </c>
      <c r="V1166" s="31">
        <v>0</v>
      </c>
      <c r="W1166" s="31">
        <v>0</v>
      </c>
      <c r="X1166" s="31">
        <v>0</v>
      </c>
      <c r="Y1166" s="31">
        <v>0</v>
      </c>
      <c r="Z1166" s="31">
        <v>0</v>
      </c>
      <c r="AA1166" s="31">
        <v>0</v>
      </c>
      <c r="AB1166" s="31">
        <v>0</v>
      </c>
      <c r="AC1166" s="31">
        <f>ROUND(N1166*1.5%,2)</f>
        <v>66680.41</v>
      </c>
      <c r="AD1166" s="31">
        <v>150000</v>
      </c>
      <c r="AE1166" s="31">
        <v>0</v>
      </c>
      <c r="AF1166" s="33">
        <v>2022</v>
      </c>
      <c r="AG1166" s="33">
        <v>2022</v>
      </c>
      <c r="AH1166" s="34">
        <v>2022</v>
      </c>
      <c r="AT1166" s="20" t="e">
        <f t="shared" si="270"/>
        <v>#N/A</v>
      </c>
      <c r="BZ1166" s="64"/>
    </row>
    <row r="1167" spans="1:82" ht="61.5" x14ac:dyDescent="0.85">
      <c r="A1167" s="20">
        <v>1</v>
      </c>
      <c r="B1167" s="60">
        <f>SUBTOTAL(103,$A$1036:A1167)</f>
        <v>127</v>
      </c>
      <c r="C1167" s="24" t="s">
        <v>613</v>
      </c>
      <c r="D1167" s="31">
        <f t="shared" si="272"/>
        <v>9052752</v>
      </c>
      <c r="E1167" s="37">
        <v>0</v>
      </c>
      <c r="F1167" s="37">
        <v>0</v>
      </c>
      <c r="G1167" s="37">
        <v>0</v>
      </c>
      <c r="H1167" s="37">
        <v>0</v>
      </c>
      <c r="I1167" s="37">
        <v>0</v>
      </c>
      <c r="J1167" s="37">
        <v>0</v>
      </c>
      <c r="K1167" s="77">
        <v>0</v>
      </c>
      <c r="L1167" s="37">
        <v>0</v>
      </c>
      <c r="M1167" s="31">
        <v>1812</v>
      </c>
      <c r="N1167" s="31">
        <v>8741627.5899999999</v>
      </c>
      <c r="O1167" s="31">
        <v>0</v>
      </c>
      <c r="P1167" s="31">
        <v>0</v>
      </c>
      <c r="Q1167" s="31">
        <v>0</v>
      </c>
      <c r="R1167" s="31">
        <v>0</v>
      </c>
      <c r="S1167" s="31">
        <v>0</v>
      </c>
      <c r="T1167" s="31">
        <v>0</v>
      </c>
      <c r="U1167" s="31">
        <v>0</v>
      </c>
      <c r="V1167" s="31">
        <v>0</v>
      </c>
      <c r="W1167" s="31">
        <v>0</v>
      </c>
      <c r="X1167" s="31">
        <v>0</v>
      </c>
      <c r="Y1167" s="31">
        <v>0</v>
      </c>
      <c r="Z1167" s="31">
        <v>0</v>
      </c>
      <c r="AA1167" s="31">
        <v>0</v>
      </c>
      <c r="AB1167" s="31">
        <v>0</v>
      </c>
      <c r="AC1167" s="31">
        <f>ROUND(N1167*1.5%,2)</f>
        <v>131124.41</v>
      </c>
      <c r="AD1167" s="31">
        <v>180000</v>
      </c>
      <c r="AE1167" s="31">
        <v>0</v>
      </c>
      <c r="AF1167" s="33">
        <v>2022</v>
      </c>
      <c r="AG1167" s="33">
        <v>2022</v>
      </c>
      <c r="AH1167" s="34">
        <v>2022</v>
      </c>
      <c r="AT1167" s="20" t="e">
        <f t="shared" si="270"/>
        <v>#N/A</v>
      </c>
      <c r="BZ1167" s="64"/>
    </row>
    <row r="1168" spans="1:82" ht="61.5" x14ac:dyDescent="0.85">
      <c r="A1168" s="20">
        <v>1</v>
      </c>
      <c r="B1168" s="60">
        <f>SUBTOTAL(103,$A$1036:A1168)</f>
        <v>128</v>
      </c>
      <c r="C1168" s="24" t="s">
        <v>626</v>
      </c>
      <c r="D1168" s="31">
        <f t="shared" si="272"/>
        <v>6820409.8600000003</v>
      </c>
      <c r="E1168" s="37">
        <v>0</v>
      </c>
      <c r="F1168" s="37">
        <v>0</v>
      </c>
      <c r="G1168" s="37">
        <v>0</v>
      </c>
      <c r="H1168" s="37">
        <v>0</v>
      </c>
      <c r="I1168" s="37">
        <v>0</v>
      </c>
      <c r="J1168" s="37">
        <v>0</v>
      </c>
      <c r="K1168" s="77">
        <v>0</v>
      </c>
      <c r="L1168" s="37">
        <v>0</v>
      </c>
      <c r="M1168" s="31">
        <v>0</v>
      </c>
      <c r="N1168" s="31">
        <v>0</v>
      </c>
      <c r="O1168" s="31">
        <v>0</v>
      </c>
      <c r="P1168" s="31">
        <v>0</v>
      </c>
      <c r="Q1168" s="31">
        <v>0</v>
      </c>
      <c r="R1168" s="31">
        <v>0</v>
      </c>
      <c r="S1168" s="31">
        <v>209</v>
      </c>
      <c r="T1168" s="31">
        <v>6571832.3700000001</v>
      </c>
      <c r="U1168" s="31">
        <v>0</v>
      </c>
      <c r="V1168" s="31">
        <v>0</v>
      </c>
      <c r="W1168" s="31">
        <v>0</v>
      </c>
      <c r="X1168" s="31">
        <v>0</v>
      </c>
      <c r="Y1168" s="31">
        <v>0</v>
      </c>
      <c r="Z1168" s="31">
        <v>0</v>
      </c>
      <c r="AA1168" s="31">
        <v>0</v>
      </c>
      <c r="AB1168" s="31">
        <v>0</v>
      </c>
      <c r="AC1168" s="31">
        <f>ROUND(T1168*1.5%,2)</f>
        <v>98577.49</v>
      </c>
      <c r="AD1168" s="31">
        <v>150000</v>
      </c>
      <c r="AE1168" s="31">
        <v>0</v>
      </c>
      <c r="AF1168" s="33">
        <v>2022</v>
      </c>
      <c r="AG1168" s="33">
        <v>2022</v>
      </c>
      <c r="AH1168" s="34">
        <v>2022</v>
      </c>
      <c r="AT1168" s="20" t="e">
        <f t="shared" si="270"/>
        <v>#N/A</v>
      </c>
      <c r="BZ1168" s="64"/>
    </row>
    <row r="1169" spans="1:82" ht="61.5" x14ac:dyDescent="0.85">
      <c r="A1169" s="20">
        <v>1</v>
      </c>
      <c r="B1169" s="60">
        <f>SUBTOTAL(103,$A$1036:A1169)</f>
        <v>129</v>
      </c>
      <c r="C1169" s="24" t="s">
        <v>630</v>
      </c>
      <c r="D1169" s="31">
        <f t="shared" si="272"/>
        <v>9102212.3999999985</v>
      </c>
      <c r="E1169" s="37">
        <v>0</v>
      </c>
      <c r="F1169" s="37">
        <v>0</v>
      </c>
      <c r="G1169" s="37">
        <v>0</v>
      </c>
      <c r="H1169" s="37">
        <v>0</v>
      </c>
      <c r="I1169" s="37">
        <v>0</v>
      </c>
      <c r="J1169" s="37">
        <v>0</v>
      </c>
      <c r="K1169" s="77">
        <v>0</v>
      </c>
      <c r="L1169" s="37">
        <v>0</v>
      </c>
      <c r="M1169" s="31">
        <f>1821.9+307.7</f>
        <v>2129.6</v>
      </c>
      <c r="N1169" s="31">
        <v>8790357.0399999991</v>
      </c>
      <c r="O1169" s="31">
        <v>0</v>
      </c>
      <c r="P1169" s="31">
        <v>0</v>
      </c>
      <c r="Q1169" s="31">
        <v>0</v>
      </c>
      <c r="R1169" s="31">
        <v>0</v>
      </c>
      <c r="S1169" s="31">
        <v>0</v>
      </c>
      <c r="T1169" s="31">
        <v>0</v>
      </c>
      <c r="U1169" s="31">
        <v>0</v>
      </c>
      <c r="V1169" s="31">
        <v>0</v>
      </c>
      <c r="W1169" s="31">
        <v>0</v>
      </c>
      <c r="X1169" s="31">
        <v>0</v>
      </c>
      <c r="Y1169" s="31">
        <v>0</v>
      </c>
      <c r="Z1169" s="31">
        <v>0</v>
      </c>
      <c r="AA1169" s="31">
        <v>0</v>
      </c>
      <c r="AB1169" s="31">
        <v>0</v>
      </c>
      <c r="AC1169" s="31">
        <f>ROUND(N1169*1.5%,2)</f>
        <v>131855.35999999999</v>
      </c>
      <c r="AD1169" s="31">
        <v>180000</v>
      </c>
      <c r="AE1169" s="31">
        <v>0</v>
      </c>
      <c r="AF1169" s="33">
        <v>2022</v>
      </c>
      <c r="AG1169" s="33">
        <v>2022</v>
      </c>
      <c r="AH1169" s="34">
        <v>2022</v>
      </c>
      <c r="AT1169" s="20" t="e">
        <f t="shared" si="270"/>
        <v>#N/A</v>
      </c>
      <c r="BZ1169" s="64"/>
    </row>
    <row r="1170" spans="1:82" ht="61.5" x14ac:dyDescent="0.85">
      <c r="A1170" s="20">
        <v>1</v>
      </c>
      <c r="B1170" s="60">
        <f>SUBTOTAL(103,$A$1036:A1170)</f>
        <v>130</v>
      </c>
      <c r="C1170" s="24" t="s">
        <v>634</v>
      </c>
      <c r="D1170" s="31">
        <f t="shared" si="272"/>
        <v>4594480</v>
      </c>
      <c r="E1170" s="37">
        <v>0</v>
      </c>
      <c r="F1170" s="37">
        <v>0</v>
      </c>
      <c r="G1170" s="37">
        <v>0</v>
      </c>
      <c r="H1170" s="37">
        <v>0</v>
      </c>
      <c r="I1170" s="37">
        <v>0</v>
      </c>
      <c r="J1170" s="37">
        <v>0</v>
      </c>
      <c r="K1170" s="77">
        <v>0</v>
      </c>
      <c r="L1170" s="37">
        <v>0</v>
      </c>
      <c r="M1170" s="31">
        <v>880</v>
      </c>
      <c r="N1170" s="31">
        <v>4378798.03</v>
      </c>
      <c r="O1170" s="31">
        <v>0</v>
      </c>
      <c r="P1170" s="31">
        <v>0</v>
      </c>
      <c r="Q1170" s="31">
        <v>0</v>
      </c>
      <c r="R1170" s="31">
        <v>0</v>
      </c>
      <c r="S1170" s="31">
        <v>0</v>
      </c>
      <c r="T1170" s="31">
        <v>0</v>
      </c>
      <c r="U1170" s="31">
        <v>0</v>
      </c>
      <c r="V1170" s="31">
        <v>0</v>
      </c>
      <c r="W1170" s="31">
        <v>0</v>
      </c>
      <c r="X1170" s="31">
        <v>0</v>
      </c>
      <c r="Y1170" s="31">
        <v>0</v>
      </c>
      <c r="Z1170" s="31">
        <v>0</v>
      </c>
      <c r="AA1170" s="31">
        <v>0</v>
      </c>
      <c r="AB1170" s="31">
        <v>0</v>
      </c>
      <c r="AC1170" s="31">
        <f>ROUND(N1170*1.5%,2)</f>
        <v>65681.97</v>
      </c>
      <c r="AD1170" s="31">
        <v>150000</v>
      </c>
      <c r="AE1170" s="31">
        <v>0</v>
      </c>
      <c r="AF1170" s="33">
        <v>2022</v>
      </c>
      <c r="AG1170" s="33">
        <v>2022</v>
      </c>
      <c r="AH1170" s="34">
        <v>2022</v>
      </c>
      <c r="AT1170" s="20" t="e">
        <f t="shared" si="270"/>
        <v>#N/A</v>
      </c>
      <c r="BZ1170" s="64"/>
    </row>
    <row r="1171" spans="1:82" ht="61.5" x14ac:dyDescent="0.85">
      <c r="A1171" s="20">
        <v>1</v>
      </c>
      <c r="B1171" s="60">
        <f>SUBTOTAL(103,$A$1036:A1171)</f>
        <v>131</v>
      </c>
      <c r="C1171" s="24" t="s">
        <v>633</v>
      </c>
      <c r="D1171" s="31">
        <f t="shared" si="272"/>
        <v>4121700</v>
      </c>
      <c r="E1171" s="37">
        <v>0</v>
      </c>
      <c r="F1171" s="37">
        <v>0</v>
      </c>
      <c r="G1171" s="37">
        <v>0</v>
      </c>
      <c r="H1171" s="37">
        <v>0</v>
      </c>
      <c r="I1171" s="37">
        <v>0</v>
      </c>
      <c r="J1171" s="37">
        <v>0</v>
      </c>
      <c r="K1171" s="77">
        <v>0</v>
      </c>
      <c r="L1171" s="37">
        <v>0</v>
      </c>
      <c r="M1171" s="31">
        <v>825</v>
      </c>
      <c r="N1171" s="31">
        <v>3913004.93</v>
      </c>
      <c r="O1171" s="31">
        <v>0</v>
      </c>
      <c r="P1171" s="31">
        <v>0</v>
      </c>
      <c r="Q1171" s="31">
        <v>0</v>
      </c>
      <c r="R1171" s="31">
        <v>0</v>
      </c>
      <c r="S1171" s="31">
        <v>0</v>
      </c>
      <c r="T1171" s="31">
        <v>0</v>
      </c>
      <c r="U1171" s="31">
        <v>0</v>
      </c>
      <c r="V1171" s="31">
        <v>0</v>
      </c>
      <c r="W1171" s="31">
        <v>0</v>
      </c>
      <c r="X1171" s="31">
        <v>0</v>
      </c>
      <c r="Y1171" s="31">
        <v>0</v>
      </c>
      <c r="Z1171" s="31">
        <v>0</v>
      </c>
      <c r="AA1171" s="31">
        <v>0</v>
      </c>
      <c r="AB1171" s="31">
        <v>0</v>
      </c>
      <c r="AC1171" s="31">
        <f>ROUND(N1171*1.5%,2)</f>
        <v>58695.07</v>
      </c>
      <c r="AD1171" s="31">
        <v>150000</v>
      </c>
      <c r="AE1171" s="31">
        <v>0</v>
      </c>
      <c r="AF1171" s="33">
        <v>2022</v>
      </c>
      <c r="AG1171" s="33">
        <v>2022</v>
      </c>
      <c r="AH1171" s="34">
        <v>2022</v>
      </c>
      <c r="AT1171" s="20" t="e">
        <f t="shared" si="270"/>
        <v>#N/A</v>
      </c>
      <c r="BZ1171" s="64"/>
    </row>
    <row r="1172" spans="1:82" ht="61.5" x14ac:dyDescent="0.85">
      <c r="B1172" s="24" t="s">
        <v>816</v>
      </c>
      <c r="C1172" s="24"/>
      <c r="D1172" s="199">
        <f t="shared" ref="D1172:AE1172" si="273">SUM(D1173:D1174)</f>
        <v>5663822.2999999998</v>
      </c>
      <c r="E1172" s="31">
        <f t="shared" si="273"/>
        <v>0</v>
      </c>
      <c r="F1172" s="31">
        <f t="shared" si="273"/>
        <v>0</v>
      </c>
      <c r="G1172" s="31">
        <f t="shared" si="273"/>
        <v>0</v>
      </c>
      <c r="H1172" s="31">
        <f t="shared" si="273"/>
        <v>0</v>
      </c>
      <c r="I1172" s="31">
        <f t="shared" si="273"/>
        <v>0</v>
      </c>
      <c r="J1172" s="31">
        <f t="shared" si="273"/>
        <v>0</v>
      </c>
      <c r="K1172" s="67">
        <f t="shared" si="273"/>
        <v>0</v>
      </c>
      <c r="L1172" s="31">
        <f t="shared" si="273"/>
        <v>0</v>
      </c>
      <c r="M1172" s="31">
        <f t="shared" si="273"/>
        <v>1121.3</v>
      </c>
      <c r="N1172" s="31">
        <f t="shared" si="273"/>
        <v>5314110.6400000006</v>
      </c>
      <c r="O1172" s="31">
        <f t="shared" si="273"/>
        <v>0</v>
      </c>
      <c r="P1172" s="31">
        <f t="shared" si="273"/>
        <v>0</v>
      </c>
      <c r="Q1172" s="31">
        <f t="shared" si="273"/>
        <v>0</v>
      </c>
      <c r="R1172" s="31">
        <f t="shared" si="273"/>
        <v>0</v>
      </c>
      <c r="S1172" s="31">
        <f t="shared" si="273"/>
        <v>0</v>
      </c>
      <c r="T1172" s="31">
        <f t="shared" si="273"/>
        <v>0</v>
      </c>
      <c r="U1172" s="31">
        <f t="shared" si="273"/>
        <v>0</v>
      </c>
      <c r="V1172" s="31">
        <f t="shared" si="273"/>
        <v>0</v>
      </c>
      <c r="W1172" s="31">
        <f t="shared" si="273"/>
        <v>0</v>
      </c>
      <c r="X1172" s="31">
        <f t="shared" si="273"/>
        <v>0</v>
      </c>
      <c r="Y1172" s="31">
        <f t="shared" si="273"/>
        <v>0</v>
      </c>
      <c r="Z1172" s="31">
        <f t="shared" si="273"/>
        <v>0</v>
      </c>
      <c r="AA1172" s="31">
        <f t="shared" si="273"/>
        <v>0</v>
      </c>
      <c r="AB1172" s="31">
        <f t="shared" si="273"/>
        <v>0</v>
      </c>
      <c r="AC1172" s="31">
        <f t="shared" si="273"/>
        <v>79711.66</v>
      </c>
      <c r="AD1172" s="31">
        <f t="shared" si="273"/>
        <v>270000</v>
      </c>
      <c r="AE1172" s="31">
        <f t="shared" si="273"/>
        <v>0</v>
      </c>
      <c r="AF1172" s="65" t="s">
        <v>751</v>
      </c>
      <c r="AG1172" s="65" t="s">
        <v>751</v>
      </c>
      <c r="AH1172" s="79" t="s">
        <v>751</v>
      </c>
      <c r="AT1172" s="20" t="e">
        <f t="shared" si="270"/>
        <v>#N/A</v>
      </c>
      <c r="BZ1172" s="64">
        <v>9890638.1399999987</v>
      </c>
    </row>
    <row r="1173" spans="1:82" ht="61.5" x14ac:dyDescent="0.85">
      <c r="A1173" s="20">
        <v>1</v>
      </c>
      <c r="B1173" s="60">
        <f>SUBTOTAL(103,$A$1036:A1173)</f>
        <v>132</v>
      </c>
      <c r="C1173" s="24" t="s">
        <v>639</v>
      </c>
      <c r="D1173" s="31">
        <f>E1173+F1173+G1173+H1173+I1173+J1173+L1173+N1173+P1173+R1173+T1173+U1173+V1173+W1173+X1173+Y1173+Z1173+AA1173+AB1173+AC1173+AD1173+AE1173</f>
        <v>4229613.5999999996</v>
      </c>
      <c r="E1173" s="37">
        <v>0</v>
      </c>
      <c r="F1173" s="37">
        <v>0</v>
      </c>
      <c r="G1173" s="37">
        <v>0</v>
      </c>
      <c r="H1173" s="37">
        <v>0</v>
      </c>
      <c r="I1173" s="37">
        <v>0</v>
      </c>
      <c r="J1173" s="37">
        <v>0</v>
      </c>
      <c r="K1173" s="77">
        <v>0</v>
      </c>
      <c r="L1173" s="37">
        <v>0</v>
      </c>
      <c r="M1173" s="31">
        <v>846.6</v>
      </c>
      <c r="N1173" s="31">
        <v>4019323.74</v>
      </c>
      <c r="O1173" s="31">
        <v>0</v>
      </c>
      <c r="P1173" s="31">
        <v>0</v>
      </c>
      <c r="Q1173" s="31">
        <v>0</v>
      </c>
      <c r="R1173" s="31">
        <v>0</v>
      </c>
      <c r="S1173" s="31">
        <v>0</v>
      </c>
      <c r="T1173" s="31">
        <v>0</v>
      </c>
      <c r="U1173" s="31">
        <v>0</v>
      </c>
      <c r="V1173" s="31">
        <v>0</v>
      </c>
      <c r="W1173" s="31">
        <v>0</v>
      </c>
      <c r="X1173" s="31">
        <v>0</v>
      </c>
      <c r="Y1173" s="31">
        <v>0</v>
      </c>
      <c r="Z1173" s="31">
        <v>0</v>
      </c>
      <c r="AA1173" s="31">
        <v>0</v>
      </c>
      <c r="AB1173" s="31">
        <v>0</v>
      </c>
      <c r="AC1173" s="31">
        <f>ROUND(N1173*1.5%,2)</f>
        <v>60289.86</v>
      </c>
      <c r="AD1173" s="31">
        <v>150000</v>
      </c>
      <c r="AE1173" s="31">
        <v>0</v>
      </c>
      <c r="AF1173" s="33">
        <v>2022</v>
      </c>
      <c r="AG1173" s="33">
        <v>2022</v>
      </c>
      <c r="AH1173" s="34">
        <v>2022</v>
      </c>
      <c r="AT1173" s="20" t="e">
        <f t="shared" si="270"/>
        <v>#N/A</v>
      </c>
      <c r="BZ1173" s="64"/>
    </row>
    <row r="1174" spans="1:82" ht="61.5" x14ac:dyDescent="0.85">
      <c r="A1174" s="20">
        <v>1</v>
      </c>
      <c r="B1174" s="60">
        <f>SUBTOTAL(103,$A$1036:A1174)</f>
        <v>133</v>
      </c>
      <c r="C1174" s="24" t="s">
        <v>637</v>
      </c>
      <c r="D1174" s="31">
        <f>E1174+F1174+G1174+H1174+I1174+J1174+L1174+N1174+P1174+R1174+T1174+U1174+V1174+W1174+X1174+Y1174+Z1174+AA1174+AB1174+AC1174+AD1174+AE1174</f>
        <v>1434208.7</v>
      </c>
      <c r="E1174" s="37">
        <v>0</v>
      </c>
      <c r="F1174" s="37">
        <v>0</v>
      </c>
      <c r="G1174" s="37">
        <v>0</v>
      </c>
      <c r="H1174" s="37">
        <v>0</v>
      </c>
      <c r="I1174" s="37">
        <v>0</v>
      </c>
      <c r="J1174" s="37">
        <v>0</v>
      </c>
      <c r="K1174" s="77">
        <v>0</v>
      </c>
      <c r="L1174" s="37">
        <v>0</v>
      </c>
      <c r="M1174" s="31">
        <v>274.7</v>
      </c>
      <c r="N1174" s="31">
        <v>1294786.8999999999</v>
      </c>
      <c r="O1174" s="31">
        <v>0</v>
      </c>
      <c r="P1174" s="31">
        <v>0</v>
      </c>
      <c r="Q1174" s="31">
        <v>0</v>
      </c>
      <c r="R1174" s="31">
        <v>0</v>
      </c>
      <c r="S1174" s="31">
        <v>0</v>
      </c>
      <c r="T1174" s="31">
        <v>0</v>
      </c>
      <c r="U1174" s="31">
        <v>0</v>
      </c>
      <c r="V1174" s="31">
        <v>0</v>
      </c>
      <c r="W1174" s="31">
        <v>0</v>
      </c>
      <c r="X1174" s="31">
        <v>0</v>
      </c>
      <c r="Y1174" s="31">
        <v>0</v>
      </c>
      <c r="Z1174" s="31">
        <v>0</v>
      </c>
      <c r="AA1174" s="31">
        <v>0</v>
      </c>
      <c r="AB1174" s="31">
        <v>0</v>
      </c>
      <c r="AC1174" s="31">
        <f>ROUND(N1174*1.5%,2)</f>
        <v>19421.8</v>
      </c>
      <c r="AD1174" s="31">
        <v>120000</v>
      </c>
      <c r="AE1174" s="31">
        <v>0</v>
      </c>
      <c r="AF1174" s="33">
        <v>2022</v>
      </c>
      <c r="AG1174" s="33">
        <v>2022</v>
      </c>
      <c r="AH1174" s="34">
        <v>2022</v>
      </c>
      <c r="AT1174" s="20" t="e">
        <f t="shared" si="270"/>
        <v>#N/A</v>
      </c>
      <c r="BZ1174" s="64"/>
    </row>
    <row r="1175" spans="1:82" ht="61.5" x14ac:dyDescent="0.85">
      <c r="B1175" s="24" t="s">
        <v>817</v>
      </c>
      <c r="C1175" s="24"/>
      <c r="D1175" s="199">
        <f>SUM(D1176:D1178)</f>
        <v>7120486.3999999994</v>
      </c>
      <c r="E1175" s="31">
        <f t="shared" ref="E1175:AE1175" si="274">SUM(E1176:E1178)</f>
        <v>0</v>
      </c>
      <c r="F1175" s="31">
        <f t="shared" si="274"/>
        <v>0</v>
      </c>
      <c r="G1175" s="31">
        <f t="shared" si="274"/>
        <v>3881891.1399999997</v>
      </c>
      <c r="H1175" s="31">
        <f t="shared" si="274"/>
        <v>753664.01</v>
      </c>
      <c r="I1175" s="31">
        <f t="shared" si="274"/>
        <v>0</v>
      </c>
      <c r="J1175" s="31">
        <f t="shared" si="274"/>
        <v>0</v>
      </c>
      <c r="K1175" s="67">
        <f t="shared" si="274"/>
        <v>0</v>
      </c>
      <c r="L1175" s="31">
        <f t="shared" si="274"/>
        <v>0</v>
      </c>
      <c r="M1175" s="31">
        <f t="shared" si="274"/>
        <v>0</v>
      </c>
      <c r="N1175" s="31">
        <f t="shared" si="274"/>
        <v>0</v>
      </c>
      <c r="O1175" s="31">
        <f t="shared" si="274"/>
        <v>0</v>
      </c>
      <c r="P1175" s="31">
        <f t="shared" si="274"/>
        <v>0</v>
      </c>
      <c r="Q1175" s="31">
        <f t="shared" si="274"/>
        <v>0</v>
      </c>
      <c r="R1175" s="31">
        <f t="shared" si="274"/>
        <v>0</v>
      </c>
      <c r="S1175" s="31">
        <f t="shared" si="274"/>
        <v>86</v>
      </c>
      <c r="T1175" s="31">
        <f t="shared" si="274"/>
        <v>1837830.4600000002</v>
      </c>
      <c r="U1175" s="31">
        <f t="shared" si="274"/>
        <v>0</v>
      </c>
      <c r="V1175" s="31">
        <f t="shared" si="274"/>
        <v>0</v>
      </c>
      <c r="W1175" s="31">
        <f t="shared" si="274"/>
        <v>0</v>
      </c>
      <c r="X1175" s="31">
        <f t="shared" si="274"/>
        <v>0</v>
      </c>
      <c r="Y1175" s="31">
        <f t="shared" si="274"/>
        <v>0</v>
      </c>
      <c r="Z1175" s="31">
        <f t="shared" si="274"/>
        <v>0</v>
      </c>
      <c r="AA1175" s="31">
        <f t="shared" si="274"/>
        <v>0</v>
      </c>
      <c r="AB1175" s="31">
        <f t="shared" si="274"/>
        <v>0</v>
      </c>
      <c r="AC1175" s="31">
        <f t="shared" si="274"/>
        <v>97100.790000000008</v>
      </c>
      <c r="AD1175" s="31">
        <f t="shared" si="274"/>
        <v>550000</v>
      </c>
      <c r="AE1175" s="31">
        <f t="shared" si="274"/>
        <v>0</v>
      </c>
      <c r="AF1175" s="65" t="s">
        <v>751</v>
      </c>
      <c r="AG1175" s="65" t="s">
        <v>751</v>
      </c>
      <c r="AH1175" s="79" t="s">
        <v>751</v>
      </c>
      <c r="AT1175" s="20" t="e">
        <f t="shared" si="270"/>
        <v>#N/A</v>
      </c>
      <c r="BZ1175" s="64">
        <v>11422752.699999999</v>
      </c>
    </row>
    <row r="1176" spans="1:82" ht="61.5" x14ac:dyDescent="0.85">
      <c r="A1176" s="20">
        <v>1</v>
      </c>
      <c r="B1176" s="60">
        <f>SUBTOTAL(103,$A$1036:A1176)</f>
        <v>134</v>
      </c>
      <c r="C1176" s="24" t="s">
        <v>643</v>
      </c>
      <c r="D1176" s="31">
        <f>E1176+F1176+G1176+H1176+I1176+J1176+L1176+N1176+P1176+R1176+T1176+U1176+V1176+W1176+X1176+Y1176+Z1176+AA1176+AB1176+AC1176+AD1176+AE1176</f>
        <v>4240119.51</v>
      </c>
      <c r="E1176" s="37">
        <v>0</v>
      </c>
      <c r="F1176" s="37">
        <v>0</v>
      </c>
      <c r="G1176" s="31">
        <v>3881891.1399999997</v>
      </c>
      <c r="H1176" s="37">
        <v>0</v>
      </c>
      <c r="I1176" s="37">
        <v>0</v>
      </c>
      <c r="J1176" s="37">
        <v>0</v>
      </c>
      <c r="K1176" s="77">
        <v>0</v>
      </c>
      <c r="L1176" s="37">
        <v>0</v>
      </c>
      <c r="M1176" s="31">
        <v>0</v>
      </c>
      <c r="N1176" s="31">
        <v>0</v>
      </c>
      <c r="O1176" s="31">
        <v>0</v>
      </c>
      <c r="P1176" s="31">
        <v>0</v>
      </c>
      <c r="Q1176" s="31">
        <v>0</v>
      </c>
      <c r="R1176" s="31">
        <v>0</v>
      </c>
      <c r="S1176" s="31">
        <v>0</v>
      </c>
      <c r="T1176" s="31">
        <v>0</v>
      </c>
      <c r="U1176" s="31">
        <v>0</v>
      </c>
      <c r="V1176" s="31">
        <v>0</v>
      </c>
      <c r="W1176" s="31">
        <v>0</v>
      </c>
      <c r="X1176" s="31">
        <v>0</v>
      </c>
      <c r="Y1176" s="31">
        <v>0</v>
      </c>
      <c r="Z1176" s="31">
        <v>0</v>
      </c>
      <c r="AA1176" s="31">
        <v>0</v>
      </c>
      <c r="AB1176" s="31">
        <v>0</v>
      </c>
      <c r="AC1176" s="31">
        <f>ROUND((E1176+F1176+G1176+H1176+I1176+J1176)*1.5%,2)</f>
        <v>58228.37</v>
      </c>
      <c r="AD1176" s="31">
        <v>300000</v>
      </c>
      <c r="AE1176" s="31">
        <v>0</v>
      </c>
      <c r="AF1176" s="33">
        <v>2022</v>
      </c>
      <c r="AG1176" s="33">
        <v>2022</v>
      </c>
      <c r="AH1176" s="34">
        <v>2022</v>
      </c>
      <c r="AT1176" s="20" t="e">
        <f t="shared" si="270"/>
        <v>#N/A</v>
      </c>
      <c r="BZ1176" s="64"/>
    </row>
    <row r="1177" spans="1:82" ht="61.5" x14ac:dyDescent="0.85">
      <c r="A1177" s="20">
        <v>1</v>
      </c>
      <c r="B1177" s="60">
        <f>SUBTOTAL(103,$A$1036:A1177)</f>
        <v>135</v>
      </c>
      <c r="C1177" s="24" t="s">
        <v>1957</v>
      </c>
      <c r="D1177" s="31">
        <f t="shared" ref="D1177" si="275">E1177+F1177+G1177+H1177+I1177+J1177+L1177+N1177+P1177+R1177+T1177+U1177+V1177+W1177+X1177+Y1177+Z1177+AA1177+AB1177+AC1177+AD1177+AE1177</f>
        <v>2015397.9200000002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67">
        <v>0</v>
      </c>
      <c r="L1177" s="31">
        <v>0</v>
      </c>
      <c r="M1177" s="31">
        <v>0</v>
      </c>
      <c r="N1177" s="31">
        <v>0</v>
      </c>
      <c r="O1177" s="31">
        <v>0</v>
      </c>
      <c r="P1177" s="31">
        <v>0</v>
      </c>
      <c r="Q1177" s="31">
        <v>0</v>
      </c>
      <c r="R1177" s="31">
        <v>0</v>
      </c>
      <c r="S1177" s="31">
        <v>86</v>
      </c>
      <c r="T1177" s="31">
        <f>2307415.7-469585.24</f>
        <v>1837830.4600000002</v>
      </c>
      <c r="U1177" s="31">
        <v>0</v>
      </c>
      <c r="V1177" s="31">
        <v>0</v>
      </c>
      <c r="W1177" s="31">
        <v>0</v>
      </c>
      <c r="X1177" s="31">
        <v>0</v>
      </c>
      <c r="Y1177" s="31">
        <v>0</v>
      </c>
      <c r="Z1177" s="31">
        <v>0</v>
      </c>
      <c r="AA1177" s="31">
        <v>0</v>
      </c>
      <c r="AB1177" s="31">
        <v>0</v>
      </c>
      <c r="AC1177" s="31">
        <f>ROUND(T1177*1.5%,2)</f>
        <v>27567.46</v>
      </c>
      <c r="AD1177" s="31">
        <v>150000</v>
      </c>
      <c r="AE1177" s="31">
        <v>0</v>
      </c>
      <c r="AF1177" s="33">
        <v>2022</v>
      </c>
      <c r="AG1177" s="33">
        <v>2022</v>
      </c>
      <c r="AH1177" s="34">
        <v>2022</v>
      </c>
      <c r="AT1177" s="20" t="e">
        <f t="shared" si="270"/>
        <v>#N/A</v>
      </c>
      <c r="BZ1177" s="64"/>
      <c r="CD1177" s="20" t="e">
        <f>VLOOKUP(C1177,CE:CF,2,FALSE)</f>
        <v>#N/A</v>
      </c>
    </row>
    <row r="1178" spans="1:82" ht="61.5" x14ac:dyDescent="0.85">
      <c r="A1178" s="20">
        <v>1</v>
      </c>
      <c r="B1178" s="60">
        <f>SUBTOTAL(103,$A$1036:A1178)</f>
        <v>136</v>
      </c>
      <c r="C1178" s="24" t="s">
        <v>2303</v>
      </c>
      <c r="D1178" s="31">
        <f>E1178+F1178+G1178+H1178+I1178+J1178+L1178+N1178+P1178+R1178+T1178+U1178+V1178+W1178+X1178+Y1178+Z1178+AA1178+AB1178+AC1178+AD1178+AE1178</f>
        <v>864968.97</v>
      </c>
      <c r="E1178" s="37">
        <v>0</v>
      </c>
      <c r="F1178" s="37">
        <v>0</v>
      </c>
      <c r="G1178" s="31">
        <v>0</v>
      </c>
      <c r="H1178" s="37">
        <f>257678.05+26400.72+469585.24</f>
        <v>753664.01</v>
      </c>
      <c r="I1178" s="37">
        <v>0</v>
      </c>
      <c r="J1178" s="37">
        <v>0</v>
      </c>
      <c r="K1178" s="77">
        <v>0</v>
      </c>
      <c r="L1178" s="37">
        <v>0</v>
      </c>
      <c r="M1178" s="31">
        <v>0</v>
      </c>
      <c r="N1178" s="31">
        <v>0</v>
      </c>
      <c r="O1178" s="31">
        <v>0</v>
      </c>
      <c r="P1178" s="31">
        <v>0</v>
      </c>
      <c r="Q1178" s="31">
        <v>0</v>
      </c>
      <c r="R1178" s="31">
        <v>0</v>
      </c>
      <c r="S1178" s="31">
        <v>0</v>
      </c>
      <c r="T1178" s="31">
        <v>0</v>
      </c>
      <c r="U1178" s="31">
        <v>0</v>
      </c>
      <c r="V1178" s="31">
        <v>0</v>
      </c>
      <c r="W1178" s="31">
        <v>0</v>
      </c>
      <c r="X1178" s="31">
        <v>0</v>
      </c>
      <c r="Y1178" s="31">
        <v>0</v>
      </c>
      <c r="Z1178" s="31">
        <v>0</v>
      </c>
      <c r="AA1178" s="31">
        <v>0</v>
      </c>
      <c r="AB1178" s="31">
        <v>0</v>
      </c>
      <c r="AC1178" s="31">
        <f>ROUND(H1178*1.5%,2)</f>
        <v>11304.96</v>
      </c>
      <c r="AD1178" s="31">
        <v>100000</v>
      </c>
      <c r="AE1178" s="31">
        <v>0</v>
      </c>
      <c r="AF1178" s="33">
        <v>2022</v>
      </c>
      <c r="AG1178" s="33">
        <v>2022</v>
      </c>
      <c r="AH1178" s="34">
        <v>2022</v>
      </c>
      <c r="AT1178" s="20" t="e">
        <f t="shared" si="270"/>
        <v>#N/A</v>
      </c>
      <c r="BZ1178" s="64"/>
      <c r="CD1178" s="20" t="e">
        <f>VLOOKUP(C1178,CE:CF,2,FALSE)</f>
        <v>#N/A</v>
      </c>
    </row>
    <row r="1179" spans="1:82" ht="61.5" x14ac:dyDescent="0.85">
      <c r="B1179" s="24" t="s">
        <v>818</v>
      </c>
      <c r="C1179" s="24"/>
      <c r="D1179" s="199">
        <f>D1180+D1181</f>
        <v>8756823</v>
      </c>
      <c r="E1179" s="31">
        <f t="shared" ref="E1179:AE1179" si="276">E1180+E1181</f>
        <v>0</v>
      </c>
      <c r="F1179" s="31">
        <f t="shared" si="276"/>
        <v>0</v>
      </c>
      <c r="G1179" s="31">
        <f t="shared" si="276"/>
        <v>0</v>
      </c>
      <c r="H1179" s="31">
        <f t="shared" si="276"/>
        <v>0</v>
      </c>
      <c r="I1179" s="31">
        <f t="shared" si="276"/>
        <v>0</v>
      </c>
      <c r="J1179" s="31">
        <f t="shared" si="276"/>
        <v>0</v>
      </c>
      <c r="K1179" s="67">
        <f t="shared" si="276"/>
        <v>0</v>
      </c>
      <c r="L1179" s="31">
        <f t="shared" si="276"/>
        <v>0</v>
      </c>
      <c r="M1179" s="31">
        <f t="shared" si="276"/>
        <v>1713</v>
      </c>
      <c r="N1179" s="31">
        <f t="shared" si="276"/>
        <v>8331845.3199999994</v>
      </c>
      <c r="O1179" s="31">
        <f t="shared" si="276"/>
        <v>0</v>
      </c>
      <c r="P1179" s="31">
        <f t="shared" si="276"/>
        <v>0</v>
      </c>
      <c r="Q1179" s="31">
        <f t="shared" si="276"/>
        <v>0</v>
      </c>
      <c r="R1179" s="31">
        <f t="shared" si="276"/>
        <v>0</v>
      </c>
      <c r="S1179" s="31">
        <f t="shared" si="276"/>
        <v>0</v>
      </c>
      <c r="T1179" s="31">
        <f t="shared" si="276"/>
        <v>0</v>
      </c>
      <c r="U1179" s="31">
        <f t="shared" si="276"/>
        <v>0</v>
      </c>
      <c r="V1179" s="31">
        <f t="shared" si="276"/>
        <v>0</v>
      </c>
      <c r="W1179" s="31">
        <f t="shared" si="276"/>
        <v>0</v>
      </c>
      <c r="X1179" s="31">
        <f t="shared" si="276"/>
        <v>0</v>
      </c>
      <c r="Y1179" s="31">
        <f t="shared" si="276"/>
        <v>0</v>
      </c>
      <c r="Z1179" s="31">
        <f t="shared" si="276"/>
        <v>0</v>
      </c>
      <c r="AA1179" s="31">
        <f t="shared" si="276"/>
        <v>0</v>
      </c>
      <c r="AB1179" s="31">
        <f t="shared" si="276"/>
        <v>0</v>
      </c>
      <c r="AC1179" s="31">
        <f t="shared" si="276"/>
        <v>124977.68</v>
      </c>
      <c r="AD1179" s="31">
        <f t="shared" si="276"/>
        <v>300000</v>
      </c>
      <c r="AE1179" s="31">
        <f t="shared" si="276"/>
        <v>0</v>
      </c>
      <c r="AF1179" s="65" t="s">
        <v>751</v>
      </c>
      <c r="AG1179" s="65" t="s">
        <v>751</v>
      </c>
      <c r="AH1179" s="79" t="s">
        <v>751</v>
      </c>
      <c r="AT1179" s="20" t="e">
        <f t="shared" si="270"/>
        <v>#N/A</v>
      </c>
      <c r="BZ1179" s="64">
        <v>8756823</v>
      </c>
    </row>
    <row r="1180" spans="1:82" ht="61.5" x14ac:dyDescent="0.85">
      <c r="A1180" s="20">
        <v>1</v>
      </c>
      <c r="B1180" s="60">
        <f>SUBTOTAL(103,$A$1036:A1180)</f>
        <v>137</v>
      </c>
      <c r="C1180" s="24" t="s">
        <v>651</v>
      </c>
      <c r="D1180" s="31">
        <f>E1180+F1180+G1180+H1180+I1180+J1180+L1180+N1180+P1180+R1180+T1180+U1180+V1180+W1180+X1180+Y1180+Z1180+AA1180+AB1180+AC1180+AD1180+AE1180</f>
        <v>4146680</v>
      </c>
      <c r="E1180" s="37">
        <v>0</v>
      </c>
      <c r="F1180" s="37">
        <v>0</v>
      </c>
      <c r="G1180" s="37">
        <v>0</v>
      </c>
      <c r="H1180" s="37">
        <v>0</v>
      </c>
      <c r="I1180" s="37">
        <v>0</v>
      </c>
      <c r="J1180" s="37">
        <v>0</v>
      </c>
      <c r="K1180" s="77">
        <v>0</v>
      </c>
      <c r="L1180" s="37">
        <v>0</v>
      </c>
      <c r="M1180" s="31">
        <v>830</v>
      </c>
      <c r="N1180" s="31">
        <v>3937615.76</v>
      </c>
      <c r="O1180" s="31">
        <v>0</v>
      </c>
      <c r="P1180" s="31">
        <v>0</v>
      </c>
      <c r="Q1180" s="31">
        <v>0</v>
      </c>
      <c r="R1180" s="31">
        <v>0</v>
      </c>
      <c r="S1180" s="31">
        <v>0</v>
      </c>
      <c r="T1180" s="31">
        <v>0</v>
      </c>
      <c r="U1180" s="31">
        <v>0</v>
      </c>
      <c r="V1180" s="31">
        <v>0</v>
      </c>
      <c r="W1180" s="31">
        <v>0</v>
      </c>
      <c r="X1180" s="31">
        <v>0</v>
      </c>
      <c r="Y1180" s="31">
        <v>0</v>
      </c>
      <c r="Z1180" s="31">
        <v>0</v>
      </c>
      <c r="AA1180" s="31">
        <v>0</v>
      </c>
      <c r="AB1180" s="31">
        <v>0</v>
      </c>
      <c r="AC1180" s="31">
        <f>ROUND(N1180*1.5%,2)</f>
        <v>59064.24</v>
      </c>
      <c r="AD1180" s="31">
        <v>150000</v>
      </c>
      <c r="AE1180" s="31">
        <v>0</v>
      </c>
      <c r="AF1180" s="33">
        <v>2022</v>
      </c>
      <c r="AG1180" s="33">
        <v>2022</v>
      </c>
      <c r="AH1180" s="34">
        <v>2022</v>
      </c>
      <c r="AT1180" s="20" t="e">
        <f t="shared" si="270"/>
        <v>#N/A</v>
      </c>
      <c r="BZ1180" s="64"/>
    </row>
    <row r="1181" spans="1:82" ht="61.5" x14ac:dyDescent="0.85">
      <c r="A1181" s="20">
        <v>1</v>
      </c>
      <c r="B1181" s="60">
        <f>SUBTOTAL(103,$A$1036:A1181)</f>
        <v>138</v>
      </c>
      <c r="C1181" s="24" t="s">
        <v>654</v>
      </c>
      <c r="D1181" s="31">
        <f>E1181+F1181+G1181+H1181+I1181+J1181+L1181+N1181+P1181+R1181+T1181+U1181+V1181+W1181+X1181+Y1181+Z1181+AA1181+AB1181+AC1181+AD1181+AE1181</f>
        <v>4610143</v>
      </c>
      <c r="E1181" s="35">
        <v>0</v>
      </c>
      <c r="F1181" s="35">
        <v>0</v>
      </c>
      <c r="G1181" s="35">
        <v>0</v>
      </c>
      <c r="H1181" s="35">
        <v>0</v>
      </c>
      <c r="I1181" s="35">
        <v>0</v>
      </c>
      <c r="J1181" s="35">
        <v>0</v>
      </c>
      <c r="K1181" s="67">
        <v>0</v>
      </c>
      <c r="L1181" s="31">
        <v>0</v>
      </c>
      <c r="M1181" s="31">
        <v>883</v>
      </c>
      <c r="N1181" s="31">
        <v>4394229.5599999996</v>
      </c>
      <c r="O1181" s="31">
        <v>0</v>
      </c>
      <c r="P1181" s="31">
        <v>0</v>
      </c>
      <c r="Q1181" s="31">
        <v>0</v>
      </c>
      <c r="R1181" s="31">
        <v>0</v>
      </c>
      <c r="S1181" s="31">
        <v>0</v>
      </c>
      <c r="T1181" s="31">
        <v>0</v>
      </c>
      <c r="U1181" s="31">
        <v>0</v>
      </c>
      <c r="V1181" s="31">
        <v>0</v>
      </c>
      <c r="W1181" s="31">
        <v>0</v>
      </c>
      <c r="X1181" s="31">
        <v>0</v>
      </c>
      <c r="Y1181" s="31">
        <v>0</v>
      </c>
      <c r="Z1181" s="31">
        <v>0</v>
      </c>
      <c r="AA1181" s="31">
        <v>0</v>
      </c>
      <c r="AB1181" s="31">
        <v>0</v>
      </c>
      <c r="AC1181" s="31">
        <f>ROUND(N1181*1.5%,2)</f>
        <v>65913.440000000002</v>
      </c>
      <c r="AD1181" s="31">
        <v>150000</v>
      </c>
      <c r="AE1181" s="31">
        <v>0</v>
      </c>
      <c r="AF1181" s="33">
        <v>2022</v>
      </c>
      <c r="AG1181" s="33">
        <v>2022</v>
      </c>
      <c r="AH1181" s="34">
        <v>2022</v>
      </c>
      <c r="AT1181" s="20" t="e">
        <f t="shared" si="270"/>
        <v>#N/A</v>
      </c>
      <c r="BZ1181" s="64"/>
    </row>
    <row r="1182" spans="1:82" ht="61.5" x14ac:dyDescent="0.85">
      <c r="B1182" s="24" t="s">
        <v>819</v>
      </c>
      <c r="C1182" s="198"/>
      <c r="D1182" s="199">
        <f>D1183</f>
        <v>4369866.08</v>
      </c>
      <c r="E1182" s="31">
        <f t="shared" ref="E1182:AE1182" si="277">E1183</f>
        <v>0</v>
      </c>
      <c r="F1182" s="31">
        <f t="shared" si="277"/>
        <v>0</v>
      </c>
      <c r="G1182" s="31">
        <f t="shared" si="277"/>
        <v>0</v>
      </c>
      <c r="H1182" s="31">
        <f t="shared" si="277"/>
        <v>0</v>
      </c>
      <c r="I1182" s="31">
        <f t="shared" si="277"/>
        <v>0</v>
      </c>
      <c r="J1182" s="31">
        <f t="shared" si="277"/>
        <v>0</v>
      </c>
      <c r="K1182" s="67">
        <f t="shared" si="277"/>
        <v>0</v>
      </c>
      <c r="L1182" s="31">
        <f t="shared" si="277"/>
        <v>0</v>
      </c>
      <c r="M1182" s="31">
        <f t="shared" si="277"/>
        <v>1203</v>
      </c>
      <c r="N1182" s="31">
        <f t="shared" si="277"/>
        <v>4127946.88</v>
      </c>
      <c r="O1182" s="31">
        <f t="shared" si="277"/>
        <v>0</v>
      </c>
      <c r="P1182" s="31">
        <f t="shared" si="277"/>
        <v>0</v>
      </c>
      <c r="Q1182" s="31">
        <f t="shared" si="277"/>
        <v>0</v>
      </c>
      <c r="R1182" s="31">
        <f t="shared" si="277"/>
        <v>0</v>
      </c>
      <c r="S1182" s="31">
        <f t="shared" si="277"/>
        <v>0</v>
      </c>
      <c r="T1182" s="31">
        <f t="shared" si="277"/>
        <v>0</v>
      </c>
      <c r="U1182" s="31">
        <f t="shared" si="277"/>
        <v>0</v>
      </c>
      <c r="V1182" s="31">
        <f t="shared" si="277"/>
        <v>0</v>
      </c>
      <c r="W1182" s="31">
        <f t="shared" si="277"/>
        <v>0</v>
      </c>
      <c r="X1182" s="31">
        <f t="shared" si="277"/>
        <v>0</v>
      </c>
      <c r="Y1182" s="31">
        <f t="shared" si="277"/>
        <v>0</v>
      </c>
      <c r="Z1182" s="31">
        <f t="shared" si="277"/>
        <v>0</v>
      </c>
      <c r="AA1182" s="31">
        <f t="shared" si="277"/>
        <v>0</v>
      </c>
      <c r="AB1182" s="31">
        <f t="shared" si="277"/>
        <v>0</v>
      </c>
      <c r="AC1182" s="31">
        <f t="shared" si="277"/>
        <v>61919.199999999997</v>
      </c>
      <c r="AD1182" s="31">
        <f t="shared" si="277"/>
        <v>180000</v>
      </c>
      <c r="AE1182" s="31">
        <f t="shared" si="277"/>
        <v>0</v>
      </c>
      <c r="AF1182" s="65" t="s">
        <v>751</v>
      </c>
      <c r="AG1182" s="65" t="s">
        <v>751</v>
      </c>
      <c r="AH1182" s="79" t="s">
        <v>751</v>
      </c>
      <c r="AT1182" s="20" t="e">
        <f t="shared" si="270"/>
        <v>#N/A</v>
      </c>
      <c r="BZ1182" s="64">
        <v>4369866.08</v>
      </c>
    </row>
    <row r="1183" spans="1:82" ht="61.5" x14ac:dyDescent="0.85">
      <c r="A1183" s="20">
        <v>1</v>
      </c>
      <c r="B1183" s="60">
        <f>SUBTOTAL(103,$A$1036:A1183)</f>
        <v>139</v>
      </c>
      <c r="C1183" s="101" t="s">
        <v>674</v>
      </c>
      <c r="D1183" s="31">
        <f>E1183+F1183+G1183+H1183+I1183+J1183+L1183+N1183+P1183+R1183+T1183+U1183+V1183+W1183+X1183+Y1183+Z1183+AA1183+AB1183+AC1183+AD1183+AE1183</f>
        <v>4369866.08</v>
      </c>
      <c r="E1183" s="31">
        <v>0</v>
      </c>
      <c r="F1183" s="31">
        <v>0</v>
      </c>
      <c r="G1183" s="31">
        <v>0</v>
      </c>
      <c r="H1183" s="31">
        <v>0</v>
      </c>
      <c r="I1183" s="31">
        <v>0</v>
      </c>
      <c r="J1183" s="31">
        <v>0</v>
      </c>
      <c r="K1183" s="67">
        <v>0</v>
      </c>
      <c r="L1183" s="31">
        <v>0</v>
      </c>
      <c r="M1183" s="31">
        <v>1203</v>
      </c>
      <c r="N1183" s="31">
        <v>4127946.88</v>
      </c>
      <c r="O1183" s="31">
        <v>0</v>
      </c>
      <c r="P1183" s="31">
        <v>0</v>
      </c>
      <c r="Q1183" s="31">
        <v>0</v>
      </c>
      <c r="R1183" s="31">
        <v>0</v>
      </c>
      <c r="S1183" s="31">
        <v>0</v>
      </c>
      <c r="T1183" s="31">
        <v>0</v>
      </c>
      <c r="U1183" s="31">
        <v>0</v>
      </c>
      <c r="V1183" s="31">
        <v>0</v>
      </c>
      <c r="W1183" s="31">
        <v>0</v>
      </c>
      <c r="X1183" s="31">
        <v>0</v>
      </c>
      <c r="Y1183" s="31">
        <v>0</v>
      </c>
      <c r="Z1183" s="31">
        <v>0</v>
      </c>
      <c r="AA1183" s="31">
        <v>0</v>
      </c>
      <c r="AB1183" s="31">
        <v>0</v>
      </c>
      <c r="AC1183" s="31">
        <f>ROUND(N1183*1.5%,2)</f>
        <v>61919.199999999997</v>
      </c>
      <c r="AD1183" s="31">
        <v>180000</v>
      </c>
      <c r="AE1183" s="31">
        <v>0</v>
      </c>
      <c r="AF1183" s="33">
        <v>2022</v>
      </c>
      <c r="AG1183" s="33">
        <v>2022</v>
      </c>
      <c r="AH1183" s="34">
        <v>2022</v>
      </c>
      <c r="AT1183" s="20" t="e">
        <f t="shared" si="270"/>
        <v>#N/A</v>
      </c>
      <c r="BZ1183" s="64"/>
    </row>
    <row r="1184" spans="1:82" ht="61.5" x14ac:dyDescent="0.85">
      <c r="B1184" s="24" t="s">
        <v>820</v>
      </c>
      <c r="C1184" s="24"/>
      <c r="D1184" s="199">
        <f>D1185</f>
        <v>2936950.21</v>
      </c>
      <c r="E1184" s="31">
        <f t="shared" ref="E1184:AE1184" si="278">E1185</f>
        <v>0</v>
      </c>
      <c r="F1184" s="31">
        <f t="shared" si="278"/>
        <v>0</v>
      </c>
      <c r="G1184" s="31">
        <f t="shared" si="278"/>
        <v>0</v>
      </c>
      <c r="H1184" s="31">
        <f t="shared" si="278"/>
        <v>0</v>
      </c>
      <c r="I1184" s="31">
        <f t="shared" si="278"/>
        <v>0</v>
      </c>
      <c r="J1184" s="31">
        <f t="shared" si="278"/>
        <v>0</v>
      </c>
      <c r="K1184" s="67">
        <f t="shared" si="278"/>
        <v>0</v>
      </c>
      <c r="L1184" s="31">
        <f t="shared" si="278"/>
        <v>0</v>
      </c>
      <c r="M1184" s="31">
        <f t="shared" si="278"/>
        <v>0</v>
      </c>
      <c r="N1184" s="31">
        <f t="shared" si="278"/>
        <v>0</v>
      </c>
      <c r="O1184" s="31">
        <f t="shared" si="278"/>
        <v>0</v>
      </c>
      <c r="P1184" s="31">
        <f t="shared" si="278"/>
        <v>0</v>
      </c>
      <c r="Q1184" s="31">
        <f t="shared" si="278"/>
        <v>787</v>
      </c>
      <c r="R1184" s="31">
        <f t="shared" si="278"/>
        <v>2765468.19</v>
      </c>
      <c r="S1184" s="31">
        <f t="shared" si="278"/>
        <v>0</v>
      </c>
      <c r="T1184" s="31">
        <f t="shared" si="278"/>
        <v>0</v>
      </c>
      <c r="U1184" s="31">
        <f t="shared" si="278"/>
        <v>0</v>
      </c>
      <c r="V1184" s="31">
        <f t="shared" si="278"/>
        <v>0</v>
      </c>
      <c r="W1184" s="31">
        <f t="shared" si="278"/>
        <v>0</v>
      </c>
      <c r="X1184" s="31">
        <f t="shared" si="278"/>
        <v>0</v>
      </c>
      <c r="Y1184" s="31">
        <f t="shared" si="278"/>
        <v>0</v>
      </c>
      <c r="Z1184" s="31">
        <f t="shared" si="278"/>
        <v>0</v>
      </c>
      <c r="AA1184" s="31">
        <f t="shared" si="278"/>
        <v>0</v>
      </c>
      <c r="AB1184" s="31">
        <f t="shared" si="278"/>
        <v>0</v>
      </c>
      <c r="AC1184" s="31">
        <f t="shared" si="278"/>
        <v>41482.019999999997</v>
      </c>
      <c r="AD1184" s="31">
        <f t="shared" si="278"/>
        <v>130000</v>
      </c>
      <c r="AE1184" s="31">
        <f t="shared" si="278"/>
        <v>0</v>
      </c>
      <c r="AF1184" s="65" t="s">
        <v>751</v>
      </c>
      <c r="AG1184" s="65" t="s">
        <v>751</v>
      </c>
      <c r="AH1184" s="79" t="s">
        <v>751</v>
      </c>
      <c r="AT1184" s="20" t="e">
        <f t="shared" si="270"/>
        <v>#N/A</v>
      </c>
      <c r="BZ1184" s="64">
        <v>2936950.21</v>
      </c>
    </row>
    <row r="1185" spans="1:82" ht="61.5" x14ac:dyDescent="0.85">
      <c r="A1185" s="20">
        <v>1</v>
      </c>
      <c r="B1185" s="60">
        <f>SUBTOTAL(103,$A$1036:A1185)</f>
        <v>140</v>
      </c>
      <c r="C1185" s="101" t="s">
        <v>688</v>
      </c>
      <c r="D1185" s="31">
        <f>E1185+F1185+G1185+H1185+I1185+J1185+L1185+N1185+P1185+R1185+T1185+U1185+V1185+W1185+X1185+Y1185+Z1185+AA1185+AB1185+AC1185+AD1185+AE1185</f>
        <v>2936950.21</v>
      </c>
      <c r="E1185" s="31">
        <v>0</v>
      </c>
      <c r="F1185" s="31">
        <v>0</v>
      </c>
      <c r="G1185" s="31">
        <v>0</v>
      </c>
      <c r="H1185" s="31">
        <v>0</v>
      </c>
      <c r="I1185" s="31">
        <v>0</v>
      </c>
      <c r="J1185" s="31">
        <v>0</v>
      </c>
      <c r="K1185" s="67">
        <v>0</v>
      </c>
      <c r="L1185" s="31">
        <v>0</v>
      </c>
      <c r="M1185" s="31">
        <v>0</v>
      </c>
      <c r="N1185" s="31">
        <v>0</v>
      </c>
      <c r="O1185" s="31">
        <v>0</v>
      </c>
      <c r="P1185" s="31">
        <v>0</v>
      </c>
      <c r="Q1185" s="31">
        <v>787</v>
      </c>
      <c r="R1185" s="31">
        <v>2765468.19</v>
      </c>
      <c r="S1185" s="31">
        <v>0</v>
      </c>
      <c r="T1185" s="31">
        <v>0</v>
      </c>
      <c r="U1185" s="31">
        <v>0</v>
      </c>
      <c r="V1185" s="31">
        <v>0</v>
      </c>
      <c r="W1185" s="31">
        <v>0</v>
      </c>
      <c r="X1185" s="31">
        <v>0</v>
      </c>
      <c r="Y1185" s="31">
        <v>0</v>
      </c>
      <c r="Z1185" s="31">
        <v>0</v>
      </c>
      <c r="AA1185" s="31">
        <v>0</v>
      </c>
      <c r="AB1185" s="31">
        <v>0</v>
      </c>
      <c r="AC1185" s="31">
        <f>ROUND(R1185*1.5%,2)</f>
        <v>41482.019999999997</v>
      </c>
      <c r="AD1185" s="31">
        <v>130000</v>
      </c>
      <c r="AE1185" s="31">
        <v>0</v>
      </c>
      <c r="AF1185" s="33">
        <v>2022</v>
      </c>
      <c r="AG1185" s="33">
        <v>2022</v>
      </c>
      <c r="AH1185" s="34">
        <v>2022</v>
      </c>
      <c r="AT1185" s="20" t="e">
        <f t="shared" si="270"/>
        <v>#N/A</v>
      </c>
      <c r="BZ1185" s="64"/>
    </row>
    <row r="1186" spans="1:82" ht="61.5" x14ac:dyDescent="0.85">
      <c r="B1186" s="24" t="s">
        <v>821</v>
      </c>
      <c r="C1186" s="24"/>
      <c r="D1186" s="199">
        <f>D1187+D1188</f>
        <v>2773728.46</v>
      </c>
      <c r="E1186" s="31">
        <f t="shared" ref="E1186:AE1186" si="279">E1187+E1188</f>
        <v>0</v>
      </c>
      <c r="F1186" s="31">
        <f t="shared" si="279"/>
        <v>0</v>
      </c>
      <c r="G1186" s="31">
        <f t="shared" si="279"/>
        <v>0</v>
      </c>
      <c r="H1186" s="31">
        <f t="shared" si="279"/>
        <v>0</v>
      </c>
      <c r="I1186" s="31">
        <f t="shared" si="279"/>
        <v>191760.14</v>
      </c>
      <c r="J1186" s="31">
        <f t="shared" si="279"/>
        <v>0</v>
      </c>
      <c r="K1186" s="67">
        <f t="shared" si="279"/>
        <v>0</v>
      </c>
      <c r="L1186" s="31">
        <f t="shared" si="279"/>
        <v>0</v>
      </c>
      <c r="M1186" s="31">
        <f t="shared" si="279"/>
        <v>628</v>
      </c>
      <c r="N1186" s="31">
        <f t="shared" si="279"/>
        <v>2353785.14</v>
      </c>
      <c r="O1186" s="31">
        <f t="shared" si="279"/>
        <v>0</v>
      </c>
      <c r="P1186" s="31">
        <f t="shared" si="279"/>
        <v>0</v>
      </c>
      <c r="Q1186" s="31">
        <f t="shared" si="279"/>
        <v>0</v>
      </c>
      <c r="R1186" s="31">
        <f t="shared" si="279"/>
        <v>0</v>
      </c>
      <c r="S1186" s="31">
        <f t="shared" si="279"/>
        <v>0</v>
      </c>
      <c r="T1186" s="31">
        <f t="shared" si="279"/>
        <v>0</v>
      </c>
      <c r="U1186" s="31">
        <f t="shared" si="279"/>
        <v>0</v>
      </c>
      <c r="V1186" s="31">
        <f t="shared" si="279"/>
        <v>0</v>
      </c>
      <c r="W1186" s="31">
        <f t="shared" si="279"/>
        <v>0</v>
      </c>
      <c r="X1186" s="31">
        <f t="shared" si="279"/>
        <v>0</v>
      </c>
      <c r="Y1186" s="31">
        <f t="shared" si="279"/>
        <v>0</v>
      </c>
      <c r="Z1186" s="31">
        <f t="shared" si="279"/>
        <v>0</v>
      </c>
      <c r="AA1186" s="31">
        <f t="shared" si="279"/>
        <v>0</v>
      </c>
      <c r="AB1186" s="31">
        <f t="shared" si="279"/>
        <v>0</v>
      </c>
      <c r="AC1186" s="31">
        <f t="shared" si="279"/>
        <v>38183.18</v>
      </c>
      <c r="AD1186" s="31">
        <f t="shared" si="279"/>
        <v>190000</v>
      </c>
      <c r="AE1186" s="31">
        <f t="shared" si="279"/>
        <v>0</v>
      </c>
      <c r="AF1186" s="65" t="s">
        <v>751</v>
      </c>
      <c r="AG1186" s="65" t="s">
        <v>751</v>
      </c>
      <c r="AH1186" s="79" t="s">
        <v>751</v>
      </c>
      <c r="AT1186" s="20" t="e">
        <f t="shared" si="270"/>
        <v>#N/A</v>
      </c>
      <c r="BZ1186" s="64">
        <v>2773728.46</v>
      </c>
    </row>
    <row r="1187" spans="1:82" ht="61.5" x14ac:dyDescent="0.85">
      <c r="A1187" s="20">
        <v>1</v>
      </c>
      <c r="B1187" s="60">
        <f>SUBTOTAL(103,$A$1036:A1187)</f>
        <v>141</v>
      </c>
      <c r="C1187" s="101" t="s">
        <v>681</v>
      </c>
      <c r="D1187" s="31">
        <f>E1187+F1187+G1187+H1187+I1187+J1187+L1187+N1187+P1187+R1187+T1187+U1187+V1187+W1187+X1187+Y1187+Z1187+AA1187+AB1187+AC1187+AD1187+AE1187</f>
        <v>2539091.92</v>
      </c>
      <c r="E1187" s="31">
        <v>0</v>
      </c>
      <c r="F1187" s="31">
        <v>0</v>
      </c>
      <c r="G1187" s="31">
        <v>0</v>
      </c>
      <c r="H1187" s="31">
        <v>0</v>
      </c>
      <c r="I1187" s="31">
        <v>0</v>
      </c>
      <c r="J1187" s="31">
        <v>0</v>
      </c>
      <c r="K1187" s="67">
        <v>0</v>
      </c>
      <c r="L1187" s="31">
        <v>0</v>
      </c>
      <c r="M1187" s="31">
        <v>628</v>
      </c>
      <c r="N1187" s="31">
        <v>2353785.14</v>
      </c>
      <c r="O1187" s="31">
        <v>0</v>
      </c>
      <c r="P1187" s="31">
        <v>0</v>
      </c>
      <c r="Q1187" s="31">
        <v>0</v>
      </c>
      <c r="R1187" s="31">
        <v>0</v>
      </c>
      <c r="S1187" s="31">
        <v>0</v>
      </c>
      <c r="T1187" s="31">
        <v>0</v>
      </c>
      <c r="U1187" s="31">
        <v>0</v>
      </c>
      <c r="V1187" s="31">
        <v>0</v>
      </c>
      <c r="W1187" s="31">
        <v>0</v>
      </c>
      <c r="X1187" s="31">
        <v>0</v>
      </c>
      <c r="Y1187" s="31">
        <v>0</v>
      </c>
      <c r="Z1187" s="31">
        <v>0</v>
      </c>
      <c r="AA1187" s="31">
        <v>0</v>
      </c>
      <c r="AB1187" s="31">
        <v>0</v>
      </c>
      <c r="AC1187" s="31">
        <f>ROUND(N1187*1.5%,2)</f>
        <v>35306.78</v>
      </c>
      <c r="AD1187" s="31">
        <v>150000</v>
      </c>
      <c r="AE1187" s="31">
        <v>0</v>
      </c>
      <c r="AF1187" s="33">
        <v>2022</v>
      </c>
      <c r="AG1187" s="33">
        <v>2022</v>
      </c>
      <c r="AH1187" s="34">
        <v>2022</v>
      </c>
      <c r="AT1187" s="20" t="e">
        <f t="shared" si="270"/>
        <v>#N/A</v>
      </c>
      <c r="BZ1187" s="64"/>
    </row>
    <row r="1188" spans="1:82" ht="61.5" x14ac:dyDescent="0.85">
      <c r="A1188" s="20">
        <v>1</v>
      </c>
      <c r="B1188" s="60">
        <f>SUBTOTAL(103,$A$1036:A1188)</f>
        <v>142</v>
      </c>
      <c r="C1188" s="101" t="s">
        <v>691</v>
      </c>
      <c r="D1188" s="31">
        <f>E1188+F1188+G1188+H1188+I1188+J1188+L1188+N1188+P1188+R1188+T1188+U1188+V1188+W1188+X1188+Y1188+Z1188+AA1188+AB1188+AC1188+AD1188+AE1188</f>
        <v>234636.54</v>
      </c>
      <c r="E1188" s="31">
        <v>0</v>
      </c>
      <c r="F1188" s="31">
        <v>0</v>
      </c>
      <c r="G1188" s="31">
        <v>0</v>
      </c>
      <c r="H1188" s="31">
        <v>0</v>
      </c>
      <c r="I1188" s="31">
        <v>191760.14</v>
      </c>
      <c r="J1188" s="31">
        <v>0</v>
      </c>
      <c r="K1188" s="67">
        <v>0</v>
      </c>
      <c r="L1188" s="31">
        <v>0</v>
      </c>
      <c r="M1188" s="31">
        <v>0</v>
      </c>
      <c r="N1188" s="31">
        <v>0</v>
      </c>
      <c r="O1188" s="31">
        <v>0</v>
      </c>
      <c r="P1188" s="31">
        <v>0</v>
      </c>
      <c r="Q1188" s="31">
        <v>0</v>
      </c>
      <c r="R1188" s="31">
        <v>0</v>
      </c>
      <c r="S1188" s="31">
        <v>0</v>
      </c>
      <c r="T1188" s="31">
        <v>0</v>
      </c>
      <c r="U1188" s="31">
        <v>0</v>
      </c>
      <c r="V1188" s="31">
        <v>0</v>
      </c>
      <c r="W1188" s="31">
        <v>0</v>
      </c>
      <c r="X1188" s="31">
        <v>0</v>
      </c>
      <c r="Y1188" s="31">
        <v>0</v>
      </c>
      <c r="Z1188" s="31">
        <v>0</v>
      </c>
      <c r="AA1188" s="31">
        <v>0</v>
      </c>
      <c r="AB1188" s="31">
        <v>0</v>
      </c>
      <c r="AC1188" s="31">
        <f>ROUND((E1188+F1188+G1188+H1188+I1188+J1188)*1.5%,2)</f>
        <v>2876.4</v>
      </c>
      <c r="AD1188" s="31">
        <v>40000</v>
      </c>
      <c r="AE1188" s="31">
        <v>0</v>
      </c>
      <c r="AF1188" s="33">
        <v>2022</v>
      </c>
      <c r="AG1188" s="33">
        <v>2022</v>
      </c>
      <c r="AH1188" s="34">
        <v>2022</v>
      </c>
      <c r="AT1188" s="20" t="e">
        <f t="shared" si="270"/>
        <v>#N/A</v>
      </c>
      <c r="BZ1188" s="64"/>
    </row>
    <row r="1189" spans="1:82" ht="61.5" x14ac:dyDescent="0.85">
      <c r="B1189" s="24" t="s">
        <v>884</v>
      </c>
      <c r="C1189" s="24"/>
      <c r="D1189" s="199">
        <f>D1190</f>
        <v>2158336.3499999996</v>
      </c>
      <c r="E1189" s="31">
        <f t="shared" ref="E1189:AE1189" si="280">E1190</f>
        <v>0</v>
      </c>
      <c r="F1189" s="31">
        <f t="shared" si="280"/>
        <v>0</v>
      </c>
      <c r="G1189" s="31">
        <f t="shared" si="280"/>
        <v>0</v>
      </c>
      <c r="H1189" s="31">
        <f t="shared" si="280"/>
        <v>0</v>
      </c>
      <c r="I1189" s="31">
        <f t="shared" si="280"/>
        <v>0</v>
      </c>
      <c r="J1189" s="31">
        <f t="shared" si="280"/>
        <v>0</v>
      </c>
      <c r="K1189" s="67">
        <f t="shared" si="280"/>
        <v>0</v>
      </c>
      <c r="L1189" s="31">
        <f t="shared" si="280"/>
        <v>0</v>
      </c>
      <c r="M1189" s="31">
        <f t="shared" si="280"/>
        <v>393</v>
      </c>
      <c r="N1189" s="31">
        <f t="shared" si="280"/>
        <v>2008213.15</v>
      </c>
      <c r="O1189" s="31">
        <f t="shared" si="280"/>
        <v>0</v>
      </c>
      <c r="P1189" s="31">
        <f t="shared" si="280"/>
        <v>0</v>
      </c>
      <c r="Q1189" s="31">
        <f t="shared" si="280"/>
        <v>0</v>
      </c>
      <c r="R1189" s="31">
        <f t="shared" si="280"/>
        <v>0</v>
      </c>
      <c r="S1189" s="31">
        <f t="shared" si="280"/>
        <v>0</v>
      </c>
      <c r="T1189" s="31">
        <f t="shared" si="280"/>
        <v>0</v>
      </c>
      <c r="U1189" s="31">
        <f t="shared" si="280"/>
        <v>0</v>
      </c>
      <c r="V1189" s="31">
        <f t="shared" si="280"/>
        <v>0</v>
      </c>
      <c r="W1189" s="31">
        <f t="shared" si="280"/>
        <v>0</v>
      </c>
      <c r="X1189" s="31">
        <f t="shared" si="280"/>
        <v>0</v>
      </c>
      <c r="Y1189" s="31">
        <f t="shared" si="280"/>
        <v>0</v>
      </c>
      <c r="Z1189" s="31">
        <f t="shared" si="280"/>
        <v>0</v>
      </c>
      <c r="AA1189" s="31">
        <f t="shared" si="280"/>
        <v>0</v>
      </c>
      <c r="AB1189" s="31">
        <f t="shared" si="280"/>
        <v>0</v>
      </c>
      <c r="AC1189" s="31">
        <f t="shared" si="280"/>
        <v>30123.200000000001</v>
      </c>
      <c r="AD1189" s="31">
        <f t="shared" si="280"/>
        <v>120000</v>
      </c>
      <c r="AE1189" s="31">
        <f t="shared" si="280"/>
        <v>0</v>
      </c>
      <c r="AF1189" s="65" t="s">
        <v>751</v>
      </c>
      <c r="AG1189" s="65" t="s">
        <v>751</v>
      </c>
      <c r="AH1189" s="79" t="s">
        <v>751</v>
      </c>
      <c r="AT1189" s="20" t="e">
        <f t="shared" si="270"/>
        <v>#N/A</v>
      </c>
      <c r="BZ1189" s="64">
        <v>2158336.3499999996</v>
      </c>
    </row>
    <row r="1190" spans="1:82" ht="61.5" x14ac:dyDescent="0.85">
      <c r="A1190" s="20">
        <v>1</v>
      </c>
      <c r="B1190" s="60">
        <f>SUBTOTAL(103,$A$1036:A1190)</f>
        <v>143</v>
      </c>
      <c r="C1190" s="101" t="s">
        <v>673</v>
      </c>
      <c r="D1190" s="31">
        <f>E1190+F1190+G1190+H1190+I1190+J1190+L1190+N1190+P1190+R1190+T1190+U1190+V1190+W1190+X1190+Y1190+Z1190+AA1190+AB1190+AC1190+AD1190+AE1190</f>
        <v>2158336.3499999996</v>
      </c>
      <c r="E1190" s="31">
        <v>0</v>
      </c>
      <c r="F1190" s="31">
        <v>0</v>
      </c>
      <c r="G1190" s="31">
        <v>0</v>
      </c>
      <c r="H1190" s="31">
        <v>0</v>
      </c>
      <c r="I1190" s="31">
        <v>0</v>
      </c>
      <c r="J1190" s="31">
        <v>0</v>
      </c>
      <c r="K1190" s="67">
        <v>0</v>
      </c>
      <c r="L1190" s="31">
        <v>0</v>
      </c>
      <c r="M1190" s="31">
        <v>393</v>
      </c>
      <c r="N1190" s="31">
        <v>2008213.15</v>
      </c>
      <c r="O1190" s="31">
        <v>0</v>
      </c>
      <c r="P1190" s="31">
        <v>0</v>
      </c>
      <c r="Q1190" s="31">
        <v>0</v>
      </c>
      <c r="R1190" s="31">
        <v>0</v>
      </c>
      <c r="S1190" s="31">
        <v>0</v>
      </c>
      <c r="T1190" s="31">
        <v>0</v>
      </c>
      <c r="U1190" s="31">
        <v>0</v>
      </c>
      <c r="V1190" s="31">
        <v>0</v>
      </c>
      <c r="W1190" s="31">
        <v>0</v>
      </c>
      <c r="X1190" s="31">
        <v>0</v>
      </c>
      <c r="Y1190" s="31">
        <v>0</v>
      </c>
      <c r="Z1190" s="31">
        <v>0</v>
      </c>
      <c r="AA1190" s="31">
        <v>0</v>
      </c>
      <c r="AB1190" s="31">
        <v>0</v>
      </c>
      <c r="AC1190" s="31">
        <f>ROUND(N1190*1.5%,2)</f>
        <v>30123.200000000001</v>
      </c>
      <c r="AD1190" s="31">
        <v>120000</v>
      </c>
      <c r="AE1190" s="31">
        <v>0</v>
      </c>
      <c r="AF1190" s="33">
        <v>2022</v>
      </c>
      <c r="AG1190" s="33">
        <v>2022</v>
      </c>
      <c r="AH1190" s="34">
        <v>2022</v>
      </c>
      <c r="AT1190" s="20" t="e">
        <f t="shared" si="270"/>
        <v>#N/A</v>
      </c>
      <c r="BZ1190" s="64"/>
    </row>
    <row r="1191" spans="1:82" ht="61.5" x14ac:dyDescent="0.85">
      <c r="B1191" s="24" t="s">
        <v>822</v>
      </c>
      <c r="C1191" s="24"/>
      <c r="D1191" s="199">
        <f>D1192</f>
        <v>2000000</v>
      </c>
      <c r="E1191" s="31">
        <f t="shared" ref="E1191:AE1191" si="281">E1192</f>
        <v>0</v>
      </c>
      <c r="F1191" s="31">
        <f t="shared" si="281"/>
        <v>0</v>
      </c>
      <c r="G1191" s="31">
        <f t="shared" si="281"/>
        <v>0</v>
      </c>
      <c r="H1191" s="31">
        <f t="shared" si="281"/>
        <v>0</v>
      </c>
      <c r="I1191" s="31">
        <f t="shared" si="281"/>
        <v>0</v>
      </c>
      <c r="J1191" s="31">
        <f t="shared" si="281"/>
        <v>0</v>
      </c>
      <c r="K1191" s="67">
        <f t="shared" si="281"/>
        <v>0</v>
      </c>
      <c r="L1191" s="31">
        <f t="shared" si="281"/>
        <v>0</v>
      </c>
      <c r="M1191" s="31">
        <f t="shared" si="281"/>
        <v>674.9</v>
      </c>
      <c r="N1191" s="31">
        <f t="shared" si="281"/>
        <v>1822660.1</v>
      </c>
      <c r="O1191" s="31">
        <f t="shared" si="281"/>
        <v>0</v>
      </c>
      <c r="P1191" s="31">
        <f t="shared" si="281"/>
        <v>0</v>
      </c>
      <c r="Q1191" s="31">
        <f t="shared" si="281"/>
        <v>0</v>
      </c>
      <c r="R1191" s="31">
        <f t="shared" si="281"/>
        <v>0</v>
      </c>
      <c r="S1191" s="31">
        <f t="shared" si="281"/>
        <v>0</v>
      </c>
      <c r="T1191" s="31">
        <f t="shared" si="281"/>
        <v>0</v>
      </c>
      <c r="U1191" s="31">
        <f t="shared" si="281"/>
        <v>0</v>
      </c>
      <c r="V1191" s="31">
        <f t="shared" si="281"/>
        <v>0</v>
      </c>
      <c r="W1191" s="31">
        <f t="shared" si="281"/>
        <v>0</v>
      </c>
      <c r="X1191" s="31">
        <f t="shared" si="281"/>
        <v>0</v>
      </c>
      <c r="Y1191" s="31">
        <f t="shared" si="281"/>
        <v>0</v>
      </c>
      <c r="Z1191" s="31">
        <f t="shared" si="281"/>
        <v>0</v>
      </c>
      <c r="AA1191" s="31">
        <f t="shared" si="281"/>
        <v>0</v>
      </c>
      <c r="AB1191" s="31">
        <f t="shared" si="281"/>
        <v>0</v>
      </c>
      <c r="AC1191" s="31">
        <f t="shared" si="281"/>
        <v>27339.9</v>
      </c>
      <c r="AD1191" s="31">
        <f t="shared" si="281"/>
        <v>150000</v>
      </c>
      <c r="AE1191" s="31">
        <f t="shared" si="281"/>
        <v>0</v>
      </c>
      <c r="AF1191" s="65" t="s">
        <v>751</v>
      </c>
      <c r="AG1191" s="65" t="s">
        <v>751</v>
      </c>
      <c r="AH1191" s="79" t="s">
        <v>751</v>
      </c>
      <c r="AT1191" s="20" t="e">
        <f t="shared" si="270"/>
        <v>#N/A</v>
      </c>
      <c r="BZ1191" s="64">
        <v>2000000</v>
      </c>
    </row>
    <row r="1192" spans="1:82" ht="61.5" x14ac:dyDescent="0.85">
      <c r="A1192" s="20">
        <v>1</v>
      </c>
      <c r="B1192" s="60">
        <f>SUBTOTAL(103,$A$1036:A1192)</f>
        <v>144</v>
      </c>
      <c r="C1192" s="24" t="s">
        <v>687</v>
      </c>
      <c r="D1192" s="31">
        <f>E1192+F1192+G1192+H1192+I1192+J1192+L1192+N1192+P1192+R1192+T1192+U1192+V1192+W1192+X1192+Y1192+Z1192+AA1192+AB1192+AC1192+AD1192+AE1192</f>
        <v>2000000</v>
      </c>
      <c r="E1192" s="31">
        <v>0</v>
      </c>
      <c r="F1192" s="31">
        <v>0</v>
      </c>
      <c r="G1192" s="31">
        <v>0</v>
      </c>
      <c r="H1192" s="31">
        <v>0</v>
      </c>
      <c r="I1192" s="31">
        <v>0</v>
      </c>
      <c r="J1192" s="31">
        <v>0</v>
      </c>
      <c r="K1192" s="67">
        <v>0</v>
      </c>
      <c r="L1192" s="31">
        <v>0</v>
      </c>
      <c r="M1192" s="31">
        <v>674.9</v>
      </c>
      <c r="N1192" s="31">
        <v>1822660.1</v>
      </c>
      <c r="O1192" s="31">
        <v>0</v>
      </c>
      <c r="P1192" s="31">
        <v>0</v>
      </c>
      <c r="Q1192" s="31">
        <v>0</v>
      </c>
      <c r="R1192" s="31">
        <v>0</v>
      </c>
      <c r="S1192" s="31">
        <v>0</v>
      </c>
      <c r="T1192" s="31">
        <v>0</v>
      </c>
      <c r="U1192" s="31">
        <v>0</v>
      </c>
      <c r="V1192" s="31">
        <v>0</v>
      </c>
      <c r="W1192" s="31">
        <v>0</v>
      </c>
      <c r="X1192" s="31">
        <v>0</v>
      </c>
      <c r="Y1192" s="31">
        <v>0</v>
      </c>
      <c r="Z1192" s="31">
        <v>0</v>
      </c>
      <c r="AA1192" s="31">
        <v>0</v>
      </c>
      <c r="AB1192" s="31">
        <v>0</v>
      </c>
      <c r="AC1192" s="31">
        <f>ROUND(N1192*1.5%,2)</f>
        <v>27339.9</v>
      </c>
      <c r="AD1192" s="31">
        <v>150000</v>
      </c>
      <c r="AE1192" s="31">
        <v>0</v>
      </c>
      <c r="AF1192" s="33">
        <v>2022</v>
      </c>
      <c r="AG1192" s="33">
        <v>2022</v>
      </c>
      <c r="AH1192" s="34">
        <v>2022</v>
      </c>
      <c r="AT1192" s="20" t="e">
        <f t="shared" si="270"/>
        <v>#N/A</v>
      </c>
      <c r="BZ1192" s="64"/>
    </row>
    <row r="1193" spans="1:82" ht="61.5" x14ac:dyDescent="0.85">
      <c r="B1193" s="24" t="s">
        <v>823</v>
      </c>
      <c r="C1193" s="24"/>
      <c r="D1193" s="199">
        <f t="shared" ref="D1193:AE1193" si="282">SUM(D1194:D1199)</f>
        <v>19139362.629999999</v>
      </c>
      <c r="E1193" s="31">
        <f t="shared" si="282"/>
        <v>0</v>
      </c>
      <c r="F1193" s="31">
        <f t="shared" si="282"/>
        <v>0</v>
      </c>
      <c r="G1193" s="31">
        <f t="shared" si="282"/>
        <v>0</v>
      </c>
      <c r="H1193" s="31">
        <f t="shared" si="282"/>
        <v>0</v>
      </c>
      <c r="I1193" s="31">
        <f t="shared" si="282"/>
        <v>0</v>
      </c>
      <c r="J1193" s="31">
        <f t="shared" si="282"/>
        <v>0</v>
      </c>
      <c r="K1193" s="67">
        <f t="shared" si="282"/>
        <v>0</v>
      </c>
      <c r="L1193" s="31">
        <f t="shared" si="282"/>
        <v>0</v>
      </c>
      <c r="M1193" s="31">
        <f t="shared" si="282"/>
        <v>3829.7</v>
      </c>
      <c r="N1193" s="31">
        <f t="shared" si="282"/>
        <v>18058485.34</v>
      </c>
      <c r="O1193" s="31">
        <f t="shared" si="282"/>
        <v>0</v>
      </c>
      <c r="P1193" s="31">
        <f t="shared" si="282"/>
        <v>0</v>
      </c>
      <c r="Q1193" s="31">
        <f t="shared" si="282"/>
        <v>0</v>
      </c>
      <c r="R1193" s="31">
        <f t="shared" si="282"/>
        <v>0</v>
      </c>
      <c r="S1193" s="31">
        <f t="shared" si="282"/>
        <v>0</v>
      </c>
      <c r="T1193" s="31">
        <f t="shared" si="282"/>
        <v>0</v>
      </c>
      <c r="U1193" s="31">
        <f t="shared" si="282"/>
        <v>0</v>
      </c>
      <c r="V1193" s="31">
        <f t="shared" si="282"/>
        <v>0</v>
      </c>
      <c r="W1193" s="31">
        <f t="shared" si="282"/>
        <v>0</v>
      </c>
      <c r="X1193" s="31">
        <f t="shared" si="282"/>
        <v>0</v>
      </c>
      <c r="Y1193" s="31">
        <f t="shared" si="282"/>
        <v>0</v>
      </c>
      <c r="Z1193" s="31">
        <f t="shared" si="282"/>
        <v>0</v>
      </c>
      <c r="AA1193" s="31">
        <f t="shared" si="282"/>
        <v>0</v>
      </c>
      <c r="AB1193" s="31">
        <f t="shared" si="282"/>
        <v>0</v>
      </c>
      <c r="AC1193" s="31">
        <f t="shared" si="282"/>
        <v>270877.29000000004</v>
      </c>
      <c r="AD1193" s="31">
        <f t="shared" si="282"/>
        <v>810000</v>
      </c>
      <c r="AE1193" s="31">
        <f t="shared" si="282"/>
        <v>0</v>
      </c>
      <c r="AF1193" s="65" t="s">
        <v>751</v>
      </c>
      <c r="AG1193" s="65" t="s">
        <v>751</v>
      </c>
      <c r="AH1193" s="79" t="s">
        <v>751</v>
      </c>
      <c r="AT1193" s="20" t="e">
        <f t="shared" si="270"/>
        <v>#N/A</v>
      </c>
      <c r="BZ1193" s="64">
        <v>23342011.919999998</v>
      </c>
    </row>
    <row r="1194" spans="1:82" ht="61.5" x14ac:dyDescent="0.85">
      <c r="A1194" s="20">
        <v>1</v>
      </c>
      <c r="B1194" s="60">
        <f>SUBTOTAL(103,$A$1036:A1194)</f>
        <v>145</v>
      </c>
      <c r="C1194" s="101" t="s">
        <v>660</v>
      </c>
      <c r="D1194" s="31">
        <f t="shared" ref="D1194:D1199" si="283">E1194+F1194+G1194+H1194+I1194+J1194+L1194+N1194+P1194+R1194+T1194+U1194+V1194+W1194+X1194+Y1194+Z1194+AA1194+AB1194+AC1194+AD1194+AE1194</f>
        <v>1358190.18</v>
      </c>
      <c r="E1194" s="31">
        <v>0</v>
      </c>
      <c r="F1194" s="31">
        <v>0</v>
      </c>
      <c r="G1194" s="31">
        <v>0</v>
      </c>
      <c r="H1194" s="31">
        <v>0</v>
      </c>
      <c r="I1194" s="31">
        <v>0</v>
      </c>
      <c r="J1194" s="31">
        <v>0</v>
      </c>
      <c r="K1194" s="67">
        <v>0</v>
      </c>
      <c r="L1194" s="31">
        <v>0</v>
      </c>
      <c r="M1194" s="31">
        <v>260.10000000000002</v>
      </c>
      <c r="N1194" s="31">
        <v>1219891.8</v>
      </c>
      <c r="O1194" s="31">
        <v>0</v>
      </c>
      <c r="P1194" s="31">
        <v>0</v>
      </c>
      <c r="Q1194" s="31">
        <v>0</v>
      </c>
      <c r="R1194" s="31">
        <v>0</v>
      </c>
      <c r="S1194" s="31">
        <v>0</v>
      </c>
      <c r="T1194" s="31">
        <v>0</v>
      </c>
      <c r="U1194" s="31">
        <v>0</v>
      </c>
      <c r="V1194" s="31">
        <v>0</v>
      </c>
      <c r="W1194" s="31">
        <v>0</v>
      </c>
      <c r="X1194" s="31">
        <v>0</v>
      </c>
      <c r="Y1194" s="31">
        <v>0</v>
      </c>
      <c r="Z1194" s="31">
        <v>0</v>
      </c>
      <c r="AA1194" s="31">
        <v>0</v>
      </c>
      <c r="AB1194" s="31">
        <v>0</v>
      </c>
      <c r="AC1194" s="31">
        <f>ROUND(N1194*1.5%,2)</f>
        <v>18298.38</v>
      </c>
      <c r="AD1194" s="31">
        <v>120000</v>
      </c>
      <c r="AE1194" s="31">
        <v>0</v>
      </c>
      <c r="AF1194" s="33">
        <v>2022</v>
      </c>
      <c r="AG1194" s="33">
        <v>2022</v>
      </c>
      <c r="AH1194" s="34">
        <v>2022</v>
      </c>
      <c r="AT1194" s="20" t="e">
        <f t="shared" si="270"/>
        <v>#N/A</v>
      </c>
      <c r="BZ1194" s="64"/>
    </row>
    <row r="1195" spans="1:82" ht="61.5" x14ac:dyDescent="0.85">
      <c r="A1195" s="20">
        <v>1</v>
      </c>
      <c r="B1195" s="60">
        <f>SUBTOTAL(103,$A$1036:A1195)</f>
        <v>146</v>
      </c>
      <c r="C1195" s="101" t="s">
        <v>661</v>
      </c>
      <c r="D1195" s="31">
        <f t="shared" si="283"/>
        <v>3973325</v>
      </c>
      <c r="E1195" s="31">
        <v>0</v>
      </c>
      <c r="F1195" s="31">
        <v>0</v>
      </c>
      <c r="G1195" s="31">
        <v>0</v>
      </c>
      <c r="H1195" s="31">
        <v>0</v>
      </c>
      <c r="I1195" s="31">
        <v>0</v>
      </c>
      <c r="J1195" s="31">
        <v>0</v>
      </c>
      <c r="K1195" s="67">
        <v>0</v>
      </c>
      <c r="L1195" s="31">
        <v>0</v>
      </c>
      <c r="M1195" s="31">
        <v>850</v>
      </c>
      <c r="N1195" s="31">
        <v>3766822.66</v>
      </c>
      <c r="O1195" s="31">
        <v>0</v>
      </c>
      <c r="P1195" s="31">
        <v>0</v>
      </c>
      <c r="Q1195" s="31">
        <v>0</v>
      </c>
      <c r="R1195" s="31">
        <v>0</v>
      </c>
      <c r="S1195" s="31">
        <v>0</v>
      </c>
      <c r="T1195" s="31">
        <v>0</v>
      </c>
      <c r="U1195" s="31">
        <v>0</v>
      </c>
      <c r="V1195" s="31">
        <v>0</v>
      </c>
      <c r="W1195" s="31">
        <v>0</v>
      </c>
      <c r="X1195" s="31">
        <v>0</v>
      </c>
      <c r="Y1195" s="31">
        <v>0</v>
      </c>
      <c r="Z1195" s="31">
        <v>0</v>
      </c>
      <c r="AA1195" s="31">
        <v>0</v>
      </c>
      <c r="AB1195" s="31">
        <v>0</v>
      </c>
      <c r="AC1195" s="31">
        <f>ROUND(N1195*1.5%,2)</f>
        <v>56502.34</v>
      </c>
      <c r="AD1195" s="31">
        <v>150000</v>
      </c>
      <c r="AE1195" s="31">
        <v>0</v>
      </c>
      <c r="AF1195" s="33">
        <v>2022</v>
      </c>
      <c r="AG1195" s="33">
        <v>2022</v>
      </c>
      <c r="AH1195" s="34">
        <v>2022</v>
      </c>
      <c r="AT1195" s="20" t="e">
        <f t="shared" si="270"/>
        <v>#N/A</v>
      </c>
      <c r="BZ1195" s="64"/>
    </row>
    <row r="1196" spans="1:82" ht="61.5" x14ac:dyDescent="0.85">
      <c r="A1196" s="20">
        <v>1</v>
      </c>
      <c r="B1196" s="60">
        <f>SUBTOTAL(103,$A$1036:A1196)</f>
        <v>147</v>
      </c>
      <c r="C1196" s="101" t="s">
        <v>2275</v>
      </c>
      <c r="D1196" s="31">
        <f t="shared" si="283"/>
        <v>2687908</v>
      </c>
      <c r="E1196" s="31">
        <v>0</v>
      </c>
      <c r="F1196" s="31">
        <v>0</v>
      </c>
      <c r="G1196" s="31">
        <v>0</v>
      </c>
      <c r="H1196" s="31">
        <v>0</v>
      </c>
      <c r="I1196" s="31">
        <v>0</v>
      </c>
      <c r="J1196" s="31">
        <v>0</v>
      </c>
      <c r="K1196" s="67">
        <v>0</v>
      </c>
      <c r="L1196" s="31">
        <v>0</v>
      </c>
      <c r="M1196" s="31">
        <v>550.5</v>
      </c>
      <c r="N1196" s="31">
        <v>2500401.9700000002</v>
      </c>
      <c r="O1196" s="31">
        <v>0</v>
      </c>
      <c r="P1196" s="31">
        <v>0</v>
      </c>
      <c r="Q1196" s="31">
        <v>0</v>
      </c>
      <c r="R1196" s="31">
        <v>0</v>
      </c>
      <c r="S1196" s="31">
        <v>0</v>
      </c>
      <c r="T1196" s="31">
        <v>0</v>
      </c>
      <c r="U1196" s="31">
        <v>0</v>
      </c>
      <c r="V1196" s="31">
        <v>0</v>
      </c>
      <c r="W1196" s="31">
        <v>0</v>
      </c>
      <c r="X1196" s="31">
        <v>0</v>
      </c>
      <c r="Y1196" s="31">
        <v>0</v>
      </c>
      <c r="Z1196" s="31">
        <v>0</v>
      </c>
      <c r="AA1196" s="31">
        <v>0</v>
      </c>
      <c r="AB1196" s="31">
        <v>0</v>
      </c>
      <c r="AC1196" s="31">
        <f>ROUND(N1196*1.5%,2)</f>
        <v>37506.03</v>
      </c>
      <c r="AD1196" s="31">
        <v>150000</v>
      </c>
      <c r="AE1196" s="31">
        <v>0</v>
      </c>
      <c r="AF1196" s="33">
        <v>2022</v>
      </c>
      <c r="AG1196" s="33">
        <v>2022</v>
      </c>
      <c r="AH1196" s="34">
        <v>2022</v>
      </c>
      <c r="AT1196" s="20" t="e">
        <f t="shared" si="270"/>
        <v>#N/A</v>
      </c>
      <c r="BZ1196" s="64"/>
    </row>
    <row r="1197" spans="1:82" ht="61.5" x14ac:dyDescent="0.85">
      <c r="A1197" s="20">
        <v>1</v>
      </c>
      <c r="B1197" s="60">
        <f>SUBTOTAL(103,$A$1036:A1197)</f>
        <v>148</v>
      </c>
      <c r="C1197" s="101" t="s">
        <v>669</v>
      </c>
      <c r="D1197" s="31">
        <f t="shared" si="283"/>
        <v>5240868.3999999994</v>
      </c>
      <c r="E1197" s="31">
        <v>0</v>
      </c>
      <c r="F1197" s="31">
        <v>0</v>
      </c>
      <c r="G1197" s="31">
        <v>0</v>
      </c>
      <c r="H1197" s="31">
        <v>0</v>
      </c>
      <c r="I1197" s="31">
        <v>0</v>
      </c>
      <c r="J1197" s="31">
        <v>0</v>
      </c>
      <c r="K1197" s="67">
        <v>0</v>
      </c>
      <c r="L1197" s="31">
        <v>0</v>
      </c>
      <c r="M1197" s="31">
        <v>950</v>
      </c>
      <c r="N1197" s="31">
        <v>5015633.8899999997</v>
      </c>
      <c r="O1197" s="31">
        <v>0</v>
      </c>
      <c r="P1197" s="31">
        <v>0</v>
      </c>
      <c r="Q1197" s="31">
        <v>0</v>
      </c>
      <c r="R1197" s="31">
        <v>0</v>
      </c>
      <c r="S1197" s="31">
        <v>0</v>
      </c>
      <c r="T1197" s="31">
        <v>0</v>
      </c>
      <c r="U1197" s="31">
        <v>0</v>
      </c>
      <c r="V1197" s="31">
        <v>0</v>
      </c>
      <c r="W1197" s="31">
        <v>0</v>
      </c>
      <c r="X1197" s="31">
        <v>0</v>
      </c>
      <c r="Y1197" s="31">
        <v>0</v>
      </c>
      <c r="Z1197" s="31">
        <v>0</v>
      </c>
      <c r="AA1197" s="31">
        <v>0</v>
      </c>
      <c r="AB1197" s="31">
        <v>0</v>
      </c>
      <c r="AC1197" s="31">
        <f>ROUND(N1197*1.5%,2)</f>
        <v>75234.509999999995</v>
      </c>
      <c r="AD1197" s="31">
        <v>150000</v>
      </c>
      <c r="AE1197" s="31">
        <v>0</v>
      </c>
      <c r="AF1197" s="33">
        <v>2022</v>
      </c>
      <c r="AG1197" s="33">
        <v>2022</v>
      </c>
      <c r="AH1197" s="34">
        <v>2022</v>
      </c>
      <c r="AT1197" s="20">
        <f t="shared" si="270"/>
        <v>1</v>
      </c>
      <c r="BZ1197" s="64"/>
    </row>
    <row r="1198" spans="1:82" ht="61.5" x14ac:dyDescent="0.85">
      <c r="A1198" s="20">
        <v>1</v>
      </c>
      <c r="B1198" s="60">
        <f>SUBTOTAL(103,$A$1036:A1198)</f>
        <v>149</v>
      </c>
      <c r="C1198" s="101" t="s">
        <v>1949</v>
      </c>
      <c r="D1198" s="31">
        <f t="shared" si="283"/>
        <v>1382465.05</v>
      </c>
      <c r="E1198" s="31">
        <v>0</v>
      </c>
      <c r="F1198" s="31">
        <v>0</v>
      </c>
      <c r="G1198" s="31">
        <v>0</v>
      </c>
      <c r="H1198" s="31">
        <v>0</v>
      </c>
      <c r="I1198" s="31">
        <v>0</v>
      </c>
      <c r="J1198" s="31">
        <v>0</v>
      </c>
      <c r="K1198" s="67">
        <v>0</v>
      </c>
      <c r="L1198" s="31">
        <v>0</v>
      </c>
      <c r="M1198" s="31">
        <v>296</v>
      </c>
      <c r="N1198" s="31">
        <v>1243807.93</v>
      </c>
      <c r="O1198" s="31">
        <v>0</v>
      </c>
      <c r="P1198" s="31">
        <v>0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0</v>
      </c>
      <c r="W1198" s="31">
        <v>0</v>
      </c>
      <c r="X1198" s="31">
        <v>0</v>
      </c>
      <c r="Y1198" s="31">
        <v>0</v>
      </c>
      <c r="Z1198" s="31">
        <v>0</v>
      </c>
      <c r="AA1198" s="31">
        <v>0</v>
      </c>
      <c r="AB1198" s="31">
        <v>0</v>
      </c>
      <c r="AC1198" s="31">
        <f>ROUND(N1198*1.5%,2)</f>
        <v>18657.12</v>
      </c>
      <c r="AD1198" s="31">
        <v>120000</v>
      </c>
      <c r="AE1198" s="31">
        <v>0</v>
      </c>
      <c r="AF1198" s="33">
        <v>2022</v>
      </c>
      <c r="AG1198" s="33">
        <v>2022</v>
      </c>
      <c r="AH1198" s="34">
        <v>2022</v>
      </c>
      <c r="AT1198" s="20" t="e">
        <f t="shared" si="270"/>
        <v>#N/A</v>
      </c>
      <c r="BZ1198" s="64"/>
      <c r="CD1198" s="20" t="e">
        <f>VLOOKUP(C1198,CE:CF,2,FALSE)</f>
        <v>#N/A</v>
      </c>
    </row>
    <row r="1199" spans="1:82" ht="61.5" x14ac:dyDescent="0.85">
      <c r="A1199" s="20">
        <v>1</v>
      </c>
      <c r="B1199" s="60">
        <f>SUBTOTAL(103,$A$1036:A1199)</f>
        <v>150</v>
      </c>
      <c r="C1199" s="24" t="s">
        <v>2444</v>
      </c>
      <c r="D1199" s="31">
        <f t="shared" si="283"/>
        <v>4496606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67">
        <v>0</v>
      </c>
      <c r="L1199" s="31">
        <v>0</v>
      </c>
      <c r="M1199" s="31">
        <v>923.1</v>
      </c>
      <c r="N1199" s="31">
        <v>4311927.09</v>
      </c>
      <c r="O1199" s="31">
        <v>0</v>
      </c>
      <c r="P1199" s="31">
        <v>0</v>
      </c>
      <c r="Q1199" s="31">
        <v>0</v>
      </c>
      <c r="R1199" s="31">
        <v>0</v>
      </c>
      <c r="S1199" s="31">
        <v>0</v>
      </c>
      <c r="T1199" s="31">
        <v>0</v>
      </c>
      <c r="U1199" s="31">
        <v>0</v>
      </c>
      <c r="V1199" s="31">
        <v>0</v>
      </c>
      <c r="W1199" s="31">
        <v>0</v>
      </c>
      <c r="X1199" s="31">
        <v>0</v>
      </c>
      <c r="Y1199" s="31">
        <v>0</v>
      </c>
      <c r="Z1199" s="31">
        <v>0</v>
      </c>
      <c r="AA1199" s="31">
        <v>0</v>
      </c>
      <c r="AB1199" s="31">
        <v>0</v>
      </c>
      <c r="AC1199" s="31">
        <f t="shared" ref="AC1199" si="284">ROUND(N1199*1.5%,2)</f>
        <v>64678.91</v>
      </c>
      <c r="AD1199" s="31">
        <v>120000</v>
      </c>
      <c r="AE1199" s="31">
        <v>0</v>
      </c>
      <c r="AF1199" s="33">
        <v>2022</v>
      </c>
      <c r="AG1199" s="33">
        <v>2022</v>
      </c>
      <c r="AH1199" s="34">
        <v>2022</v>
      </c>
      <c r="AT1199" s="20" t="e">
        <f t="shared" si="270"/>
        <v>#N/A</v>
      </c>
      <c r="BZ1199" s="64"/>
      <c r="CD1199" s="20" t="e">
        <f>VLOOKUP(C1199,CE:CF,2,FALSE)</f>
        <v>#N/A</v>
      </c>
    </row>
    <row r="1200" spans="1:82" ht="61.5" x14ac:dyDescent="0.85">
      <c r="B1200" s="24" t="s">
        <v>824</v>
      </c>
      <c r="C1200" s="198"/>
      <c r="D1200" s="199">
        <f>SUM(D1201:D1203)</f>
        <v>13813074.67</v>
      </c>
      <c r="E1200" s="31">
        <f t="shared" ref="E1200:AE1200" si="285">SUM(E1201:E1203)</f>
        <v>0</v>
      </c>
      <c r="F1200" s="31">
        <f t="shared" si="285"/>
        <v>0</v>
      </c>
      <c r="G1200" s="31">
        <f t="shared" si="285"/>
        <v>0</v>
      </c>
      <c r="H1200" s="31">
        <f t="shared" si="285"/>
        <v>0</v>
      </c>
      <c r="I1200" s="31">
        <f t="shared" si="285"/>
        <v>0</v>
      </c>
      <c r="J1200" s="31">
        <f t="shared" si="285"/>
        <v>0</v>
      </c>
      <c r="K1200" s="67">
        <f t="shared" si="285"/>
        <v>0</v>
      </c>
      <c r="L1200" s="31">
        <f t="shared" si="285"/>
        <v>0</v>
      </c>
      <c r="M1200" s="31">
        <f t="shared" si="285"/>
        <v>2469</v>
      </c>
      <c r="N1200" s="31">
        <f t="shared" si="285"/>
        <v>12080689.66</v>
      </c>
      <c r="O1200" s="31">
        <f t="shared" si="285"/>
        <v>0</v>
      </c>
      <c r="P1200" s="31">
        <f t="shared" si="285"/>
        <v>0</v>
      </c>
      <c r="Q1200" s="31">
        <f t="shared" si="285"/>
        <v>0</v>
      </c>
      <c r="R1200" s="31">
        <f t="shared" si="285"/>
        <v>0</v>
      </c>
      <c r="S1200" s="31">
        <f t="shared" si="285"/>
        <v>114</v>
      </c>
      <c r="T1200" s="31">
        <f t="shared" si="285"/>
        <v>966674.55</v>
      </c>
      <c r="U1200" s="31">
        <f t="shared" si="285"/>
        <v>0</v>
      </c>
      <c r="V1200" s="31">
        <f t="shared" si="285"/>
        <v>0</v>
      </c>
      <c r="W1200" s="31">
        <f t="shared" si="285"/>
        <v>0</v>
      </c>
      <c r="X1200" s="31">
        <f t="shared" si="285"/>
        <v>0</v>
      </c>
      <c r="Y1200" s="31">
        <f t="shared" si="285"/>
        <v>0</v>
      </c>
      <c r="Z1200" s="31">
        <f t="shared" si="285"/>
        <v>0</v>
      </c>
      <c r="AA1200" s="31">
        <f t="shared" si="285"/>
        <v>0</v>
      </c>
      <c r="AB1200" s="31">
        <f t="shared" si="285"/>
        <v>0</v>
      </c>
      <c r="AC1200" s="31">
        <f t="shared" si="285"/>
        <v>195710.46</v>
      </c>
      <c r="AD1200" s="31">
        <f t="shared" si="285"/>
        <v>450000</v>
      </c>
      <c r="AE1200" s="31">
        <f t="shared" si="285"/>
        <v>120000</v>
      </c>
      <c r="AF1200" s="65" t="s">
        <v>751</v>
      </c>
      <c r="AG1200" s="65" t="s">
        <v>751</v>
      </c>
      <c r="AH1200" s="79" t="s">
        <v>751</v>
      </c>
      <c r="AT1200" s="20" t="e">
        <f t="shared" si="270"/>
        <v>#N/A</v>
      </c>
      <c r="BZ1200" s="64">
        <v>12591900</v>
      </c>
    </row>
    <row r="1201" spans="1:82" ht="61.5" x14ac:dyDescent="0.85">
      <c r="A1201" s="20">
        <v>1</v>
      </c>
      <c r="B1201" s="60">
        <f>SUBTOTAL(103,$A$1036:A1201)</f>
        <v>151</v>
      </c>
      <c r="C1201" s="101" t="s">
        <v>234</v>
      </c>
      <c r="D1201" s="31">
        <f>E1201+F1201+G1201+H1201+I1201+J1201+L1201+N1201+P1201+R1201+T1201+U1201+V1201+W1201+X1201+Y1201+Z1201+AA1201+AB1201+AC1201+AD1201+AE1201</f>
        <v>4620600</v>
      </c>
      <c r="E1201" s="31">
        <v>0</v>
      </c>
      <c r="F1201" s="31">
        <v>0</v>
      </c>
      <c r="G1201" s="31">
        <v>0</v>
      </c>
      <c r="H1201" s="31">
        <v>0</v>
      </c>
      <c r="I1201" s="31">
        <v>0</v>
      </c>
      <c r="J1201" s="31">
        <v>0</v>
      </c>
      <c r="K1201" s="67">
        <v>0</v>
      </c>
      <c r="L1201" s="31">
        <v>0</v>
      </c>
      <c r="M1201" s="31">
        <v>906</v>
      </c>
      <c r="N1201" s="31">
        <v>4404532.0199999996</v>
      </c>
      <c r="O1201" s="31">
        <v>0</v>
      </c>
      <c r="P1201" s="31">
        <v>0</v>
      </c>
      <c r="Q1201" s="31">
        <v>0</v>
      </c>
      <c r="R1201" s="31">
        <v>0</v>
      </c>
      <c r="S1201" s="31">
        <v>0</v>
      </c>
      <c r="T1201" s="31">
        <v>0</v>
      </c>
      <c r="U1201" s="31">
        <v>0</v>
      </c>
      <c r="V1201" s="31">
        <v>0</v>
      </c>
      <c r="W1201" s="31">
        <v>0</v>
      </c>
      <c r="X1201" s="31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f>ROUND(N1201*1.5%,2)</f>
        <v>66067.98</v>
      </c>
      <c r="AD1201" s="31">
        <v>150000</v>
      </c>
      <c r="AE1201" s="31">
        <v>0</v>
      </c>
      <c r="AF1201" s="33">
        <v>2022</v>
      </c>
      <c r="AG1201" s="33">
        <v>2022</v>
      </c>
      <c r="AH1201" s="34">
        <v>2022</v>
      </c>
      <c r="AT1201" s="20" t="e">
        <f t="shared" si="270"/>
        <v>#N/A</v>
      </c>
      <c r="BZ1201" s="64"/>
    </row>
    <row r="1202" spans="1:82" ht="61.5" x14ac:dyDescent="0.85">
      <c r="A1202" s="20">
        <v>1</v>
      </c>
      <c r="B1202" s="60">
        <f>SUBTOTAL(103,$A$1036:A1202)</f>
        <v>152</v>
      </c>
      <c r="C1202" s="24" t="s">
        <v>1606</v>
      </c>
      <c r="D1202" s="31">
        <f>E1202+F1202+G1202+H1202+I1202+J1202+L1202+N1202+P1202+R1202+T1202+U1202+V1202+W1202+X1202+Y1202+Z1202+AA1202+AB1202+AC1202+AD1202+AE1202</f>
        <v>1221174.67</v>
      </c>
      <c r="E1202" s="31">
        <v>0</v>
      </c>
      <c r="F1202" s="31">
        <v>0</v>
      </c>
      <c r="G1202" s="31">
        <v>0</v>
      </c>
      <c r="H1202" s="31">
        <v>0</v>
      </c>
      <c r="I1202" s="31">
        <v>0</v>
      </c>
      <c r="J1202" s="31">
        <v>0</v>
      </c>
      <c r="K1202" s="67">
        <v>0</v>
      </c>
      <c r="L1202" s="31">
        <v>0</v>
      </c>
      <c r="M1202" s="31">
        <v>0</v>
      </c>
      <c r="N1202" s="31">
        <v>0</v>
      </c>
      <c r="O1202" s="31">
        <v>0</v>
      </c>
      <c r="P1202" s="31">
        <v>0</v>
      </c>
      <c r="Q1202" s="31">
        <v>0</v>
      </c>
      <c r="R1202" s="31">
        <v>0</v>
      </c>
      <c r="S1202" s="31">
        <v>114</v>
      </c>
      <c r="T1202" s="31">
        <v>966674.55</v>
      </c>
      <c r="U1202" s="31">
        <v>0</v>
      </c>
      <c r="V1202" s="31">
        <v>0</v>
      </c>
      <c r="W1202" s="31">
        <v>0</v>
      </c>
      <c r="X1202" s="31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f>ROUND(T1202*1.5%,2)</f>
        <v>14500.12</v>
      </c>
      <c r="AD1202" s="31">
        <v>120000</v>
      </c>
      <c r="AE1202" s="31">
        <v>120000</v>
      </c>
      <c r="AF1202" s="33">
        <v>2022</v>
      </c>
      <c r="AG1202" s="33">
        <v>2022</v>
      </c>
      <c r="AH1202" s="34">
        <v>2022</v>
      </c>
      <c r="BZ1202" s="64"/>
      <c r="CD1202" s="20" t="e">
        <f>VLOOKUP(C1202,CE:CF,2,FALSE)</f>
        <v>#N/A</v>
      </c>
    </row>
    <row r="1203" spans="1:82" ht="61.5" x14ac:dyDescent="0.85">
      <c r="A1203" s="20">
        <v>1</v>
      </c>
      <c r="B1203" s="60">
        <f>SUBTOTAL(103,$A$1036:A1203)</f>
        <v>153</v>
      </c>
      <c r="C1203" s="101" t="s">
        <v>238</v>
      </c>
      <c r="D1203" s="31">
        <f>E1203+F1203+G1203+H1203+I1203+J1203+L1203+N1203+P1203+R1203+T1203+U1203+V1203+W1203+X1203+Y1203+Z1203+AA1203+AB1203+AC1203+AD1203+AE1203</f>
        <v>7971300</v>
      </c>
      <c r="E1203" s="31">
        <v>0</v>
      </c>
      <c r="F1203" s="31">
        <v>0</v>
      </c>
      <c r="G1203" s="31">
        <v>0</v>
      </c>
      <c r="H1203" s="31">
        <v>0</v>
      </c>
      <c r="I1203" s="31">
        <v>0</v>
      </c>
      <c r="J1203" s="31">
        <v>0</v>
      </c>
      <c r="K1203" s="67">
        <v>0</v>
      </c>
      <c r="L1203" s="31">
        <v>0</v>
      </c>
      <c r="M1203" s="31">
        <v>1563</v>
      </c>
      <c r="N1203" s="31">
        <v>7676157.6399999997</v>
      </c>
      <c r="O1203" s="31">
        <v>0</v>
      </c>
      <c r="P1203" s="31">
        <v>0</v>
      </c>
      <c r="Q1203" s="31">
        <v>0</v>
      </c>
      <c r="R1203" s="31">
        <v>0</v>
      </c>
      <c r="S1203" s="31">
        <v>0</v>
      </c>
      <c r="T1203" s="31">
        <v>0</v>
      </c>
      <c r="U1203" s="31">
        <v>0</v>
      </c>
      <c r="V1203" s="31">
        <v>0</v>
      </c>
      <c r="W1203" s="31">
        <v>0</v>
      </c>
      <c r="X1203" s="31">
        <v>0</v>
      </c>
      <c r="Y1203" s="31">
        <v>0</v>
      </c>
      <c r="Z1203" s="31">
        <v>0</v>
      </c>
      <c r="AA1203" s="31">
        <v>0</v>
      </c>
      <c r="AB1203" s="31">
        <v>0</v>
      </c>
      <c r="AC1203" s="31">
        <f>ROUND(N1203*1.5%,2)</f>
        <v>115142.36</v>
      </c>
      <c r="AD1203" s="31">
        <v>180000</v>
      </c>
      <c r="AE1203" s="31">
        <v>0</v>
      </c>
      <c r="AF1203" s="33">
        <v>2022</v>
      </c>
      <c r="AG1203" s="33">
        <v>2022</v>
      </c>
      <c r="AH1203" s="34">
        <v>2022</v>
      </c>
      <c r="AT1203" s="20" t="e">
        <f t="shared" ref="AT1203:AT1227" si="286">VLOOKUP(C1203,AW:AX,2,FALSE)</f>
        <v>#N/A</v>
      </c>
      <c r="BZ1203" s="64"/>
    </row>
    <row r="1204" spans="1:82" ht="61.5" x14ac:dyDescent="0.85">
      <c r="B1204" s="24" t="s">
        <v>825</v>
      </c>
      <c r="C1204" s="24"/>
      <c r="D1204" s="199">
        <f>D1205</f>
        <v>1724820</v>
      </c>
      <c r="E1204" s="31">
        <f t="shared" ref="E1204:AE1204" si="287">E1205</f>
        <v>0</v>
      </c>
      <c r="F1204" s="31">
        <f t="shared" si="287"/>
        <v>0</v>
      </c>
      <c r="G1204" s="31">
        <f t="shared" si="287"/>
        <v>0</v>
      </c>
      <c r="H1204" s="31">
        <f t="shared" si="287"/>
        <v>0</v>
      </c>
      <c r="I1204" s="31">
        <f t="shared" si="287"/>
        <v>0</v>
      </c>
      <c r="J1204" s="31">
        <f t="shared" si="287"/>
        <v>0</v>
      </c>
      <c r="K1204" s="67">
        <f t="shared" si="287"/>
        <v>0</v>
      </c>
      <c r="L1204" s="31">
        <f t="shared" si="287"/>
        <v>0</v>
      </c>
      <c r="M1204" s="31">
        <f t="shared" si="287"/>
        <v>338.2</v>
      </c>
      <c r="N1204" s="31">
        <f t="shared" si="287"/>
        <v>1581103.45</v>
      </c>
      <c r="O1204" s="31">
        <f t="shared" si="287"/>
        <v>0</v>
      </c>
      <c r="P1204" s="31">
        <f t="shared" si="287"/>
        <v>0</v>
      </c>
      <c r="Q1204" s="31">
        <f t="shared" si="287"/>
        <v>0</v>
      </c>
      <c r="R1204" s="31">
        <f t="shared" si="287"/>
        <v>0</v>
      </c>
      <c r="S1204" s="31">
        <f t="shared" si="287"/>
        <v>0</v>
      </c>
      <c r="T1204" s="31">
        <f t="shared" si="287"/>
        <v>0</v>
      </c>
      <c r="U1204" s="31">
        <f t="shared" si="287"/>
        <v>0</v>
      </c>
      <c r="V1204" s="31">
        <f t="shared" si="287"/>
        <v>0</v>
      </c>
      <c r="W1204" s="31">
        <f t="shared" si="287"/>
        <v>0</v>
      </c>
      <c r="X1204" s="31">
        <f t="shared" si="287"/>
        <v>0</v>
      </c>
      <c r="Y1204" s="31">
        <f t="shared" si="287"/>
        <v>0</v>
      </c>
      <c r="Z1204" s="31">
        <f t="shared" si="287"/>
        <v>0</v>
      </c>
      <c r="AA1204" s="31">
        <f t="shared" si="287"/>
        <v>0</v>
      </c>
      <c r="AB1204" s="31">
        <f t="shared" si="287"/>
        <v>0</v>
      </c>
      <c r="AC1204" s="31">
        <f t="shared" si="287"/>
        <v>23716.55</v>
      </c>
      <c r="AD1204" s="31">
        <f t="shared" si="287"/>
        <v>120000</v>
      </c>
      <c r="AE1204" s="31">
        <f t="shared" si="287"/>
        <v>0</v>
      </c>
      <c r="AF1204" s="65" t="s">
        <v>751</v>
      </c>
      <c r="AG1204" s="65" t="s">
        <v>751</v>
      </c>
      <c r="AH1204" s="79" t="s">
        <v>751</v>
      </c>
      <c r="AT1204" s="20" t="e">
        <f t="shared" si="286"/>
        <v>#N/A</v>
      </c>
      <c r="BZ1204" s="64">
        <v>1724820</v>
      </c>
    </row>
    <row r="1205" spans="1:82" ht="61.5" x14ac:dyDescent="0.85">
      <c r="A1205" s="20">
        <v>1</v>
      </c>
      <c r="B1205" s="60">
        <f>SUBTOTAL(103,$A$1036:A1205)</f>
        <v>154</v>
      </c>
      <c r="C1205" s="101" t="s">
        <v>243</v>
      </c>
      <c r="D1205" s="31">
        <f>E1205+F1205+G1205+H1205+I1205+J1205+L1205+N1205+P1205+R1205+T1205+U1205+V1205+W1205+X1205+Y1205+Z1205+AA1205+AB1205+AC1205+AD1205+AE1205</f>
        <v>1724820</v>
      </c>
      <c r="E1205" s="31">
        <v>0</v>
      </c>
      <c r="F1205" s="31">
        <v>0</v>
      </c>
      <c r="G1205" s="31">
        <v>0</v>
      </c>
      <c r="H1205" s="31">
        <v>0</v>
      </c>
      <c r="I1205" s="31">
        <v>0</v>
      </c>
      <c r="J1205" s="31">
        <v>0</v>
      </c>
      <c r="K1205" s="67">
        <v>0</v>
      </c>
      <c r="L1205" s="31">
        <v>0</v>
      </c>
      <c r="M1205" s="31">
        <v>338.2</v>
      </c>
      <c r="N1205" s="31">
        <v>1581103.45</v>
      </c>
      <c r="O1205" s="31">
        <v>0</v>
      </c>
      <c r="P1205" s="31">
        <v>0</v>
      </c>
      <c r="Q1205" s="31">
        <v>0</v>
      </c>
      <c r="R1205" s="31">
        <v>0</v>
      </c>
      <c r="S1205" s="31">
        <v>0</v>
      </c>
      <c r="T1205" s="31">
        <v>0</v>
      </c>
      <c r="U1205" s="31">
        <v>0</v>
      </c>
      <c r="V1205" s="31">
        <v>0</v>
      </c>
      <c r="W1205" s="31">
        <v>0</v>
      </c>
      <c r="X1205" s="31">
        <v>0</v>
      </c>
      <c r="Y1205" s="31">
        <v>0</v>
      </c>
      <c r="Z1205" s="31">
        <v>0</v>
      </c>
      <c r="AA1205" s="31">
        <v>0</v>
      </c>
      <c r="AB1205" s="31">
        <v>0</v>
      </c>
      <c r="AC1205" s="31">
        <f>ROUND(N1205*1.5%,2)</f>
        <v>23716.55</v>
      </c>
      <c r="AD1205" s="31">
        <v>120000</v>
      </c>
      <c r="AE1205" s="31">
        <v>0</v>
      </c>
      <c r="AF1205" s="33">
        <v>2022</v>
      </c>
      <c r="AG1205" s="33">
        <v>2022</v>
      </c>
      <c r="AH1205" s="34">
        <v>2022</v>
      </c>
      <c r="AT1205" s="20" t="e">
        <f t="shared" si="286"/>
        <v>#N/A</v>
      </c>
      <c r="BZ1205" s="64"/>
    </row>
    <row r="1206" spans="1:82" ht="61.5" x14ac:dyDescent="0.85">
      <c r="B1206" s="24" t="s">
        <v>826</v>
      </c>
      <c r="C1206" s="24"/>
      <c r="D1206" s="199">
        <f>D1207</f>
        <v>1739107.3499999999</v>
      </c>
      <c r="E1206" s="31">
        <f t="shared" ref="E1206:AE1206" si="288">E1207</f>
        <v>0</v>
      </c>
      <c r="F1206" s="31">
        <f t="shared" si="288"/>
        <v>0</v>
      </c>
      <c r="G1206" s="31">
        <f t="shared" si="288"/>
        <v>0</v>
      </c>
      <c r="H1206" s="31">
        <f t="shared" si="288"/>
        <v>0</v>
      </c>
      <c r="I1206" s="31">
        <f t="shared" si="288"/>
        <v>0</v>
      </c>
      <c r="J1206" s="31">
        <f t="shared" si="288"/>
        <v>0</v>
      </c>
      <c r="K1206" s="67">
        <f t="shared" si="288"/>
        <v>0</v>
      </c>
      <c r="L1206" s="31">
        <f t="shared" si="288"/>
        <v>0</v>
      </c>
      <c r="M1206" s="31">
        <f t="shared" si="288"/>
        <v>0</v>
      </c>
      <c r="N1206" s="31">
        <f t="shared" si="288"/>
        <v>0</v>
      </c>
      <c r="O1206" s="31">
        <f t="shared" si="288"/>
        <v>0</v>
      </c>
      <c r="P1206" s="31">
        <f t="shared" si="288"/>
        <v>0</v>
      </c>
      <c r="Q1206" s="31">
        <f t="shared" si="288"/>
        <v>568.70000000000005</v>
      </c>
      <c r="R1206" s="31">
        <f t="shared" si="288"/>
        <v>1585327.44</v>
      </c>
      <c r="S1206" s="31">
        <f t="shared" si="288"/>
        <v>0</v>
      </c>
      <c r="T1206" s="31">
        <f t="shared" si="288"/>
        <v>0</v>
      </c>
      <c r="U1206" s="31">
        <f t="shared" si="288"/>
        <v>0</v>
      </c>
      <c r="V1206" s="31">
        <f t="shared" si="288"/>
        <v>0</v>
      </c>
      <c r="W1206" s="31">
        <f t="shared" si="288"/>
        <v>0</v>
      </c>
      <c r="X1206" s="31">
        <f t="shared" si="288"/>
        <v>0</v>
      </c>
      <c r="Y1206" s="31">
        <f t="shared" si="288"/>
        <v>0</v>
      </c>
      <c r="Z1206" s="31">
        <f t="shared" si="288"/>
        <v>0</v>
      </c>
      <c r="AA1206" s="31">
        <f t="shared" si="288"/>
        <v>0</v>
      </c>
      <c r="AB1206" s="31">
        <f t="shared" si="288"/>
        <v>0</v>
      </c>
      <c r="AC1206" s="31">
        <f t="shared" si="288"/>
        <v>23779.91</v>
      </c>
      <c r="AD1206" s="31">
        <f t="shared" si="288"/>
        <v>130000</v>
      </c>
      <c r="AE1206" s="31">
        <f t="shared" si="288"/>
        <v>0</v>
      </c>
      <c r="AF1206" s="65" t="s">
        <v>751</v>
      </c>
      <c r="AG1206" s="65" t="s">
        <v>751</v>
      </c>
      <c r="AH1206" s="79" t="s">
        <v>751</v>
      </c>
      <c r="AT1206" s="20" t="e">
        <f t="shared" si="286"/>
        <v>#N/A</v>
      </c>
      <c r="BZ1206" s="64">
        <v>1739107.3499999999</v>
      </c>
    </row>
    <row r="1207" spans="1:82" ht="61.5" x14ac:dyDescent="0.85">
      <c r="A1207" s="20">
        <v>1</v>
      </c>
      <c r="B1207" s="60">
        <f>SUBTOTAL(103,$A$1036:A1207)</f>
        <v>155</v>
      </c>
      <c r="C1207" s="101" t="s">
        <v>245</v>
      </c>
      <c r="D1207" s="31">
        <f>E1207+F1207+G1207+H1207+I1207+J1207+L1207+N1207+P1207+R1207+T1207+U1207+V1207+W1207+X1207+Y1207+Z1207+AA1207+AB1207+AC1207+AD1207+AE1207</f>
        <v>1739107.3499999999</v>
      </c>
      <c r="E1207" s="31">
        <v>0</v>
      </c>
      <c r="F1207" s="31">
        <v>0</v>
      </c>
      <c r="G1207" s="31">
        <v>0</v>
      </c>
      <c r="H1207" s="31">
        <v>0</v>
      </c>
      <c r="I1207" s="31">
        <v>0</v>
      </c>
      <c r="J1207" s="31">
        <v>0</v>
      </c>
      <c r="K1207" s="67">
        <v>0</v>
      </c>
      <c r="L1207" s="31">
        <v>0</v>
      </c>
      <c r="M1207" s="31">
        <v>0</v>
      </c>
      <c r="N1207" s="31">
        <v>0</v>
      </c>
      <c r="O1207" s="31">
        <v>0</v>
      </c>
      <c r="P1207" s="31">
        <v>0</v>
      </c>
      <c r="Q1207" s="31">
        <v>568.70000000000005</v>
      </c>
      <c r="R1207" s="31">
        <v>1585327.44</v>
      </c>
      <c r="S1207" s="31">
        <v>0</v>
      </c>
      <c r="T1207" s="31">
        <v>0</v>
      </c>
      <c r="U1207" s="31">
        <v>0</v>
      </c>
      <c r="V1207" s="31">
        <v>0</v>
      </c>
      <c r="W1207" s="31">
        <v>0</v>
      </c>
      <c r="X1207" s="31">
        <v>0</v>
      </c>
      <c r="Y1207" s="31">
        <v>0</v>
      </c>
      <c r="Z1207" s="31">
        <v>0</v>
      </c>
      <c r="AA1207" s="31">
        <v>0</v>
      </c>
      <c r="AB1207" s="31">
        <v>0</v>
      </c>
      <c r="AC1207" s="31">
        <f>ROUND(R1207*1.5%,2)</f>
        <v>23779.91</v>
      </c>
      <c r="AD1207" s="31">
        <v>130000</v>
      </c>
      <c r="AE1207" s="31">
        <v>0</v>
      </c>
      <c r="AF1207" s="33">
        <v>2022</v>
      </c>
      <c r="AG1207" s="33">
        <v>2022</v>
      </c>
      <c r="AH1207" s="34">
        <v>2022</v>
      </c>
      <c r="AT1207" s="20" t="e">
        <f t="shared" si="286"/>
        <v>#N/A</v>
      </c>
      <c r="BZ1207" s="64"/>
    </row>
    <row r="1208" spans="1:82" ht="61.5" x14ac:dyDescent="0.85">
      <c r="B1208" s="24" t="s">
        <v>885</v>
      </c>
      <c r="C1208" s="203"/>
      <c r="D1208" s="199">
        <f>D1209</f>
        <v>3373804.98</v>
      </c>
      <c r="E1208" s="31">
        <f t="shared" ref="E1208:AE1208" si="289">E1209</f>
        <v>0</v>
      </c>
      <c r="F1208" s="31">
        <f t="shared" si="289"/>
        <v>0</v>
      </c>
      <c r="G1208" s="31">
        <f t="shared" si="289"/>
        <v>0</v>
      </c>
      <c r="H1208" s="31">
        <f t="shared" si="289"/>
        <v>0</v>
      </c>
      <c r="I1208" s="31">
        <f t="shared" si="289"/>
        <v>0</v>
      </c>
      <c r="J1208" s="31">
        <f t="shared" si="289"/>
        <v>0</v>
      </c>
      <c r="K1208" s="67">
        <f t="shared" si="289"/>
        <v>0</v>
      </c>
      <c r="L1208" s="31">
        <f t="shared" si="289"/>
        <v>0</v>
      </c>
      <c r="M1208" s="31">
        <f t="shared" si="289"/>
        <v>646.1</v>
      </c>
      <c r="N1208" s="31">
        <f t="shared" si="289"/>
        <v>3176162.54</v>
      </c>
      <c r="O1208" s="31">
        <f t="shared" si="289"/>
        <v>0</v>
      </c>
      <c r="P1208" s="31">
        <f t="shared" si="289"/>
        <v>0</v>
      </c>
      <c r="Q1208" s="31">
        <f t="shared" si="289"/>
        <v>0</v>
      </c>
      <c r="R1208" s="31">
        <f t="shared" si="289"/>
        <v>0</v>
      </c>
      <c r="S1208" s="31">
        <f t="shared" si="289"/>
        <v>0</v>
      </c>
      <c r="T1208" s="31">
        <f t="shared" si="289"/>
        <v>0</v>
      </c>
      <c r="U1208" s="31">
        <f t="shared" si="289"/>
        <v>0</v>
      </c>
      <c r="V1208" s="31">
        <f t="shared" si="289"/>
        <v>0</v>
      </c>
      <c r="W1208" s="31">
        <f t="shared" si="289"/>
        <v>0</v>
      </c>
      <c r="X1208" s="31">
        <f t="shared" si="289"/>
        <v>0</v>
      </c>
      <c r="Y1208" s="31">
        <f t="shared" si="289"/>
        <v>0</v>
      </c>
      <c r="Z1208" s="31">
        <f t="shared" si="289"/>
        <v>0</v>
      </c>
      <c r="AA1208" s="31">
        <f t="shared" si="289"/>
        <v>0</v>
      </c>
      <c r="AB1208" s="31">
        <f t="shared" si="289"/>
        <v>0</v>
      </c>
      <c r="AC1208" s="31">
        <f t="shared" si="289"/>
        <v>47642.44</v>
      </c>
      <c r="AD1208" s="31">
        <f t="shared" si="289"/>
        <v>150000</v>
      </c>
      <c r="AE1208" s="31">
        <f t="shared" si="289"/>
        <v>0</v>
      </c>
      <c r="AF1208" s="65" t="s">
        <v>751</v>
      </c>
      <c r="AG1208" s="65" t="s">
        <v>751</v>
      </c>
      <c r="AH1208" s="79" t="s">
        <v>751</v>
      </c>
      <c r="AT1208" s="20" t="e">
        <f t="shared" si="286"/>
        <v>#N/A</v>
      </c>
      <c r="BZ1208" s="64">
        <v>3373804.98</v>
      </c>
    </row>
    <row r="1209" spans="1:82" ht="61.5" x14ac:dyDescent="0.85">
      <c r="A1209" s="20">
        <v>1</v>
      </c>
      <c r="B1209" s="60">
        <f>SUBTOTAL(103,$A$1036:A1209)</f>
        <v>156</v>
      </c>
      <c r="C1209" s="101" t="s">
        <v>4</v>
      </c>
      <c r="D1209" s="31">
        <f>E1209+F1209+G1209+H1209+I1209+J1209+L1209+N1209+P1209+R1209+T1209+U1209+V1209+W1209+X1209+Y1209+Z1209+AA1209+AB1209+AC1209+AD1209+AE1209</f>
        <v>3373804.98</v>
      </c>
      <c r="E1209" s="31">
        <v>0</v>
      </c>
      <c r="F1209" s="31">
        <v>0</v>
      </c>
      <c r="G1209" s="31">
        <v>0</v>
      </c>
      <c r="H1209" s="31">
        <v>0</v>
      </c>
      <c r="I1209" s="31">
        <v>0</v>
      </c>
      <c r="J1209" s="31">
        <v>0</v>
      </c>
      <c r="K1209" s="67">
        <v>0</v>
      </c>
      <c r="L1209" s="31">
        <v>0</v>
      </c>
      <c r="M1209" s="31">
        <v>646.1</v>
      </c>
      <c r="N1209" s="31">
        <v>3176162.54</v>
      </c>
      <c r="O1209" s="31">
        <v>0</v>
      </c>
      <c r="P1209" s="31">
        <v>0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31">
        <v>0</v>
      </c>
      <c r="X1209" s="31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f>ROUND(N1209*1.5%,2)</f>
        <v>47642.44</v>
      </c>
      <c r="AD1209" s="31">
        <v>150000</v>
      </c>
      <c r="AE1209" s="31">
        <v>0</v>
      </c>
      <c r="AF1209" s="33">
        <v>2022</v>
      </c>
      <c r="AG1209" s="33">
        <v>2022</v>
      </c>
      <c r="AH1209" s="34">
        <v>2022</v>
      </c>
      <c r="AT1209" s="20" t="e">
        <f t="shared" si="286"/>
        <v>#N/A</v>
      </c>
      <c r="BZ1209" s="64"/>
    </row>
    <row r="1210" spans="1:82" ht="61.5" x14ac:dyDescent="0.85">
      <c r="B1210" s="24" t="s">
        <v>886</v>
      </c>
      <c r="C1210" s="25"/>
      <c r="D1210" s="199">
        <f>SUM(D1211:D1212)</f>
        <v>3916350</v>
      </c>
      <c r="E1210" s="31">
        <f t="shared" ref="E1210:AE1210" si="290">SUM(E1211:E1212)</f>
        <v>0</v>
      </c>
      <c r="F1210" s="31">
        <f t="shared" si="290"/>
        <v>0</v>
      </c>
      <c r="G1210" s="31">
        <f t="shared" si="290"/>
        <v>0</v>
      </c>
      <c r="H1210" s="31">
        <f t="shared" si="290"/>
        <v>0</v>
      </c>
      <c r="I1210" s="31">
        <f t="shared" si="290"/>
        <v>0</v>
      </c>
      <c r="J1210" s="31">
        <f t="shared" si="290"/>
        <v>0</v>
      </c>
      <c r="K1210" s="67">
        <f t="shared" si="290"/>
        <v>0</v>
      </c>
      <c r="L1210" s="31">
        <f t="shared" si="290"/>
        <v>0</v>
      </c>
      <c r="M1210" s="31">
        <f t="shared" si="290"/>
        <v>897</v>
      </c>
      <c r="N1210" s="31">
        <f t="shared" si="290"/>
        <v>3562906.4</v>
      </c>
      <c r="O1210" s="31">
        <f t="shared" si="290"/>
        <v>0</v>
      </c>
      <c r="P1210" s="31">
        <f t="shared" si="290"/>
        <v>0</v>
      </c>
      <c r="Q1210" s="31">
        <f t="shared" si="290"/>
        <v>0</v>
      </c>
      <c r="R1210" s="31">
        <f t="shared" si="290"/>
        <v>0</v>
      </c>
      <c r="S1210" s="31">
        <f t="shared" si="290"/>
        <v>0</v>
      </c>
      <c r="T1210" s="31">
        <f t="shared" si="290"/>
        <v>0</v>
      </c>
      <c r="U1210" s="31">
        <f t="shared" si="290"/>
        <v>0</v>
      </c>
      <c r="V1210" s="31">
        <f t="shared" si="290"/>
        <v>0</v>
      </c>
      <c r="W1210" s="31">
        <f t="shared" si="290"/>
        <v>0</v>
      </c>
      <c r="X1210" s="31">
        <f t="shared" si="290"/>
        <v>0</v>
      </c>
      <c r="Y1210" s="31">
        <f t="shared" si="290"/>
        <v>0</v>
      </c>
      <c r="Z1210" s="31">
        <f t="shared" si="290"/>
        <v>0</v>
      </c>
      <c r="AA1210" s="31">
        <f t="shared" si="290"/>
        <v>0</v>
      </c>
      <c r="AB1210" s="31">
        <f t="shared" si="290"/>
        <v>0</v>
      </c>
      <c r="AC1210" s="31">
        <f t="shared" si="290"/>
        <v>53443.600000000006</v>
      </c>
      <c r="AD1210" s="31">
        <f t="shared" si="290"/>
        <v>300000</v>
      </c>
      <c r="AE1210" s="31">
        <f t="shared" si="290"/>
        <v>0</v>
      </c>
      <c r="AF1210" s="65" t="s">
        <v>751</v>
      </c>
      <c r="AG1210" s="65" t="s">
        <v>751</v>
      </c>
      <c r="AH1210" s="79" t="s">
        <v>751</v>
      </c>
      <c r="AT1210" s="20" t="e">
        <f t="shared" si="286"/>
        <v>#N/A</v>
      </c>
      <c r="BZ1210" s="64">
        <v>3916350</v>
      </c>
    </row>
    <row r="1211" spans="1:82" ht="61.5" x14ac:dyDescent="0.85">
      <c r="A1211" s="20">
        <v>1</v>
      </c>
      <c r="B1211" s="60">
        <f>SUBTOTAL(103,$A$1036:A1211)</f>
        <v>157</v>
      </c>
      <c r="C1211" s="101" t="s">
        <v>1691</v>
      </c>
      <c r="D1211" s="31">
        <f>E1211+F1211+G1211+H1211+I1211+J1211+L1211+N1211+P1211+R1211+T1211+U1211+V1211+W1211+X1211+Y1211+Z1211+AA1211+AB1211+AC1211+AD1211+AE1211</f>
        <v>2035617.4</v>
      </c>
      <c r="E1211" s="31">
        <v>0</v>
      </c>
      <c r="F1211" s="31">
        <v>0</v>
      </c>
      <c r="G1211" s="31">
        <v>0</v>
      </c>
      <c r="H1211" s="31">
        <v>0</v>
      </c>
      <c r="I1211" s="31">
        <v>0</v>
      </c>
      <c r="J1211" s="31">
        <v>0</v>
      </c>
      <c r="K1211" s="67">
        <v>0</v>
      </c>
      <c r="L1211" s="31">
        <v>0</v>
      </c>
      <c r="M1211" s="31">
        <v>468</v>
      </c>
      <c r="N1211" s="31">
        <v>1857751.13</v>
      </c>
      <c r="O1211" s="31">
        <v>0</v>
      </c>
      <c r="P1211" s="31">
        <v>0</v>
      </c>
      <c r="Q1211" s="31">
        <v>0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31">
        <v>0</v>
      </c>
      <c r="X1211" s="31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f>ROUND(N1211*1.5%,2)</f>
        <v>27866.27</v>
      </c>
      <c r="AD1211" s="31">
        <v>150000</v>
      </c>
      <c r="AE1211" s="31">
        <v>0</v>
      </c>
      <c r="AF1211" s="33">
        <v>2022</v>
      </c>
      <c r="AG1211" s="33">
        <v>2022</v>
      </c>
      <c r="AH1211" s="34">
        <v>2022</v>
      </c>
      <c r="AT1211" s="20" t="e">
        <f t="shared" si="286"/>
        <v>#N/A</v>
      </c>
      <c r="BZ1211" s="64"/>
    </row>
    <row r="1212" spans="1:82" ht="61.5" x14ac:dyDescent="0.85">
      <c r="A1212" s="20">
        <v>1</v>
      </c>
      <c r="B1212" s="60">
        <f>SUBTOTAL(103,$A$1036:A1212)</f>
        <v>158</v>
      </c>
      <c r="C1212" s="101" t="s">
        <v>1692</v>
      </c>
      <c r="D1212" s="31">
        <f>E1212+F1212+G1212+H1212+I1212+J1212+L1212+N1212+P1212+R1212+T1212+U1212+V1212+W1212+X1212+Y1212+Z1212+AA1212+AB1212+AC1212+AD1212+AE1212</f>
        <v>1880732.6</v>
      </c>
      <c r="E1212" s="31">
        <v>0</v>
      </c>
      <c r="F1212" s="31">
        <v>0</v>
      </c>
      <c r="G1212" s="31">
        <v>0</v>
      </c>
      <c r="H1212" s="31">
        <v>0</v>
      </c>
      <c r="I1212" s="31">
        <v>0</v>
      </c>
      <c r="J1212" s="31">
        <v>0</v>
      </c>
      <c r="K1212" s="67">
        <v>0</v>
      </c>
      <c r="L1212" s="31">
        <v>0</v>
      </c>
      <c r="M1212" s="31">
        <v>429</v>
      </c>
      <c r="N1212" s="31">
        <f>1702938.53+2216.74</f>
        <v>1705155.27</v>
      </c>
      <c r="O1212" s="31">
        <v>0</v>
      </c>
      <c r="P1212" s="31">
        <v>0</v>
      </c>
      <c r="Q1212" s="31">
        <v>0</v>
      </c>
      <c r="R1212" s="31">
        <v>0</v>
      </c>
      <c r="S1212" s="31">
        <v>0</v>
      </c>
      <c r="T1212" s="31">
        <v>0</v>
      </c>
      <c r="U1212" s="31">
        <v>0</v>
      </c>
      <c r="V1212" s="31">
        <v>0</v>
      </c>
      <c r="W1212" s="31">
        <v>0</v>
      </c>
      <c r="X1212" s="31">
        <v>0</v>
      </c>
      <c r="Y1212" s="31">
        <v>0</v>
      </c>
      <c r="Z1212" s="31">
        <v>0</v>
      </c>
      <c r="AA1212" s="31">
        <v>0</v>
      </c>
      <c r="AB1212" s="31">
        <v>0</v>
      </c>
      <c r="AC1212" s="31">
        <f>ROUND(N1212*1.5%,2)</f>
        <v>25577.33</v>
      </c>
      <c r="AD1212" s="31">
        <v>150000</v>
      </c>
      <c r="AE1212" s="31">
        <v>0</v>
      </c>
      <c r="AF1212" s="33">
        <v>2022</v>
      </c>
      <c r="AG1212" s="33">
        <v>2022</v>
      </c>
      <c r="AH1212" s="34">
        <v>2022</v>
      </c>
      <c r="AT1212" s="20" t="e">
        <f t="shared" si="286"/>
        <v>#N/A</v>
      </c>
      <c r="BZ1212" s="64"/>
    </row>
    <row r="1213" spans="1:82" ht="61.5" x14ac:dyDescent="0.85">
      <c r="B1213" s="24" t="s">
        <v>828</v>
      </c>
      <c r="C1213" s="198"/>
      <c r="D1213" s="199">
        <f>D1214+D1215</f>
        <v>3516578.96</v>
      </c>
      <c r="E1213" s="31">
        <f t="shared" ref="E1213:AE1213" si="291">E1214+E1215</f>
        <v>0</v>
      </c>
      <c r="F1213" s="31">
        <f t="shared" si="291"/>
        <v>0</v>
      </c>
      <c r="G1213" s="31">
        <f t="shared" si="291"/>
        <v>0</v>
      </c>
      <c r="H1213" s="31">
        <f t="shared" si="291"/>
        <v>0</v>
      </c>
      <c r="I1213" s="31">
        <f t="shared" si="291"/>
        <v>0</v>
      </c>
      <c r="J1213" s="31">
        <f t="shared" si="291"/>
        <v>0</v>
      </c>
      <c r="K1213" s="67">
        <f t="shared" si="291"/>
        <v>0</v>
      </c>
      <c r="L1213" s="31">
        <f t="shared" si="291"/>
        <v>0</v>
      </c>
      <c r="M1213" s="31">
        <f t="shared" si="291"/>
        <v>856</v>
      </c>
      <c r="N1213" s="31">
        <f t="shared" si="291"/>
        <v>3228156.6100000003</v>
      </c>
      <c r="O1213" s="31">
        <f t="shared" si="291"/>
        <v>0</v>
      </c>
      <c r="P1213" s="31">
        <f t="shared" si="291"/>
        <v>0</v>
      </c>
      <c r="Q1213" s="31">
        <f t="shared" si="291"/>
        <v>0</v>
      </c>
      <c r="R1213" s="31">
        <f t="shared" si="291"/>
        <v>0</v>
      </c>
      <c r="S1213" s="31">
        <f t="shared" si="291"/>
        <v>0</v>
      </c>
      <c r="T1213" s="31">
        <f t="shared" si="291"/>
        <v>0</v>
      </c>
      <c r="U1213" s="31">
        <f t="shared" si="291"/>
        <v>0</v>
      </c>
      <c r="V1213" s="31">
        <f t="shared" si="291"/>
        <v>0</v>
      </c>
      <c r="W1213" s="31">
        <f t="shared" si="291"/>
        <v>0</v>
      </c>
      <c r="X1213" s="31">
        <f t="shared" si="291"/>
        <v>0</v>
      </c>
      <c r="Y1213" s="31">
        <f t="shared" si="291"/>
        <v>0</v>
      </c>
      <c r="Z1213" s="31">
        <f t="shared" si="291"/>
        <v>0</v>
      </c>
      <c r="AA1213" s="31">
        <f t="shared" si="291"/>
        <v>0</v>
      </c>
      <c r="AB1213" s="31">
        <f t="shared" si="291"/>
        <v>0</v>
      </c>
      <c r="AC1213" s="31">
        <f t="shared" si="291"/>
        <v>48422.350000000006</v>
      </c>
      <c r="AD1213" s="31">
        <f t="shared" si="291"/>
        <v>240000</v>
      </c>
      <c r="AE1213" s="31">
        <f t="shared" si="291"/>
        <v>0</v>
      </c>
      <c r="AF1213" s="65" t="s">
        <v>751</v>
      </c>
      <c r="AG1213" s="65" t="s">
        <v>751</v>
      </c>
      <c r="AH1213" s="79" t="s">
        <v>751</v>
      </c>
      <c r="AT1213" s="20" t="e">
        <f t="shared" si="286"/>
        <v>#N/A</v>
      </c>
      <c r="BZ1213" s="64">
        <v>3516578.96</v>
      </c>
    </row>
    <row r="1214" spans="1:82" ht="61.5" x14ac:dyDescent="0.85">
      <c r="A1214" s="20">
        <v>1</v>
      </c>
      <c r="B1214" s="60">
        <f>SUBTOTAL(103,$A$1036:A1214)</f>
        <v>159</v>
      </c>
      <c r="C1214" s="101" t="s">
        <v>695</v>
      </c>
      <c r="D1214" s="31">
        <f>E1214+F1214+G1214+H1214+I1214+J1214+L1214+N1214+P1214+R1214+T1214+U1214+V1214+W1214+X1214+Y1214+Z1214+AA1214+AB1214+AC1214+AD1214+AE1214</f>
        <v>1913529.37</v>
      </c>
      <c r="E1214" s="31">
        <v>0</v>
      </c>
      <c r="F1214" s="31">
        <v>0</v>
      </c>
      <c r="G1214" s="31">
        <v>0</v>
      </c>
      <c r="H1214" s="31">
        <v>0</v>
      </c>
      <c r="I1214" s="31">
        <v>0</v>
      </c>
      <c r="J1214" s="31">
        <v>0</v>
      </c>
      <c r="K1214" s="67">
        <v>0</v>
      </c>
      <c r="L1214" s="31">
        <v>0</v>
      </c>
      <c r="M1214" s="31">
        <v>440</v>
      </c>
      <c r="N1214" s="31">
        <v>1767024.01</v>
      </c>
      <c r="O1214" s="31">
        <v>0</v>
      </c>
      <c r="P1214" s="31">
        <v>0</v>
      </c>
      <c r="Q1214" s="31">
        <v>0</v>
      </c>
      <c r="R1214" s="31">
        <v>0</v>
      </c>
      <c r="S1214" s="31">
        <v>0</v>
      </c>
      <c r="T1214" s="31">
        <v>0</v>
      </c>
      <c r="U1214" s="31">
        <v>0</v>
      </c>
      <c r="V1214" s="31">
        <v>0</v>
      </c>
      <c r="W1214" s="31">
        <v>0</v>
      </c>
      <c r="X1214" s="31">
        <v>0</v>
      </c>
      <c r="Y1214" s="31">
        <v>0</v>
      </c>
      <c r="Z1214" s="31">
        <v>0</v>
      </c>
      <c r="AA1214" s="31">
        <v>0</v>
      </c>
      <c r="AB1214" s="31">
        <v>0</v>
      </c>
      <c r="AC1214" s="31">
        <f>ROUND(N1214*1.5%,2)</f>
        <v>26505.360000000001</v>
      </c>
      <c r="AD1214" s="31">
        <v>120000</v>
      </c>
      <c r="AE1214" s="31">
        <v>0</v>
      </c>
      <c r="AF1214" s="33">
        <v>2022</v>
      </c>
      <c r="AG1214" s="33">
        <v>2022</v>
      </c>
      <c r="AH1214" s="34">
        <v>2022</v>
      </c>
      <c r="AT1214" s="20" t="e">
        <f t="shared" si="286"/>
        <v>#N/A</v>
      </c>
      <c r="BZ1214" s="64"/>
    </row>
    <row r="1215" spans="1:82" ht="61.5" x14ac:dyDescent="0.85">
      <c r="A1215" s="20">
        <v>1</v>
      </c>
      <c r="B1215" s="60">
        <f>SUBTOTAL(103,$A$1036:A1215)</f>
        <v>160</v>
      </c>
      <c r="C1215" s="101" t="s">
        <v>693</v>
      </c>
      <c r="D1215" s="31">
        <f>E1215+F1215+G1215+H1215+I1215+J1215+L1215+N1215+P1215+R1215+T1215+U1215+V1215+W1215+X1215+Y1215+Z1215+AA1215+AB1215+AC1215+AD1215+AE1215</f>
        <v>1603049.59</v>
      </c>
      <c r="E1215" s="31">
        <v>0</v>
      </c>
      <c r="F1215" s="31">
        <v>0</v>
      </c>
      <c r="G1215" s="31">
        <v>0</v>
      </c>
      <c r="H1215" s="31">
        <v>0</v>
      </c>
      <c r="I1215" s="31">
        <v>0</v>
      </c>
      <c r="J1215" s="31">
        <v>0</v>
      </c>
      <c r="K1215" s="67">
        <v>0</v>
      </c>
      <c r="L1215" s="31">
        <v>0</v>
      </c>
      <c r="M1215" s="31">
        <v>416</v>
      </c>
      <c r="N1215" s="31">
        <v>1461132.6</v>
      </c>
      <c r="O1215" s="31">
        <v>0</v>
      </c>
      <c r="P1215" s="31">
        <v>0</v>
      </c>
      <c r="Q1215" s="31">
        <v>0</v>
      </c>
      <c r="R1215" s="31">
        <v>0</v>
      </c>
      <c r="S1215" s="31">
        <v>0</v>
      </c>
      <c r="T1215" s="31">
        <v>0</v>
      </c>
      <c r="U1215" s="31">
        <v>0</v>
      </c>
      <c r="V1215" s="31">
        <v>0</v>
      </c>
      <c r="W1215" s="31">
        <v>0</v>
      </c>
      <c r="X1215" s="31">
        <v>0</v>
      </c>
      <c r="Y1215" s="31">
        <v>0</v>
      </c>
      <c r="Z1215" s="31">
        <v>0</v>
      </c>
      <c r="AA1215" s="31">
        <v>0</v>
      </c>
      <c r="AB1215" s="31">
        <v>0</v>
      </c>
      <c r="AC1215" s="31">
        <f>ROUND(N1215*1.5%,2)</f>
        <v>21916.99</v>
      </c>
      <c r="AD1215" s="31">
        <v>120000</v>
      </c>
      <c r="AE1215" s="31">
        <v>0</v>
      </c>
      <c r="AF1215" s="33">
        <v>2022</v>
      </c>
      <c r="AG1215" s="33">
        <v>2022</v>
      </c>
      <c r="AH1215" s="34">
        <v>2022</v>
      </c>
      <c r="AT1215" s="20" t="e">
        <f t="shared" si="286"/>
        <v>#N/A</v>
      </c>
      <c r="BZ1215" s="64"/>
    </row>
    <row r="1216" spans="1:82" ht="61.5" x14ac:dyDescent="0.85">
      <c r="B1216" s="24" t="s">
        <v>870</v>
      </c>
      <c r="C1216" s="24"/>
      <c r="D1216" s="199">
        <f>D1217</f>
        <v>3598749.4899999998</v>
      </c>
      <c r="E1216" s="31">
        <f t="shared" ref="E1216:AE1216" si="292">E1217</f>
        <v>0</v>
      </c>
      <c r="F1216" s="31">
        <f t="shared" si="292"/>
        <v>0</v>
      </c>
      <c r="G1216" s="31">
        <f t="shared" si="292"/>
        <v>0</v>
      </c>
      <c r="H1216" s="31">
        <f t="shared" si="292"/>
        <v>0</v>
      </c>
      <c r="I1216" s="31">
        <f t="shared" si="292"/>
        <v>0</v>
      </c>
      <c r="J1216" s="31">
        <f t="shared" si="292"/>
        <v>0</v>
      </c>
      <c r="K1216" s="67">
        <f t="shared" si="292"/>
        <v>0</v>
      </c>
      <c r="L1216" s="31">
        <f t="shared" si="292"/>
        <v>0</v>
      </c>
      <c r="M1216" s="31">
        <f t="shared" si="292"/>
        <v>975.8</v>
      </c>
      <c r="N1216" s="31">
        <f t="shared" si="292"/>
        <v>3427339.4</v>
      </c>
      <c r="O1216" s="31">
        <f t="shared" si="292"/>
        <v>0</v>
      </c>
      <c r="P1216" s="31">
        <f t="shared" si="292"/>
        <v>0</v>
      </c>
      <c r="Q1216" s="31">
        <f t="shared" si="292"/>
        <v>0</v>
      </c>
      <c r="R1216" s="31">
        <f t="shared" si="292"/>
        <v>0</v>
      </c>
      <c r="S1216" s="31">
        <f t="shared" si="292"/>
        <v>0</v>
      </c>
      <c r="T1216" s="31">
        <f t="shared" si="292"/>
        <v>0</v>
      </c>
      <c r="U1216" s="31">
        <f t="shared" si="292"/>
        <v>0</v>
      </c>
      <c r="V1216" s="31">
        <f t="shared" si="292"/>
        <v>0</v>
      </c>
      <c r="W1216" s="31">
        <f t="shared" si="292"/>
        <v>0</v>
      </c>
      <c r="X1216" s="31">
        <f t="shared" si="292"/>
        <v>0</v>
      </c>
      <c r="Y1216" s="31">
        <f t="shared" si="292"/>
        <v>0</v>
      </c>
      <c r="Z1216" s="31">
        <f t="shared" si="292"/>
        <v>0</v>
      </c>
      <c r="AA1216" s="31">
        <f t="shared" si="292"/>
        <v>0</v>
      </c>
      <c r="AB1216" s="31">
        <f t="shared" si="292"/>
        <v>0</v>
      </c>
      <c r="AC1216" s="31">
        <f t="shared" si="292"/>
        <v>51410.09</v>
      </c>
      <c r="AD1216" s="31">
        <f t="shared" si="292"/>
        <v>120000</v>
      </c>
      <c r="AE1216" s="31">
        <f t="shared" si="292"/>
        <v>0</v>
      </c>
      <c r="AF1216" s="65" t="s">
        <v>751</v>
      </c>
      <c r="AG1216" s="65" t="s">
        <v>751</v>
      </c>
      <c r="AH1216" s="79" t="s">
        <v>751</v>
      </c>
      <c r="AT1216" s="20" t="e">
        <f t="shared" si="286"/>
        <v>#N/A</v>
      </c>
      <c r="BZ1216" s="64">
        <v>3598749.4899999998</v>
      </c>
    </row>
    <row r="1217" spans="1:80" ht="61.5" x14ac:dyDescent="0.85">
      <c r="A1217" s="20">
        <v>1</v>
      </c>
      <c r="B1217" s="60">
        <f>SUBTOTAL(103,$A$1036:A1217)</f>
        <v>161</v>
      </c>
      <c r="C1217" s="101" t="s">
        <v>701</v>
      </c>
      <c r="D1217" s="31">
        <f>E1217+F1217+G1217+H1217+I1217+J1217+L1217+N1217+P1217+R1217+T1217+U1217+V1217+W1217+X1217+Y1217+Z1217+AA1217+AB1217+AC1217+AD1217+AE1217</f>
        <v>3598749.4899999998</v>
      </c>
      <c r="E1217" s="31">
        <v>0</v>
      </c>
      <c r="F1217" s="31">
        <v>0</v>
      </c>
      <c r="G1217" s="31">
        <v>0</v>
      </c>
      <c r="H1217" s="31">
        <v>0</v>
      </c>
      <c r="I1217" s="31">
        <v>0</v>
      </c>
      <c r="J1217" s="31">
        <v>0</v>
      </c>
      <c r="K1217" s="67">
        <v>0</v>
      </c>
      <c r="L1217" s="31">
        <v>0</v>
      </c>
      <c r="M1217" s="31">
        <v>975.8</v>
      </c>
      <c r="N1217" s="31">
        <v>3427339.4</v>
      </c>
      <c r="O1217" s="31">
        <v>0</v>
      </c>
      <c r="P1217" s="31">
        <v>0</v>
      </c>
      <c r="Q1217" s="31">
        <v>0</v>
      </c>
      <c r="R1217" s="31">
        <v>0</v>
      </c>
      <c r="S1217" s="31">
        <v>0</v>
      </c>
      <c r="T1217" s="31">
        <v>0</v>
      </c>
      <c r="U1217" s="31">
        <v>0</v>
      </c>
      <c r="V1217" s="31">
        <v>0</v>
      </c>
      <c r="W1217" s="31">
        <v>0</v>
      </c>
      <c r="X1217" s="31">
        <v>0</v>
      </c>
      <c r="Y1217" s="31">
        <v>0</v>
      </c>
      <c r="Z1217" s="31">
        <v>0</v>
      </c>
      <c r="AA1217" s="31">
        <v>0</v>
      </c>
      <c r="AB1217" s="31">
        <v>0</v>
      </c>
      <c r="AC1217" s="31">
        <f>ROUND(N1217*1.5%,2)</f>
        <v>51410.09</v>
      </c>
      <c r="AD1217" s="31">
        <v>120000</v>
      </c>
      <c r="AE1217" s="31">
        <v>0</v>
      </c>
      <c r="AF1217" s="33">
        <v>2022</v>
      </c>
      <c r="AG1217" s="33">
        <v>2022</v>
      </c>
      <c r="AH1217" s="34">
        <v>2022</v>
      </c>
      <c r="AT1217" s="20" t="e">
        <f t="shared" si="286"/>
        <v>#N/A</v>
      </c>
      <c r="BZ1217" s="64"/>
    </row>
    <row r="1218" spans="1:80" ht="61.5" x14ac:dyDescent="0.85">
      <c r="B1218" s="24" t="s">
        <v>830</v>
      </c>
      <c r="C1218" s="24"/>
      <c r="D1218" s="199">
        <f>D1219</f>
        <v>1925593.0499999998</v>
      </c>
      <c r="E1218" s="31">
        <f t="shared" ref="E1218:AE1218" si="293">E1219</f>
        <v>0</v>
      </c>
      <c r="F1218" s="31">
        <f t="shared" si="293"/>
        <v>0</v>
      </c>
      <c r="G1218" s="31">
        <f t="shared" si="293"/>
        <v>0</v>
      </c>
      <c r="H1218" s="31">
        <f t="shared" si="293"/>
        <v>0</v>
      </c>
      <c r="I1218" s="31">
        <f t="shared" si="293"/>
        <v>0</v>
      </c>
      <c r="J1218" s="31">
        <f t="shared" si="293"/>
        <v>0</v>
      </c>
      <c r="K1218" s="67">
        <f t="shared" si="293"/>
        <v>0</v>
      </c>
      <c r="L1218" s="31">
        <f t="shared" si="293"/>
        <v>0</v>
      </c>
      <c r="M1218" s="31">
        <f t="shared" si="293"/>
        <v>945</v>
      </c>
      <c r="N1218" s="31">
        <f t="shared" si="293"/>
        <v>1778909.41</v>
      </c>
      <c r="O1218" s="31">
        <f t="shared" si="293"/>
        <v>0</v>
      </c>
      <c r="P1218" s="31">
        <f t="shared" si="293"/>
        <v>0</v>
      </c>
      <c r="Q1218" s="31">
        <f t="shared" si="293"/>
        <v>0</v>
      </c>
      <c r="R1218" s="31">
        <f t="shared" si="293"/>
        <v>0</v>
      </c>
      <c r="S1218" s="31">
        <f t="shared" si="293"/>
        <v>0</v>
      </c>
      <c r="T1218" s="31">
        <f t="shared" si="293"/>
        <v>0</v>
      </c>
      <c r="U1218" s="31">
        <f t="shared" si="293"/>
        <v>0</v>
      </c>
      <c r="V1218" s="31">
        <f t="shared" si="293"/>
        <v>0</v>
      </c>
      <c r="W1218" s="31">
        <f t="shared" si="293"/>
        <v>0</v>
      </c>
      <c r="X1218" s="31">
        <f t="shared" si="293"/>
        <v>0</v>
      </c>
      <c r="Y1218" s="31">
        <f t="shared" si="293"/>
        <v>0</v>
      </c>
      <c r="Z1218" s="31">
        <f t="shared" si="293"/>
        <v>0</v>
      </c>
      <c r="AA1218" s="31">
        <f t="shared" si="293"/>
        <v>0</v>
      </c>
      <c r="AB1218" s="31">
        <f t="shared" si="293"/>
        <v>0</v>
      </c>
      <c r="AC1218" s="31">
        <f t="shared" si="293"/>
        <v>26683.64</v>
      </c>
      <c r="AD1218" s="31">
        <f t="shared" si="293"/>
        <v>120000</v>
      </c>
      <c r="AE1218" s="31">
        <f t="shared" si="293"/>
        <v>0</v>
      </c>
      <c r="AF1218" s="65" t="s">
        <v>751</v>
      </c>
      <c r="AG1218" s="65" t="s">
        <v>751</v>
      </c>
      <c r="AH1218" s="79" t="s">
        <v>751</v>
      </c>
      <c r="AT1218" s="20" t="e">
        <f t="shared" si="286"/>
        <v>#N/A</v>
      </c>
      <c r="BZ1218" s="64">
        <v>3488946.79</v>
      </c>
    </row>
    <row r="1219" spans="1:80" ht="61.5" x14ac:dyDescent="0.85">
      <c r="A1219" s="20">
        <v>1</v>
      </c>
      <c r="B1219" s="60">
        <f>SUBTOTAL(103,$A$1036:A1219)</f>
        <v>162</v>
      </c>
      <c r="C1219" s="101" t="s">
        <v>699</v>
      </c>
      <c r="D1219" s="31">
        <f>E1219+F1219+G1219+H1219+I1219+J1219+L1219+N1219+P1219+R1219+T1219+U1219+V1219+W1219+X1219+Y1219+Z1219+AA1219+AB1219+AC1219+AD1219+AE1219</f>
        <v>1925593.0499999998</v>
      </c>
      <c r="E1219" s="31">
        <v>0</v>
      </c>
      <c r="F1219" s="31">
        <v>0</v>
      </c>
      <c r="G1219" s="31">
        <v>0</v>
      </c>
      <c r="H1219" s="31">
        <v>0</v>
      </c>
      <c r="I1219" s="31">
        <v>0</v>
      </c>
      <c r="J1219" s="31">
        <v>0</v>
      </c>
      <c r="K1219" s="67">
        <v>0</v>
      </c>
      <c r="L1219" s="31">
        <v>0</v>
      </c>
      <c r="M1219" s="31">
        <v>945</v>
      </c>
      <c r="N1219" s="31">
        <f>3319159.4-1540249.99</f>
        <v>1778909.41</v>
      </c>
      <c r="O1219" s="31">
        <v>0</v>
      </c>
      <c r="P1219" s="31">
        <v>0</v>
      </c>
      <c r="Q1219" s="31">
        <v>0</v>
      </c>
      <c r="R1219" s="31">
        <v>0</v>
      </c>
      <c r="S1219" s="31">
        <v>0</v>
      </c>
      <c r="T1219" s="31">
        <v>0</v>
      </c>
      <c r="U1219" s="31">
        <v>0</v>
      </c>
      <c r="V1219" s="31">
        <v>0</v>
      </c>
      <c r="W1219" s="31">
        <v>0</v>
      </c>
      <c r="X1219" s="31">
        <v>0</v>
      </c>
      <c r="Y1219" s="31">
        <v>0</v>
      </c>
      <c r="Z1219" s="31">
        <v>0</v>
      </c>
      <c r="AA1219" s="31">
        <v>0</v>
      </c>
      <c r="AB1219" s="31">
        <v>0</v>
      </c>
      <c r="AC1219" s="31">
        <f>ROUND(N1219*1.5%,2)</f>
        <v>26683.64</v>
      </c>
      <c r="AD1219" s="31">
        <v>120000</v>
      </c>
      <c r="AE1219" s="31">
        <v>0</v>
      </c>
      <c r="AF1219" s="33">
        <v>2022</v>
      </c>
      <c r="AG1219" s="33">
        <v>2022</v>
      </c>
      <c r="AH1219" s="34">
        <v>2022</v>
      </c>
      <c r="AT1219" s="20" t="e">
        <f t="shared" si="286"/>
        <v>#N/A</v>
      </c>
      <c r="BZ1219" s="64"/>
    </row>
    <row r="1220" spans="1:80" ht="61.5" x14ac:dyDescent="0.85">
      <c r="B1220" s="24" t="s">
        <v>887</v>
      </c>
      <c r="C1220" s="24"/>
      <c r="D1220" s="199">
        <f>D1221</f>
        <v>1538879.17</v>
      </c>
      <c r="E1220" s="31">
        <f t="shared" ref="E1220:AE1220" si="294">E1221</f>
        <v>0</v>
      </c>
      <c r="F1220" s="31">
        <f t="shared" si="294"/>
        <v>0</v>
      </c>
      <c r="G1220" s="31">
        <f t="shared" si="294"/>
        <v>0</v>
      </c>
      <c r="H1220" s="31">
        <f t="shared" si="294"/>
        <v>0</v>
      </c>
      <c r="I1220" s="31">
        <f t="shared" si="294"/>
        <v>0</v>
      </c>
      <c r="J1220" s="31">
        <f t="shared" si="294"/>
        <v>0</v>
      </c>
      <c r="K1220" s="67">
        <f t="shared" si="294"/>
        <v>0</v>
      </c>
      <c r="L1220" s="31">
        <f t="shared" si="294"/>
        <v>0</v>
      </c>
      <c r="M1220" s="31">
        <f t="shared" si="294"/>
        <v>398</v>
      </c>
      <c r="N1220" s="31">
        <f t="shared" si="294"/>
        <v>1397910.51</v>
      </c>
      <c r="O1220" s="31">
        <f t="shared" si="294"/>
        <v>0</v>
      </c>
      <c r="P1220" s="31">
        <f t="shared" si="294"/>
        <v>0</v>
      </c>
      <c r="Q1220" s="31">
        <f t="shared" si="294"/>
        <v>0</v>
      </c>
      <c r="R1220" s="31">
        <f t="shared" si="294"/>
        <v>0</v>
      </c>
      <c r="S1220" s="31">
        <f t="shared" si="294"/>
        <v>0</v>
      </c>
      <c r="T1220" s="31">
        <f t="shared" si="294"/>
        <v>0</v>
      </c>
      <c r="U1220" s="31">
        <f t="shared" si="294"/>
        <v>0</v>
      </c>
      <c r="V1220" s="31">
        <f t="shared" si="294"/>
        <v>0</v>
      </c>
      <c r="W1220" s="31">
        <f t="shared" si="294"/>
        <v>0</v>
      </c>
      <c r="X1220" s="31">
        <f t="shared" si="294"/>
        <v>0</v>
      </c>
      <c r="Y1220" s="31">
        <f t="shared" si="294"/>
        <v>0</v>
      </c>
      <c r="Z1220" s="31">
        <f t="shared" si="294"/>
        <v>0</v>
      </c>
      <c r="AA1220" s="31">
        <f t="shared" si="294"/>
        <v>0</v>
      </c>
      <c r="AB1220" s="31">
        <f t="shared" si="294"/>
        <v>0</v>
      </c>
      <c r="AC1220" s="31">
        <f t="shared" si="294"/>
        <v>20968.66</v>
      </c>
      <c r="AD1220" s="31">
        <f t="shared" si="294"/>
        <v>120000</v>
      </c>
      <c r="AE1220" s="31">
        <f t="shared" si="294"/>
        <v>0</v>
      </c>
      <c r="AF1220" s="65" t="s">
        <v>751</v>
      </c>
      <c r="AG1220" s="65" t="s">
        <v>751</v>
      </c>
      <c r="AH1220" s="79" t="s">
        <v>751</v>
      </c>
      <c r="AT1220" s="20" t="e">
        <f t="shared" si="286"/>
        <v>#N/A</v>
      </c>
      <c r="BZ1220" s="64">
        <v>1538879.17</v>
      </c>
    </row>
    <row r="1221" spans="1:80" ht="61.5" x14ac:dyDescent="0.85">
      <c r="A1221" s="20">
        <v>1</v>
      </c>
      <c r="B1221" s="60">
        <f>SUBTOTAL(103,$A$1036:A1221)</f>
        <v>163</v>
      </c>
      <c r="C1221" s="101" t="s">
        <v>696</v>
      </c>
      <c r="D1221" s="31">
        <f>E1221+F1221+G1221+H1221+I1221+J1221+L1221+N1221+P1221+R1221+T1221+U1221+V1221+W1221+X1221+Y1221+Z1221+AA1221+AB1221+AC1221+AD1221+AE1221</f>
        <v>1538879.17</v>
      </c>
      <c r="E1221" s="31">
        <v>0</v>
      </c>
      <c r="F1221" s="31">
        <v>0</v>
      </c>
      <c r="G1221" s="31">
        <v>0</v>
      </c>
      <c r="H1221" s="31">
        <v>0</v>
      </c>
      <c r="I1221" s="31">
        <v>0</v>
      </c>
      <c r="J1221" s="31">
        <v>0</v>
      </c>
      <c r="K1221" s="67">
        <v>0</v>
      </c>
      <c r="L1221" s="31">
        <v>0</v>
      </c>
      <c r="M1221" s="31">
        <v>398</v>
      </c>
      <c r="N1221" s="31">
        <v>1397910.51</v>
      </c>
      <c r="O1221" s="31">
        <v>0</v>
      </c>
      <c r="P1221" s="31">
        <v>0</v>
      </c>
      <c r="Q1221" s="31">
        <v>0</v>
      </c>
      <c r="R1221" s="31">
        <v>0</v>
      </c>
      <c r="S1221" s="31">
        <v>0</v>
      </c>
      <c r="T1221" s="31">
        <v>0</v>
      </c>
      <c r="U1221" s="31">
        <v>0</v>
      </c>
      <c r="V1221" s="31">
        <v>0</v>
      </c>
      <c r="W1221" s="31">
        <v>0</v>
      </c>
      <c r="X1221" s="31">
        <v>0</v>
      </c>
      <c r="Y1221" s="31">
        <v>0</v>
      </c>
      <c r="Z1221" s="31">
        <v>0</v>
      </c>
      <c r="AA1221" s="31">
        <v>0</v>
      </c>
      <c r="AB1221" s="31">
        <v>0</v>
      </c>
      <c r="AC1221" s="31">
        <f>ROUND(N1221*1.5%,2)</f>
        <v>20968.66</v>
      </c>
      <c r="AD1221" s="31">
        <v>120000</v>
      </c>
      <c r="AE1221" s="31">
        <v>0</v>
      </c>
      <c r="AF1221" s="33">
        <v>2022</v>
      </c>
      <c r="AG1221" s="33">
        <v>2022</v>
      </c>
      <c r="AH1221" s="34">
        <v>2022</v>
      </c>
      <c r="AT1221" s="20" t="e">
        <f t="shared" si="286"/>
        <v>#N/A</v>
      </c>
      <c r="BZ1221" s="64"/>
    </row>
    <row r="1222" spans="1:80" ht="61.5" x14ac:dyDescent="0.85">
      <c r="B1222" s="24" t="s">
        <v>831</v>
      </c>
      <c r="C1222" s="198"/>
      <c r="D1222" s="199">
        <f>SUM(D1223:D1228)</f>
        <v>29368928.999999996</v>
      </c>
      <c r="E1222" s="31">
        <f t="shared" ref="E1222:AE1222" si="295">SUM(E1223:E1228)</f>
        <v>0</v>
      </c>
      <c r="F1222" s="31">
        <f t="shared" si="295"/>
        <v>0</v>
      </c>
      <c r="G1222" s="31">
        <f t="shared" si="295"/>
        <v>0</v>
      </c>
      <c r="H1222" s="31">
        <f t="shared" si="295"/>
        <v>0</v>
      </c>
      <c r="I1222" s="31">
        <f t="shared" si="295"/>
        <v>0</v>
      </c>
      <c r="J1222" s="31">
        <f t="shared" si="295"/>
        <v>0</v>
      </c>
      <c r="K1222" s="67">
        <f t="shared" si="295"/>
        <v>0</v>
      </c>
      <c r="L1222" s="31">
        <f t="shared" si="295"/>
        <v>0</v>
      </c>
      <c r="M1222" s="31">
        <f t="shared" si="295"/>
        <v>3779.6</v>
      </c>
      <c r="N1222" s="31">
        <f t="shared" si="295"/>
        <v>20236969.890000001</v>
      </c>
      <c r="O1222" s="31">
        <f t="shared" si="295"/>
        <v>0</v>
      </c>
      <c r="P1222" s="31">
        <f t="shared" si="295"/>
        <v>0</v>
      </c>
      <c r="Q1222" s="31">
        <f t="shared" si="295"/>
        <v>0</v>
      </c>
      <c r="R1222" s="31">
        <f t="shared" si="295"/>
        <v>0</v>
      </c>
      <c r="S1222" s="31">
        <f t="shared" si="295"/>
        <v>0</v>
      </c>
      <c r="T1222" s="31">
        <f t="shared" si="295"/>
        <v>0</v>
      </c>
      <c r="U1222" s="31">
        <f t="shared" si="295"/>
        <v>7702861.6199999992</v>
      </c>
      <c r="V1222" s="31">
        <f t="shared" si="295"/>
        <v>0</v>
      </c>
      <c r="W1222" s="31">
        <f t="shared" si="295"/>
        <v>0</v>
      </c>
      <c r="X1222" s="31">
        <f t="shared" si="295"/>
        <v>0</v>
      </c>
      <c r="Y1222" s="31">
        <f t="shared" si="295"/>
        <v>0</v>
      </c>
      <c r="Z1222" s="31">
        <f t="shared" si="295"/>
        <v>0</v>
      </c>
      <c r="AA1222" s="31">
        <f t="shared" si="295"/>
        <v>0</v>
      </c>
      <c r="AB1222" s="31">
        <f t="shared" si="295"/>
        <v>0</v>
      </c>
      <c r="AC1222" s="31">
        <f t="shared" si="295"/>
        <v>419097.49</v>
      </c>
      <c r="AD1222" s="31">
        <f t="shared" si="295"/>
        <v>1010000</v>
      </c>
      <c r="AE1222" s="31">
        <f t="shared" si="295"/>
        <v>0</v>
      </c>
      <c r="AF1222" s="65" t="s">
        <v>751</v>
      </c>
      <c r="AG1222" s="65" t="s">
        <v>751</v>
      </c>
      <c r="AH1222" s="79" t="s">
        <v>751</v>
      </c>
      <c r="AT1222" s="20" t="e">
        <f t="shared" si="286"/>
        <v>#N/A</v>
      </c>
      <c r="BZ1222" s="31">
        <v>28415186.599999998</v>
      </c>
      <c r="CA1222" s="31"/>
      <c r="CB1222" s="31">
        <f>BZ1222-D1222</f>
        <v>-953742.39999999851</v>
      </c>
    </row>
    <row r="1223" spans="1:80" ht="61.5" x14ac:dyDescent="0.85">
      <c r="A1223" s="20">
        <v>1</v>
      </c>
      <c r="B1223" s="60">
        <f>SUBTOTAL(103,$A$1036:A1223)</f>
        <v>164</v>
      </c>
      <c r="C1223" s="101" t="s">
        <v>134</v>
      </c>
      <c r="D1223" s="31">
        <f t="shared" ref="D1223:D1228" si="296">E1223+F1223+G1223+H1223+I1223+J1223+L1223+N1223+P1223+R1223+T1223+U1223+V1223+W1223+X1223+Y1223+Z1223+AA1223+AB1223+AC1223+AD1223+AE1223</f>
        <v>6533531.75</v>
      </c>
      <c r="E1223" s="31">
        <v>0</v>
      </c>
      <c r="F1223" s="31">
        <v>0</v>
      </c>
      <c r="G1223" s="31">
        <v>0</v>
      </c>
      <c r="H1223" s="31">
        <v>0</v>
      </c>
      <c r="I1223" s="31">
        <v>0</v>
      </c>
      <c r="J1223" s="31">
        <v>0</v>
      </c>
      <c r="K1223" s="67">
        <v>0</v>
      </c>
      <c r="L1223" s="31">
        <v>0</v>
      </c>
      <c r="M1223" s="31">
        <v>1175</v>
      </c>
      <c r="N1223" s="31">
        <f>5610837.44+648799.75</f>
        <v>6259637.1900000004</v>
      </c>
      <c r="O1223" s="31">
        <v>0</v>
      </c>
      <c r="P1223" s="31">
        <v>0</v>
      </c>
      <c r="Q1223" s="31">
        <v>0</v>
      </c>
      <c r="R1223" s="31">
        <v>0</v>
      </c>
      <c r="S1223" s="31">
        <v>0</v>
      </c>
      <c r="T1223" s="31">
        <v>0</v>
      </c>
      <c r="U1223" s="31">
        <v>0</v>
      </c>
      <c r="V1223" s="31">
        <v>0</v>
      </c>
      <c r="W1223" s="31">
        <v>0</v>
      </c>
      <c r="X1223" s="31">
        <v>0</v>
      </c>
      <c r="Y1223" s="31">
        <v>0</v>
      </c>
      <c r="Z1223" s="31">
        <v>0</v>
      </c>
      <c r="AA1223" s="31">
        <v>0</v>
      </c>
      <c r="AB1223" s="31">
        <v>0</v>
      </c>
      <c r="AC1223" s="31">
        <f>ROUND(N1223*1.5%,2)</f>
        <v>93894.56</v>
      </c>
      <c r="AD1223" s="31">
        <v>180000</v>
      </c>
      <c r="AE1223" s="31">
        <v>0</v>
      </c>
      <c r="AF1223" s="33">
        <v>2022</v>
      </c>
      <c r="AG1223" s="33">
        <v>2022</v>
      </c>
      <c r="AH1223" s="34">
        <v>2022</v>
      </c>
      <c r="AT1223" s="20" t="e">
        <f t="shared" si="286"/>
        <v>#N/A</v>
      </c>
      <c r="BZ1223" s="64"/>
    </row>
    <row r="1224" spans="1:80" ht="61.5" x14ac:dyDescent="0.85">
      <c r="A1224" s="20">
        <v>1</v>
      </c>
      <c r="B1224" s="60">
        <f>SUBTOTAL(103,$A$1036:A1224)</f>
        <v>165</v>
      </c>
      <c r="C1224" s="101" t="s">
        <v>131</v>
      </c>
      <c r="D1224" s="31">
        <f t="shared" si="296"/>
        <v>5163742.3999999994</v>
      </c>
      <c r="E1224" s="31">
        <v>0</v>
      </c>
      <c r="F1224" s="31">
        <v>0</v>
      </c>
      <c r="G1224" s="31">
        <v>0</v>
      </c>
      <c r="H1224" s="31">
        <v>0</v>
      </c>
      <c r="I1224" s="31">
        <v>0</v>
      </c>
      <c r="J1224" s="31">
        <v>0</v>
      </c>
      <c r="K1224" s="67">
        <v>0</v>
      </c>
      <c r="L1224" s="31">
        <v>0</v>
      </c>
      <c r="M1224" s="31">
        <v>0</v>
      </c>
      <c r="N1224" s="31">
        <v>0</v>
      </c>
      <c r="O1224" s="31">
        <v>0</v>
      </c>
      <c r="P1224" s="31">
        <v>0</v>
      </c>
      <c r="Q1224" s="31">
        <v>0</v>
      </c>
      <c r="R1224" s="31">
        <v>0</v>
      </c>
      <c r="S1224" s="31">
        <v>0</v>
      </c>
      <c r="T1224" s="31">
        <v>0</v>
      </c>
      <c r="U1224" s="31">
        <v>4890386.5999999996</v>
      </c>
      <c r="V1224" s="31">
        <v>0</v>
      </c>
      <c r="W1224" s="31">
        <v>0</v>
      </c>
      <c r="X1224" s="31">
        <v>0</v>
      </c>
      <c r="Y1224" s="31">
        <v>0</v>
      </c>
      <c r="Z1224" s="31">
        <v>0</v>
      </c>
      <c r="AA1224" s="31">
        <v>0</v>
      </c>
      <c r="AB1224" s="31">
        <v>0</v>
      </c>
      <c r="AC1224" s="31">
        <f>ROUND(U1224*1.5%,2)</f>
        <v>73355.8</v>
      </c>
      <c r="AD1224" s="31">
        <v>200000</v>
      </c>
      <c r="AE1224" s="31">
        <v>0</v>
      </c>
      <c r="AF1224" s="33">
        <v>2022</v>
      </c>
      <c r="AG1224" s="33">
        <v>2022</v>
      </c>
      <c r="AH1224" s="34">
        <v>2022</v>
      </c>
      <c r="AT1224" s="20" t="e">
        <f t="shared" si="286"/>
        <v>#N/A</v>
      </c>
      <c r="BZ1224" s="64"/>
    </row>
    <row r="1225" spans="1:80" ht="61.5" x14ac:dyDescent="0.85">
      <c r="A1225" s="20">
        <v>1</v>
      </c>
      <c r="B1225" s="60">
        <f>SUBTOTAL(103,$A$1036:A1225)</f>
        <v>166</v>
      </c>
      <c r="C1225" s="101" t="s">
        <v>136</v>
      </c>
      <c r="D1225" s="31">
        <f t="shared" si="296"/>
        <v>4587373.3600000003</v>
      </c>
      <c r="E1225" s="31">
        <v>0</v>
      </c>
      <c r="F1225" s="31">
        <v>0</v>
      </c>
      <c r="G1225" s="31">
        <v>0</v>
      </c>
      <c r="H1225" s="31">
        <v>0</v>
      </c>
      <c r="I1225" s="31">
        <v>0</v>
      </c>
      <c r="J1225" s="31">
        <v>0</v>
      </c>
      <c r="K1225" s="67">
        <v>0</v>
      </c>
      <c r="L1225" s="31">
        <v>0</v>
      </c>
      <c r="M1225" s="31">
        <v>825</v>
      </c>
      <c r="N1225" s="31">
        <f>3916256.16+455540.25</f>
        <v>4371796.41</v>
      </c>
      <c r="O1225" s="31">
        <v>0</v>
      </c>
      <c r="P1225" s="31">
        <v>0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31">
        <v>0</v>
      </c>
      <c r="X1225" s="31">
        <v>0</v>
      </c>
      <c r="Y1225" s="31">
        <v>0</v>
      </c>
      <c r="Z1225" s="31">
        <v>0</v>
      </c>
      <c r="AA1225" s="31">
        <v>0</v>
      </c>
      <c r="AB1225" s="31">
        <v>0</v>
      </c>
      <c r="AC1225" s="31">
        <f>ROUND(N1225*1.5%,2)</f>
        <v>65576.95</v>
      </c>
      <c r="AD1225" s="31">
        <v>150000</v>
      </c>
      <c r="AE1225" s="31">
        <v>0</v>
      </c>
      <c r="AF1225" s="33">
        <v>2022</v>
      </c>
      <c r="AG1225" s="33">
        <v>2022</v>
      </c>
      <c r="AH1225" s="34">
        <v>2022</v>
      </c>
      <c r="AT1225" s="20" t="e">
        <f t="shared" si="286"/>
        <v>#N/A</v>
      </c>
      <c r="BZ1225" s="64"/>
    </row>
    <row r="1226" spans="1:80" ht="61.5" x14ac:dyDescent="0.85">
      <c r="A1226" s="20">
        <v>1</v>
      </c>
      <c r="B1226" s="60">
        <f>SUBTOTAL(103,$A$1036:A1226)</f>
        <v>167</v>
      </c>
      <c r="C1226" s="101" t="s">
        <v>132</v>
      </c>
      <c r="D1226" s="31">
        <f t="shared" si="296"/>
        <v>5599375.7199999997</v>
      </c>
      <c r="E1226" s="31">
        <v>0</v>
      </c>
      <c r="F1226" s="31">
        <v>0</v>
      </c>
      <c r="G1226" s="31">
        <v>0</v>
      </c>
      <c r="H1226" s="31">
        <v>0</v>
      </c>
      <c r="I1226" s="31">
        <v>0</v>
      </c>
      <c r="J1226" s="31">
        <v>0</v>
      </c>
      <c r="K1226" s="67">
        <v>0</v>
      </c>
      <c r="L1226" s="31">
        <v>0</v>
      </c>
      <c r="M1226" s="31">
        <v>1007</v>
      </c>
      <c r="N1226" s="31">
        <f>4783251.23+556035.19</f>
        <v>5339286.42</v>
      </c>
      <c r="O1226" s="31">
        <v>0</v>
      </c>
      <c r="P1226" s="31">
        <v>0</v>
      </c>
      <c r="Q1226" s="31">
        <v>0</v>
      </c>
      <c r="R1226" s="31">
        <v>0</v>
      </c>
      <c r="S1226" s="31">
        <v>0</v>
      </c>
      <c r="T1226" s="31">
        <v>0</v>
      </c>
      <c r="U1226" s="31">
        <v>0</v>
      </c>
      <c r="V1226" s="31">
        <v>0</v>
      </c>
      <c r="W1226" s="31">
        <v>0</v>
      </c>
      <c r="X1226" s="31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f>ROUND(N1226*1.5%,2)</f>
        <v>80089.3</v>
      </c>
      <c r="AD1226" s="31">
        <v>180000</v>
      </c>
      <c r="AE1226" s="31">
        <v>0</v>
      </c>
      <c r="AF1226" s="33">
        <v>2022</v>
      </c>
      <c r="AG1226" s="33">
        <v>2022</v>
      </c>
      <c r="AH1226" s="34">
        <v>2022</v>
      </c>
      <c r="AT1226" s="20" t="e">
        <f t="shared" si="286"/>
        <v>#N/A</v>
      </c>
      <c r="BZ1226" s="64"/>
    </row>
    <row r="1227" spans="1:80" ht="61.5" x14ac:dyDescent="0.85">
      <c r="A1227" s="20">
        <v>1</v>
      </c>
      <c r="B1227" s="60">
        <f>SUBTOTAL(103,$A$1036:A1227)</f>
        <v>168</v>
      </c>
      <c r="C1227" s="101" t="s">
        <v>133</v>
      </c>
      <c r="D1227" s="31">
        <f t="shared" si="296"/>
        <v>4480243.62</v>
      </c>
      <c r="E1227" s="31">
        <v>0</v>
      </c>
      <c r="F1227" s="31">
        <v>0</v>
      </c>
      <c r="G1227" s="31">
        <v>0</v>
      </c>
      <c r="H1227" s="31">
        <v>0</v>
      </c>
      <c r="I1227" s="31">
        <v>0</v>
      </c>
      <c r="J1227" s="31">
        <v>0</v>
      </c>
      <c r="K1227" s="67">
        <v>0</v>
      </c>
      <c r="L1227" s="31">
        <v>0</v>
      </c>
      <c r="M1227" s="31">
        <v>772.6</v>
      </c>
      <c r="N1227" s="31">
        <f>3201418.72+426606.54+638224.61</f>
        <v>4266249.87</v>
      </c>
      <c r="O1227" s="31">
        <v>0</v>
      </c>
      <c r="P1227" s="31">
        <v>0</v>
      </c>
      <c r="Q1227" s="31">
        <v>0</v>
      </c>
      <c r="R1227" s="31">
        <v>0</v>
      </c>
      <c r="S1227" s="31">
        <v>0</v>
      </c>
      <c r="T1227" s="31">
        <v>0</v>
      </c>
      <c r="U1227" s="31">
        <v>0</v>
      </c>
      <c r="V1227" s="31">
        <v>0</v>
      </c>
      <c r="W1227" s="31">
        <v>0</v>
      </c>
      <c r="X1227" s="31">
        <v>0</v>
      </c>
      <c r="Y1227" s="31">
        <v>0</v>
      </c>
      <c r="Z1227" s="31">
        <v>0</v>
      </c>
      <c r="AA1227" s="31">
        <v>0</v>
      </c>
      <c r="AB1227" s="31">
        <v>0</v>
      </c>
      <c r="AC1227" s="31">
        <f>ROUND(N1227*1.5%,2)</f>
        <v>63993.75</v>
      </c>
      <c r="AD1227" s="31">
        <v>150000</v>
      </c>
      <c r="AE1227" s="31">
        <v>0</v>
      </c>
      <c r="AF1227" s="33">
        <v>2022</v>
      </c>
      <c r="AG1227" s="33">
        <v>2022</v>
      </c>
      <c r="AH1227" s="34">
        <v>2022</v>
      </c>
      <c r="AT1227" s="20" t="e">
        <f t="shared" si="286"/>
        <v>#N/A</v>
      </c>
      <c r="BZ1227" s="64"/>
    </row>
    <row r="1228" spans="1:80" ht="61.5" x14ac:dyDescent="0.85">
      <c r="A1228" s="20">
        <v>1</v>
      </c>
      <c r="B1228" s="60">
        <f>SUBTOTAL(103,$A$1036:A1228)</f>
        <v>169</v>
      </c>
      <c r="C1228" s="101" t="s">
        <v>1592</v>
      </c>
      <c r="D1228" s="31">
        <f t="shared" si="296"/>
        <v>3004662.15</v>
      </c>
      <c r="E1228" s="31">
        <v>0</v>
      </c>
      <c r="F1228" s="31">
        <v>0</v>
      </c>
      <c r="G1228" s="31">
        <v>0</v>
      </c>
      <c r="H1228" s="31">
        <v>0</v>
      </c>
      <c r="I1228" s="31">
        <v>0</v>
      </c>
      <c r="J1228" s="31">
        <v>0</v>
      </c>
      <c r="K1228" s="67">
        <v>0</v>
      </c>
      <c r="L1228" s="31">
        <v>0</v>
      </c>
      <c r="M1228" s="31">
        <v>0</v>
      </c>
      <c r="N1228" s="31">
        <v>0</v>
      </c>
      <c r="O1228" s="31">
        <v>0</v>
      </c>
      <c r="P1228" s="31">
        <v>0</v>
      </c>
      <c r="Q1228" s="31">
        <v>0</v>
      </c>
      <c r="R1228" s="31">
        <v>0</v>
      </c>
      <c r="S1228" s="31">
        <v>0</v>
      </c>
      <c r="T1228" s="31">
        <v>0</v>
      </c>
      <c r="U1228" s="31">
        <f>2786886.72+25588.3</f>
        <v>2812475.02</v>
      </c>
      <c r="V1228" s="31">
        <v>0</v>
      </c>
      <c r="W1228" s="31">
        <v>0</v>
      </c>
      <c r="X1228" s="31">
        <v>0</v>
      </c>
      <c r="Y1228" s="31">
        <v>0</v>
      </c>
      <c r="Z1228" s="31">
        <v>0</v>
      </c>
      <c r="AA1228" s="31">
        <v>0</v>
      </c>
      <c r="AB1228" s="31">
        <v>0</v>
      </c>
      <c r="AC1228" s="31">
        <f>ROUND(U1228*1.5%,2)</f>
        <v>42187.13</v>
      </c>
      <c r="AD1228" s="31">
        <v>150000</v>
      </c>
      <c r="AE1228" s="31">
        <v>0</v>
      </c>
      <c r="AF1228" s="33">
        <v>2022</v>
      </c>
      <c r="AG1228" s="33">
        <v>2022</v>
      </c>
      <c r="AH1228" s="34">
        <v>2022</v>
      </c>
      <c r="BZ1228" s="64"/>
    </row>
    <row r="1229" spans="1:80" ht="61.5" x14ac:dyDescent="0.85">
      <c r="B1229" s="24" t="s">
        <v>837</v>
      </c>
      <c r="C1229" s="198"/>
      <c r="D1229" s="199">
        <f>D1230+D1231</f>
        <v>5777967.8699999992</v>
      </c>
      <c r="E1229" s="31">
        <f t="shared" ref="E1229:AE1229" si="297">E1230+E1231</f>
        <v>0</v>
      </c>
      <c r="F1229" s="31">
        <f t="shared" si="297"/>
        <v>0</v>
      </c>
      <c r="G1229" s="31">
        <f t="shared" si="297"/>
        <v>0</v>
      </c>
      <c r="H1229" s="31">
        <f t="shared" si="297"/>
        <v>0</v>
      </c>
      <c r="I1229" s="31">
        <f t="shared" si="297"/>
        <v>0</v>
      </c>
      <c r="J1229" s="31">
        <f t="shared" si="297"/>
        <v>0</v>
      </c>
      <c r="K1229" s="67">
        <f t="shared" si="297"/>
        <v>0</v>
      </c>
      <c r="L1229" s="31">
        <f t="shared" si="297"/>
        <v>0</v>
      </c>
      <c r="M1229" s="31">
        <f t="shared" si="297"/>
        <v>630</v>
      </c>
      <c r="N1229" s="31">
        <f t="shared" si="297"/>
        <v>3258269.85</v>
      </c>
      <c r="O1229" s="31">
        <f t="shared" si="297"/>
        <v>0</v>
      </c>
      <c r="P1229" s="31">
        <f t="shared" si="297"/>
        <v>0</v>
      </c>
      <c r="Q1229" s="31">
        <f t="shared" si="297"/>
        <v>437</v>
      </c>
      <c r="R1229" s="31">
        <f t="shared" si="297"/>
        <v>2158447.2599999998</v>
      </c>
      <c r="S1229" s="31">
        <f t="shared" si="297"/>
        <v>0</v>
      </c>
      <c r="T1229" s="31">
        <f t="shared" si="297"/>
        <v>0</v>
      </c>
      <c r="U1229" s="31">
        <f t="shared" si="297"/>
        <v>0</v>
      </c>
      <c r="V1229" s="31">
        <f t="shared" si="297"/>
        <v>0</v>
      </c>
      <c r="W1229" s="31">
        <f t="shared" si="297"/>
        <v>0</v>
      </c>
      <c r="X1229" s="31">
        <f t="shared" si="297"/>
        <v>0</v>
      </c>
      <c r="Y1229" s="31">
        <f t="shared" si="297"/>
        <v>0</v>
      </c>
      <c r="Z1229" s="31">
        <f t="shared" si="297"/>
        <v>0</v>
      </c>
      <c r="AA1229" s="31">
        <f t="shared" si="297"/>
        <v>0</v>
      </c>
      <c r="AB1229" s="31">
        <f t="shared" si="297"/>
        <v>0</v>
      </c>
      <c r="AC1229" s="31">
        <f t="shared" si="297"/>
        <v>81250.760000000009</v>
      </c>
      <c r="AD1229" s="31">
        <f t="shared" si="297"/>
        <v>280000</v>
      </c>
      <c r="AE1229" s="31">
        <f t="shared" si="297"/>
        <v>0</v>
      </c>
      <c r="AF1229" s="205" t="s">
        <v>751</v>
      </c>
      <c r="AG1229" s="205" t="s">
        <v>751</v>
      </c>
      <c r="AH1229" s="206" t="s">
        <v>751</v>
      </c>
      <c r="AT1229" s="20" t="e">
        <f t="shared" ref="AT1229:AT1271" si="298">VLOOKUP(C1229,AW:AX,2,FALSE)</f>
        <v>#N/A</v>
      </c>
      <c r="BZ1229" s="64">
        <v>5777967.8699999992</v>
      </c>
    </row>
    <row r="1230" spans="1:80" ht="61.5" x14ac:dyDescent="0.85">
      <c r="A1230" s="20">
        <v>1</v>
      </c>
      <c r="B1230" s="60">
        <f>SUBTOTAL(103,$A$1036:A1230)</f>
        <v>170</v>
      </c>
      <c r="C1230" s="101" t="s">
        <v>178</v>
      </c>
      <c r="D1230" s="31">
        <f>E1230+F1230+G1230+H1230+I1230+J1230+L1230+N1230+P1230+R1230+T1230+U1230+V1230+W1230+X1230+Y1230+Z1230+AA1230+AB1230+AC1230+AD1230+AE1230</f>
        <v>3457143.9</v>
      </c>
      <c r="E1230" s="31">
        <v>0</v>
      </c>
      <c r="F1230" s="31">
        <v>0</v>
      </c>
      <c r="G1230" s="31">
        <v>0</v>
      </c>
      <c r="H1230" s="31">
        <v>0</v>
      </c>
      <c r="I1230" s="31">
        <v>0</v>
      </c>
      <c r="J1230" s="31">
        <v>0</v>
      </c>
      <c r="K1230" s="67">
        <v>0</v>
      </c>
      <c r="L1230" s="31">
        <v>0</v>
      </c>
      <c r="M1230" s="31">
        <v>630</v>
      </c>
      <c r="N1230" s="31">
        <v>3258269.85</v>
      </c>
      <c r="O1230" s="31">
        <v>0</v>
      </c>
      <c r="P1230" s="31">
        <v>0</v>
      </c>
      <c r="Q1230" s="31">
        <v>0</v>
      </c>
      <c r="R1230" s="31">
        <v>0</v>
      </c>
      <c r="S1230" s="31">
        <v>0</v>
      </c>
      <c r="T1230" s="31">
        <v>0</v>
      </c>
      <c r="U1230" s="31">
        <v>0</v>
      </c>
      <c r="V1230" s="31">
        <v>0</v>
      </c>
      <c r="W1230" s="31">
        <v>0</v>
      </c>
      <c r="X1230" s="31">
        <v>0</v>
      </c>
      <c r="Y1230" s="31">
        <v>0</v>
      </c>
      <c r="Z1230" s="31">
        <v>0</v>
      </c>
      <c r="AA1230" s="31">
        <v>0</v>
      </c>
      <c r="AB1230" s="31">
        <v>0</v>
      </c>
      <c r="AC1230" s="31">
        <f>ROUND(N1230*1.5%,2)</f>
        <v>48874.05</v>
      </c>
      <c r="AD1230" s="31">
        <v>150000</v>
      </c>
      <c r="AE1230" s="31">
        <v>0</v>
      </c>
      <c r="AF1230" s="33">
        <v>2022</v>
      </c>
      <c r="AG1230" s="33">
        <v>2022</v>
      </c>
      <c r="AH1230" s="34">
        <v>2022</v>
      </c>
      <c r="AT1230" s="20" t="e">
        <f t="shared" si="298"/>
        <v>#N/A</v>
      </c>
      <c r="BZ1230" s="64"/>
    </row>
    <row r="1231" spans="1:80" ht="61.5" x14ac:dyDescent="0.85">
      <c r="A1231" s="20">
        <v>1</v>
      </c>
      <c r="B1231" s="60">
        <f>SUBTOTAL(103,$A$1036:A1231)</f>
        <v>171</v>
      </c>
      <c r="C1231" s="101" t="s">
        <v>179</v>
      </c>
      <c r="D1231" s="31">
        <f>E1231+F1231+G1231+H1231+I1231+J1231+L1231+N1231+P1231+R1231+T1231+U1231+V1231+W1231+X1231+Y1231+Z1231+AA1231+AB1231+AC1231+AD1231+AE1231</f>
        <v>2320823.9699999997</v>
      </c>
      <c r="E1231" s="31">
        <v>0</v>
      </c>
      <c r="F1231" s="31">
        <v>0</v>
      </c>
      <c r="G1231" s="31">
        <v>0</v>
      </c>
      <c r="H1231" s="31">
        <v>0</v>
      </c>
      <c r="I1231" s="31">
        <v>0</v>
      </c>
      <c r="J1231" s="31">
        <v>0</v>
      </c>
      <c r="K1231" s="67">
        <v>0</v>
      </c>
      <c r="L1231" s="31">
        <v>0</v>
      </c>
      <c r="M1231" s="31">
        <v>0</v>
      </c>
      <c r="N1231" s="31">
        <v>0</v>
      </c>
      <c r="O1231" s="31">
        <v>0</v>
      </c>
      <c r="P1231" s="31">
        <v>0</v>
      </c>
      <c r="Q1231" s="31">
        <v>437</v>
      </c>
      <c r="R1231" s="31">
        <v>2158447.2599999998</v>
      </c>
      <c r="S1231" s="31">
        <v>0</v>
      </c>
      <c r="T1231" s="31">
        <v>0</v>
      </c>
      <c r="U1231" s="31">
        <v>0</v>
      </c>
      <c r="V1231" s="31">
        <v>0</v>
      </c>
      <c r="W1231" s="31">
        <v>0</v>
      </c>
      <c r="X1231" s="31">
        <v>0</v>
      </c>
      <c r="Y1231" s="31">
        <v>0</v>
      </c>
      <c r="Z1231" s="31">
        <v>0</v>
      </c>
      <c r="AA1231" s="31">
        <v>0</v>
      </c>
      <c r="AB1231" s="31">
        <v>0</v>
      </c>
      <c r="AC1231" s="31">
        <f>ROUND(R1231*1.5%,2)</f>
        <v>32376.71</v>
      </c>
      <c r="AD1231" s="31">
        <v>130000</v>
      </c>
      <c r="AE1231" s="31">
        <v>0</v>
      </c>
      <c r="AF1231" s="33">
        <v>2022</v>
      </c>
      <c r="AG1231" s="33">
        <v>2022</v>
      </c>
      <c r="AH1231" s="34">
        <v>2022</v>
      </c>
      <c r="AT1231" s="20" t="e">
        <f t="shared" si="298"/>
        <v>#N/A</v>
      </c>
      <c r="BZ1231" s="64"/>
    </row>
    <row r="1232" spans="1:80" ht="61.5" x14ac:dyDescent="0.85">
      <c r="B1232" s="24" t="s">
        <v>834</v>
      </c>
      <c r="C1232" s="24"/>
      <c r="D1232" s="199">
        <f>D1233+D1234+D1235</f>
        <v>4715781.71</v>
      </c>
      <c r="E1232" s="31">
        <f t="shared" ref="E1232:AE1232" si="299">E1233+E1234+E1235</f>
        <v>0</v>
      </c>
      <c r="F1232" s="31">
        <f t="shared" si="299"/>
        <v>0</v>
      </c>
      <c r="G1232" s="31">
        <f t="shared" si="299"/>
        <v>0</v>
      </c>
      <c r="H1232" s="31">
        <f t="shared" si="299"/>
        <v>0</v>
      </c>
      <c r="I1232" s="31">
        <f t="shared" si="299"/>
        <v>0</v>
      </c>
      <c r="J1232" s="31">
        <f t="shared" si="299"/>
        <v>0</v>
      </c>
      <c r="K1232" s="67">
        <f t="shared" si="299"/>
        <v>0</v>
      </c>
      <c r="L1232" s="31">
        <f t="shared" si="299"/>
        <v>0</v>
      </c>
      <c r="M1232" s="31">
        <f t="shared" si="299"/>
        <v>543</v>
      </c>
      <c r="N1232" s="31">
        <f t="shared" si="299"/>
        <v>2724828.46</v>
      </c>
      <c r="O1232" s="31">
        <f t="shared" si="299"/>
        <v>0</v>
      </c>
      <c r="P1232" s="31">
        <f t="shared" si="299"/>
        <v>0</v>
      </c>
      <c r="Q1232" s="31">
        <f t="shared" si="299"/>
        <v>322</v>
      </c>
      <c r="R1232" s="31">
        <f t="shared" si="299"/>
        <v>1586286.52</v>
      </c>
      <c r="S1232" s="31">
        <f t="shared" si="299"/>
        <v>0</v>
      </c>
      <c r="T1232" s="31">
        <f t="shared" si="299"/>
        <v>0</v>
      </c>
      <c r="U1232" s="31">
        <f t="shared" si="299"/>
        <v>0</v>
      </c>
      <c r="V1232" s="31">
        <f t="shared" si="299"/>
        <v>0</v>
      </c>
      <c r="W1232" s="31">
        <f t="shared" si="299"/>
        <v>0</v>
      </c>
      <c r="X1232" s="31">
        <f t="shared" si="299"/>
        <v>0</v>
      </c>
      <c r="Y1232" s="31">
        <f t="shared" si="299"/>
        <v>0</v>
      </c>
      <c r="Z1232" s="31">
        <f t="shared" si="299"/>
        <v>0</v>
      </c>
      <c r="AA1232" s="31">
        <f t="shared" si="299"/>
        <v>0</v>
      </c>
      <c r="AB1232" s="31">
        <f t="shared" si="299"/>
        <v>0</v>
      </c>
      <c r="AC1232" s="31">
        <f t="shared" si="299"/>
        <v>64666.729999999996</v>
      </c>
      <c r="AD1232" s="31">
        <f t="shared" si="299"/>
        <v>340000</v>
      </c>
      <c r="AE1232" s="31">
        <f t="shared" si="299"/>
        <v>0</v>
      </c>
      <c r="AF1232" s="205" t="s">
        <v>751</v>
      </c>
      <c r="AG1232" s="205" t="s">
        <v>751</v>
      </c>
      <c r="AH1232" s="206" t="s">
        <v>751</v>
      </c>
      <c r="AT1232" s="20" t="e">
        <f t="shared" si="298"/>
        <v>#N/A</v>
      </c>
      <c r="BZ1232" s="64">
        <v>4715781.71</v>
      </c>
    </row>
    <row r="1233" spans="1:78" ht="61.5" x14ac:dyDescent="0.85">
      <c r="A1233" s="20">
        <v>1</v>
      </c>
      <c r="B1233" s="60">
        <f>SUBTOTAL(103,$A$1036:A1233)</f>
        <v>172</v>
      </c>
      <c r="C1233" s="101" t="s">
        <v>792</v>
      </c>
      <c r="D1233" s="31">
        <f>E1233+F1233+G1233+H1233+I1233+J1233+L1233+N1233+P1233+R1233+T1233+U1233+V1233+W1233+X1233+Y1233+Z1233+AA1233+AB1233+AC1233+AD1233+AE1233</f>
        <v>1710080.82</v>
      </c>
      <c r="E1233" s="31">
        <v>0</v>
      </c>
      <c r="F1233" s="31">
        <v>0</v>
      </c>
      <c r="G1233" s="31">
        <v>0</v>
      </c>
      <c r="H1233" s="31">
        <v>0</v>
      </c>
      <c r="I1233" s="31">
        <v>0</v>
      </c>
      <c r="J1233" s="31">
        <v>0</v>
      </c>
      <c r="K1233" s="67">
        <v>0</v>
      </c>
      <c r="L1233" s="31">
        <v>0</v>
      </c>
      <c r="M1233" s="31">
        <v>0</v>
      </c>
      <c r="N1233" s="31">
        <v>0</v>
      </c>
      <c r="O1233" s="31">
        <v>0</v>
      </c>
      <c r="P1233" s="31">
        <v>0</v>
      </c>
      <c r="Q1233" s="31">
        <v>322</v>
      </c>
      <c r="R1233" s="31">
        <v>1586286.52</v>
      </c>
      <c r="S1233" s="31">
        <v>0</v>
      </c>
      <c r="T1233" s="31">
        <v>0</v>
      </c>
      <c r="U1233" s="31">
        <v>0</v>
      </c>
      <c r="V1233" s="31">
        <v>0</v>
      </c>
      <c r="W1233" s="31">
        <v>0</v>
      </c>
      <c r="X1233" s="31">
        <v>0</v>
      </c>
      <c r="Y1233" s="31">
        <v>0</v>
      </c>
      <c r="Z1233" s="31">
        <v>0</v>
      </c>
      <c r="AA1233" s="31">
        <v>0</v>
      </c>
      <c r="AB1233" s="31">
        <v>0</v>
      </c>
      <c r="AC1233" s="31">
        <f>ROUND(R1233*1.5%,2)</f>
        <v>23794.3</v>
      </c>
      <c r="AD1233" s="31">
        <v>100000</v>
      </c>
      <c r="AE1233" s="31">
        <v>0</v>
      </c>
      <c r="AF1233" s="33">
        <v>2022</v>
      </c>
      <c r="AG1233" s="33">
        <v>2022</v>
      </c>
      <c r="AH1233" s="34">
        <v>2022</v>
      </c>
      <c r="AT1233" s="20" t="e">
        <f t="shared" si="298"/>
        <v>#N/A</v>
      </c>
      <c r="BZ1233" s="64"/>
    </row>
    <row r="1234" spans="1:78" ht="61.5" x14ac:dyDescent="0.85">
      <c r="A1234" s="20">
        <v>1</v>
      </c>
      <c r="B1234" s="60">
        <f>SUBTOTAL(103,$A$1036:A1234)</f>
        <v>173</v>
      </c>
      <c r="C1234" s="101" t="s">
        <v>182</v>
      </c>
      <c r="D1234" s="31">
        <f>E1234+F1234+G1234+H1234+I1234+J1234+L1234+N1234+P1234+R1234+T1234+U1234+V1234+W1234+X1234+Y1234+Z1234+AA1234+AB1234+AC1234+AD1234+AE1234</f>
        <v>1452729.9</v>
      </c>
      <c r="E1234" s="31">
        <v>0</v>
      </c>
      <c r="F1234" s="31">
        <v>0</v>
      </c>
      <c r="G1234" s="31">
        <v>0</v>
      </c>
      <c r="H1234" s="31">
        <v>0</v>
      </c>
      <c r="I1234" s="31">
        <v>0</v>
      </c>
      <c r="J1234" s="31">
        <v>0</v>
      </c>
      <c r="K1234" s="67">
        <v>0</v>
      </c>
      <c r="L1234" s="31">
        <v>0</v>
      </c>
      <c r="M1234" s="31">
        <v>260</v>
      </c>
      <c r="N1234" s="31">
        <v>1313034.3799999999</v>
      </c>
      <c r="O1234" s="31">
        <v>0</v>
      </c>
      <c r="P1234" s="31">
        <v>0</v>
      </c>
      <c r="Q1234" s="31">
        <v>0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31">
        <v>0</v>
      </c>
      <c r="X1234" s="31">
        <v>0</v>
      </c>
      <c r="Y1234" s="31">
        <v>0</v>
      </c>
      <c r="Z1234" s="31">
        <v>0</v>
      </c>
      <c r="AA1234" s="31">
        <v>0</v>
      </c>
      <c r="AB1234" s="31">
        <v>0</v>
      </c>
      <c r="AC1234" s="31">
        <f>ROUND(N1234*1.5%,2)</f>
        <v>19695.52</v>
      </c>
      <c r="AD1234" s="31">
        <v>120000</v>
      </c>
      <c r="AE1234" s="31">
        <v>0</v>
      </c>
      <c r="AF1234" s="33">
        <v>2022</v>
      </c>
      <c r="AG1234" s="33">
        <v>2022</v>
      </c>
      <c r="AH1234" s="34">
        <v>2022</v>
      </c>
      <c r="AT1234" s="20" t="e">
        <f t="shared" si="298"/>
        <v>#N/A</v>
      </c>
      <c r="BZ1234" s="64"/>
    </row>
    <row r="1235" spans="1:78" ht="61.5" x14ac:dyDescent="0.85">
      <c r="A1235" s="20">
        <v>1</v>
      </c>
      <c r="B1235" s="60">
        <f>SUBTOTAL(103,$A$1036:A1235)</f>
        <v>174</v>
      </c>
      <c r="C1235" s="101" t="s">
        <v>180</v>
      </c>
      <c r="D1235" s="31">
        <f>E1235+F1235+G1235+H1235+I1235+J1235+L1235+N1235+P1235+R1235+T1235+U1235+V1235+W1235+X1235+Y1235+Z1235+AA1235+AB1235+AC1235+AD1235+AE1235</f>
        <v>1552970.99</v>
      </c>
      <c r="E1235" s="31">
        <v>0</v>
      </c>
      <c r="F1235" s="31">
        <v>0</v>
      </c>
      <c r="G1235" s="31">
        <v>0</v>
      </c>
      <c r="H1235" s="31">
        <v>0</v>
      </c>
      <c r="I1235" s="31">
        <v>0</v>
      </c>
      <c r="J1235" s="31">
        <v>0</v>
      </c>
      <c r="K1235" s="67">
        <v>0</v>
      </c>
      <c r="L1235" s="31">
        <v>0</v>
      </c>
      <c r="M1235" s="31">
        <v>283</v>
      </c>
      <c r="N1235" s="31">
        <v>1411794.08</v>
      </c>
      <c r="O1235" s="31">
        <v>0</v>
      </c>
      <c r="P1235" s="31">
        <v>0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31">
        <v>0</v>
      </c>
      <c r="X1235" s="31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f>ROUND(N1235*1.5%,2)</f>
        <v>21176.91</v>
      </c>
      <c r="AD1235" s="31">
        <v>120000</v>
      </c>
      <c r="AE1235" s="31">
        <v>0</v>
      </c>
      <c r="AF1235" s="33">
        <v>2022</v>
      </c>
      <c r="AG1235" s="33">
        <v>2022</v>
      </c>
      <c r="AH1235" s="34">
        <v>2022</v>
      </c>
      <c r="AT1235" s="20" t="e">
        <f t="shared" si="298"/>
        <v>#N/A</v>
      </c>
      <c r="BZ1235" s="64"/>
    </row>
    <row r="1236" spans="1:78" ht="61.5" x14ac:dyDescent="0.85">
      <c r="B1236" s="24" t="s">
        <v>835</v>
      </c>
      <c r="C1236" s="24"/>
      <c r="D1236" s="199">
        <f>D1237+D1238</f>
        <v>2590114.16</v>
      </c>
      <c r="E1236" s="31">
        <f t="shared" ref="E1236:AE1236" si="300">E1237+E1238</f>
        <v>0</v>
      </c>
      <c r="F1236" s="31">
        <f t="shared" si="300"/>
        <v>0</v>
      </c>
      <c r="G1236" s="31">
        <f t="shared" si="300"/>
        <v>0</v>
      </c>
      <c r="H1236" s="31">
        <f t="shared" si="300"/>
        <v>0</v>
      </c>
      <c r="I1236" s="31">
        <f t="shared" si="300"/>
        <v>0</v>
      </c>
      <c r="J1236" s="31">
        <f t="shared" si="300"/>
        <v>0</v>
      </c>
      <c r="K1236" s="67">
        <f t="shared" si="300"/>
        <v>0</v>
      </c>
      <c r="L1236" s="31">
        <f t="shared" si="300"/>
        <v>0</v>
      </c>
      <c r="M1236" s="31">
        <f t="shared" si="300"/>
        <v>472</v>
      </c>
      <c r="N1236" s="31">
        <f t="shared" si="300"/>
        <v>2315383.41</v>
      </c>
      <c r="O1236" s="31">
        <f t="shared" si="300"/>
        <v>0</v>
      </c>
      <c r="P1236" s="31">
        <f t="shared" si="300"/>
        <v>0</v>
      </c>
      <c r="Q1236" s="31">
        <f t="shared" si="300"/>
        <v>0</v>
      </c>
      <c r="R1236" s="31">
        <f t="shared" si="300"/>
        <v>0</v>
      </c>
      <c r="S1236" s="31">
        <f t="shared" si="300"/>
        <v>0</v>
      </c>
      <c r="T1236" s="31">
        <f t="shared" si="300"/>
        <v>0</v>
      </c>
      <c r="U1236" s="31">
        <f t="shared" si="300"/>
        <v>0</v>
      </c>
      <c r="V1236" s="31">
        <f t="shared" si="300"/>
        <v>0</v>
      </c>
      <c r="W1236" s="31">
        <f t="shared" si="300"/>
        <v>0</v>
      </c>
      <c r="X1236" s="31">
        <f t="shared" si="300"/>
        <v>0</v>
      </c>
      <c r="Y1236" s="31">
        <f t="shared" si="300"/>
        <v>0</v>
      </c>
      <c r="Z1236" s="31">
        <f t="shared" si="300"/>
        <v>0</v>
      </c>
      <c r="AA1236" s="31">
        <f t="shared" si="300"/>
        <v>0</v>
      </c>
      <c r="AB1236" s="31">
        <f t="shared" si="300"/>
        <v>0</v>
      </c>
      <c r="AC1236" s="31">
        <f t="shared" si="300"/>
        <v>34730.75</v>
      </c>
      <c r="AD1236" s="31">
        <f t="shared" si="300"/>
        <v>240000</v>
      </c>
      <c r="AE1236" s="31">
        <f t="shared" si="300"/>
        <v>0</v>
      </c>
      <c r="AF1236" s="205" t="s">
        <v>751</v>
      </c>
      <c r="AG1236" s="205" t="s">
        <v>751</v>
      </c>
      <c r="AH1236" s="206" t="s">
        <v>751</v>
      </c>
      <c r="AT1236" s="20" t="e">
        <f t="shared" si="298"/>
        <v>#N/A</v>
      </c>
      <c r="BZ1236" s="64">
        <v>2590114.16</v>
      </c>
    </row>
    <row r="1237" spans="1:78" ht="61.5" x14ac:dyDescent="0.85">
      <c r="A1237" s="20">
        <v>1</v>
      </c>
      <c r="B1237" s="60">
        <f>SUBTOTAL(103,$A$1036:A1237)</f>
        <v>175</v>
      </c>
      <c r="C1237" s="101" t="s">
        <v>1693</v>
      </c>
      <c r="D1237" s="31">
        <f>E1237+F1237+G1237+H1237+I1237+J1237+L1237+N1237+P1237+R1237+T1237+U1237+V1237+W1237+X1237+Y1237+Z1237+AA1237+AB1237+AC1237+AD1237+AE1237</f>
        <v>1262131.9000000001</v>
      </c>
      <c r="E1237" s="31">
        <v>0</v>
      </c>
      <c r="F1237" s="31">
        <v>0</v>
      </c>
      <c r="G1237" s="31">
        <v>0</v>
      </c>
      <c r="H1237" s="31">
        <v>0</v>
      </c>
      <c r="I1237" s="31">
        <v>0</v>
      </c>
      <c r="J1237" s="31">
        <v>0</v>
      </c>
      <c r="K1237" s="67">
        <v>0</v>
      </c>
      <c r="L1237" s="31">
        <v>0</v>
      </c>
      <c r="M1237" s="31">
        <v>230</v>
      </c>
      <c r="N1237" s="31">
        <v>1125253.1000000001</v>
      </c>
      <c r="O1237" s="31">
        <v>0</v>
      </c>
      <c r="P1237" s="31">
        <v>0</v>
      </c>
      <c r="Q1237" s="31">
        <v>0</v>
      </c>
      <c r="R1237" s="31">
        <v>0</v>
      </c>
      <c r="S1237" s="31">
        <v>0</v>
      </c>
      <c r="T1237" s="31">
        <v>0</v>
      </c>
      <c r="U1237" s="31">
        <v>0</v>
      </c>
      <c r="V1237" s="31">
        <v>0</v>
      </c>
      <c r="W1237" s="31">
        <v>0</v>
      </c>
      <c r="X1237" s="31">
        <v>0</v>
      </c>
      <c r="Y1237" s="31">
        <v>0</v>
      </c>
      <c r="Z1237" s="31">
        <v>0</v>
      </c>
      <c r="AA1237" s="31">
        <v>0</v>
      </c>
      <c r="AB1237" s="31">
        <v>0</v>
      </c>
      <c r="AC1237" s="31">
        <f>ROUND(N1237*1.5%,2)</f>
        <v>16878.8</v>
      </c>
      <c r="AD1237" s="31">
        <v>120000</v>
      </c>
      <c r="AE1237" s="31">
        <v>0</v>
      </c>
      <c r="AF1237" s="33">
        <v>2022</v>
      </c>
      <c r="AG1237" s="33">
        <v>2022</v>
      </c>
      <c r="AH1237" s="34">
        <v>2022</v>
      </c>
      <c r="AT1237" s="20" t="e">
        <f t="shared" si="298"/>
        <v>#N/A</v>
      </c>
      <c r="BZ1237" s="64"/>
    </row>
    <row r="1238" spans="1:78" ht="61.5" x14ac:dyDescent="0.85">
      <c r="A1238" s="20">
        <v>1</v>
      </c>
      <c r="B1238" s="60">
        <f>SUBTOTAL(103,$A$1036:A1238)</f>
        <v>176</v>
      </c>
      <c r="C1238" s="101" t="s">
        <v>177</v>
      </c>
      <c r="D1238" s="31">
        <f>E1238+F1238+G1238+H1238+I1238+J1238+L1238+N1238+P1238+R1238+T1238+U1238+V1238+W1238+X1238+Y1238+Z1238+AA1238+AB1238+AC1238+AD1238+AE1238</f>
        <v>1327982.26</v>
      </c>
      <c r="E1238" s="31">
        <v>0</v>
      </c>
      <c r="F1238" s="31">
        <v>0</v>
      </c>
      <c r="G1238" s="31">
        <v>0</v>
      </c>
      <c r="H1238" s="31">
        <v>0</v>
      </c>
      <c r="I1238" s="31">
        <v>0</v>
      </c>
      <c r="J1238" s="31">
        <v>0</v>
      </c>
      <c r="K1238" s="67">
        <v>0</v>
      </c>
      <c r="L1238" s="31">
        <v>0</v>
      </c>
      <c r="M1238" s="31">
        <v>242</v>
      </c>
      <c r="N1238" s="31">
        <v>1190130.31</v>
      </c>
      <c r="O1238" s="31">
        <v>0</v>
      </c>
      <c r="P1238" s="31">
        <v>0</v>
      </c>
      <c r="Q1238" s="31">
        <v>0</v>
      </c>
      <c r="R1238" s="31">
        <v>0</v>
      </c>
      <c r="S1238" s="31">
        <v>0</v>
      </c>
      <c r="T1238" s="31">
        <v>0</v>
      </c>
      <c r="U1238" s="31">
        <v>0</v>
      </c>
      <c r="V1238" s="31">
        <v>0</v>
      </c>
      <c r="W1238" s="31">
        <v>0</v>
      </c>
      <c r="X1238" s="31">
        <v>0</v>
      </c>
      <c r="Y1238" s="31">
        <v>0</v>
      </c>
      <c r="Z1238" s="31">
        <v>0</v>
      </c>
      <c r="AA1238" s="31">
        <v>0</v>
      </c>
      <c r="AB1238" s="31">
        <v>0</v>
      </c>
      <c r="AC1238" s="31">
        <f>ROUND(N1238*1.5%,2)</f>
        <v>17851.95</v>
      </c>
      <c r="AD1238" s="31">
        <v>120000</v>
      </c>
      <c r="AE1238" s="31">
        <v>0</v>
      </c>
      <c r="AF1238" s="33">
        <v>2022</v>
      </c>
      <c r="AG1238" s="33">
        <v>2022</v>
      </c>
      <c r="AH1238" s="34">
        <v>2022</v>
      </c>
      <c r="AT1238" s="20" t="e">
        <f t="shared" si="298"/>
        <v>#N/A</v>
      </c>
      <c r="BZ1238" s="64"/>
    </row>
    <row r="1239" spans="1:78" ht="61.5" x14ac:dyDescent="0.85">
      <c r="B1239" s="24" t="s">
        <v>836</v>
      </c>
      <c r="C1239" s="24"/>
      <c r="D1239" s="199">
        <f>D1240</f>
        <v>1456533.11</v>
      </c>
      <c r="E1239" s="31">
        <f t="shared" ref="E1239:AE1239" si="301">E1240</f>
        <v>0</v>
      </c>
      <c r="F1239" s="31">
        <f t="shared" si="301"/>
        <v>0</v>
      </c>
      <c r="G1239" s="31">
        <f t="shared" si="301"/>
        <v>0</v>
      </c>
      <c r="H1239" s="31">
        <f t="shared" si="301"/>
        <v>0</v>
      </c>
      <c r="I1239" s="31">
        <f t="shared" si="301"/>
        <v>0</v>
      </c>
      <c r="J1239" s="31">
        <f t="shared" si="301"/>
        <v>0</v>
      </c>
      <c r="K1239" s="67">
        <f t="shared" si="301"/>
        <v>0</v>
      </c>
      <c r="L1239" s="31">
        <f t="shared" si="301"/>
        <v>0</v>
      </c>
      <c r="M1239" s="31">
        <f t="shared" si="301"/>
        <v>280</v>
      </c>
      <c r="N1239" s="31">
        <f t="shared" si="301"/>
        <v>1356190.26</v>
      </c>
      <c r="O1239" s="31">
        <f t="shared" si="301"/>
        <v>0</v>
      </c>
      <c r="P1239" s="31">
        <f t="shared" si="301"/>
        <v>0</v>
      </c>
      <c r="Q1239" s="31">
        <f t="shared" si="301"/>
        <v>0</v>
      </c>
      <c r="R1239" s="31">
        <f t="shared" si="301"/>
        <v>0</v>
      </c>
      <c r="S1239" s="31">
        <f t="shared" si="301"/>
        <v>0</v>
      </c>
      <c r="T1239" s="31">
        <f t="shared" si="301"/>
        <v>0</v>
      </c>
      <c r="U1239" s="31">
        <f t="shared" si="301"/>
        <v>0</v>
      </c>
      <c r="V1239" s="31">
        <f t="shared" si="301"/>
        <v>0</v>
      </c>
      <c r="W1239" s="31">
        <f t="shared" si="301"/>
        <v>0</v>
      </c>
      <c r="X1239" s="31">
        <f t="shared" si="301"/>
        <v>0</v>
      </c>
      <c r="Y1239" s="31">
        <f t="shared" si="301"/>
        <v>0</v>
      </c>
      <c r="Z1239" s="31">
        <f t="shared" si="301"/>
        <v>0</v>
      </c>
      <c r="AA1239" s="31">
        <f t="shared" si="301"/>
        <v>0</v>
      </c>
      <c r="AB1239" s="31">
        <f t="shared" si="301"/>
        <v>0</v>
      </c>
      <c r="AC1239" s="31">
        <f t="shared" si="301"/>
        <v>20342.849999999999</v>
      </c>
      <c r="AD1239" s="31">
        <f t="shared" si="301"/>
        <v>80000</v>
      </c>
      <c r="AE1239" s="31">
        <f t="shared" si="301"/>
        <v>0</v>
      </c>
      <c r="AF1239" s="205" t="s">
        <v>751</v>
      </c>
      <c r="AG1239" s="205" t="s">
        <v>751</v>
      </c>
      <c r="AH1239" s="206" t="s">
        <v>751</v>
      </c>
      <c r="AT1239" s="20" t="e">
        <f t="shared" si="298"/>
        <v>#N/A</v>
      </c>
      <c r="BZ1239" s="64">
        <v>1456533.11</v>
      </c>
    </row>
    <row r="1240" spans="1:78" ht="61.5" x14ac:dyDescent="0.85">
      <c r="A1240" s="20">
        <v>1</v>
      </c>
      <c r="B1240" s="60">
        <f>SUBTOTAL(103,$A$1036:A1240)</f>
        <v>177</v>
      </c>
      <c r="C1240" s="101" t="s">
        <v>793</v>
      </c>
      <c r="D1240" s="31">
        <f>E1240+F1240+G1240+H1240+I1240+J1240+L1240+N1240+P1240+R1240+T1240+U1240+V1240+W1240+X1240+Y1240+Z1240+AA1240+AB1240+AC1240+AD1240+AE1240</f>
        <v>1456533.11</v>
      </c>
      <c r="E1240" s="31">
        <v>0</v>
      </c>
      <c r="F1240" s="31">
        <v>0</v>
      </c>
      <c r="G1240" s="31">
        <v>0</v>
      </c>
      <c r="H1240" s="31">
        <v>0</v>
      </c>
      <c r="I1240" s="31">
        <v>0</v>
      </c>
      <c r="J1240" s="31">
        <v>0</v>
      </c>
      <c r="K1240" s="67">
        <v>0</v>
      </c>
      <c r="L1240" s="31">
        <v>0</v>
      </c>
      <c r="M1240" s="31">
        <v>280</v>
      </c>
      <c r="N1240" s="31">
        <v>1356190.26</v>
      </c>
      <c r="O1240" s="31">
        <v>0</v>
      </c>
      <c r="P1240" s="31">
        <v>0</v>
      </c>
      <c r="Q1240" s="31">
        <v>0</v>
      </c>
      <c r="R1240" s="31">
        <v>0</v>
      </c>
      <c r="S1240" s="31">
        <v>0</v>
      </c>
      <c r="T1240" s="31">
        <v>0</v>
      </c>
      <c r="U1240" s="31">
        <v>0</v>
      </c>
      <c r="V1240" s="31">
        <v>0</v>
      </c>
      <c r="W1240" s="31">
        <v>0</v>
      </c>
      <c r="X1240" s="31">
        <v>0</v>
      </c>
      <c r="Y1240" s="31">
        <v>0</v>
      </c>
      <c r="Z1240" s="31">
        <v>0</v>
      </c>
      <c r="AA1240" s="31">
        <v>0</v>
      </c>
      <c r="AB1240" s="31">
        <v>0</v>
      </c>
      <c r="AC1240" s="31">
        <f>ROUND(N1240*1.5%,2)</f>
        <v>20342.849999999999</v>
      </c>
      <c r="AD1240" s="31">
        <v>80000</v>
      </c>
      <c r="AE1240" s="31">
        <v>0</v>
      </c>
      <c r="AF1240" s="33">
        <v>2022</v>
      </c>
      <c r="AG1240" s="33">
        <v>2022</v>
      </c>
      <c r="AH1240" s="34">
        <v>2022</v>
      </c>
      <c r="AT1240" s="20" t="e">
        <f t="shared" si="298"/>
        <v>#N/A</v>
      </c>
      <c r="BZ1240" s="64"/>
    </row>
    <row r="1241" spans="1:78" ht="61.5" x14ac:dyDescent="0.85">
      <c r="B1241" s="24" t="s">
        <v>838</v>
      </c>
      <c r="C1241" s="198"/>
      <c r="D1241" s="199">
        <f>D1242+D1243+D1244</f>
        <v>10290828.25</v>
      </c>
      <c r="E1241" s="31">
        <f t="shared" ref="E1241:AE1241" si="302">E1242+E1243+E1244</f>
        <v>0</v>
      </c>
      <c r="F1241" s="31">
        <f t="shared" si="302"/>
        <v>0</v>
      </c>
      <c r="G1241" s="31">
        <f t="shared" si="302"/>
        <v>0</v>
      </c>
      <c r="H1241" s="31">
        <f t="shared" si="302"/>
        <v>0</v>
      </c>
      <c r="I1241" s="31">
        <f t="shared" si="302"/>
        <v>0</v>
      </c>
      <c r="J1241" s="31">
        <f t="shared" si="302"/>
        <v>0</v>
      </c>
      <c r="K1241" s="67">
        <f t="shared" si="302"/>
        <v>0</v>
      </c>
      <c r="L1241" s="31">
        <f t="shared" si="302"/>
        <v>0</v>
      </c>
      <c r="M1241" s="31">
        <f t="shared" si="302"/>
        <v>1825</v>
      </c>
      <c r="N1241" s="31">
        <f t="shared" si="302"/>
        <v>9695397.290000001</v>
      </c>
      <c r="O1241" s="31">
        <f t="shared" si="302"/>
        <v>0</v>
      </c>
      <c r="P1241" s="31">
        <f t="shared" si="302"/>
        <v>0</v>
      </c>
      <c r="Q1241" s="31">
        <f t="shared" si="302"/>
        <v>0</v>
      </c>
      <c r="R1241" s="31">
        <f t="shared" si="302"/>
        <v>0</v>
      </c>
      <c r="S1241" s="31">
        <f t="shared" si="302"/>
        <v>0</v>
      </c>
      <c r="T1241" s="31">
        <f t="shared" si="302"/>
        <v>0</v>
      </c>
      <c r="U1241" s="31">
        <f t="shared" si="302"/>
        <v>0</v>
      </c>
      <c r="V1241" s="31">
        <f t="shared" si="302"/>
        <v>0</v>
      </c>
      <c r="W1241" s="31">
        <f t="shared" si="302"/>
        <v>0</v>
      </c>
      <c r="X1241" s="31">
        <f t="shared" si="302"/>
        <v>0</v>
      </c>
      <c r="Y1241" s="31">
        <f t="shared" si="302"/>
        <v>0</v>
      </c>
      <c r="Z1241" s="31">
        <f t="shared" si="302"/>
        <v>0</v>
      </c>
      <c r="AA1241" s="31">
        <f t="shared" si="302"/>
        <v>0</v>
      </c>
      <c r="AB1241" s="31">
        <f t="shared" si="302"/>
        <v>0</v>
      </c>
      <c r="AC1241" s="31">
        <f t="shared" si="302"/>
        <v>145430.96</v>
      </c>
      <c r="AD1241" s="31">
        <f t="shared" si="302"/>
        <v>450000</v>
      </c>
      <c r="AE1241" s="31">
        <f t="shared" si="302"/>
        <v>0</v>
      </c>
      <c r="AF1241" s="205" t="s">
        <v>751</v>
      </c>
      <c r="AG1241" s="205" t="s">
        <v>751</v>
      </c>
      <c r="AH1241" s="206" t="s">
        <v>751</v>
      </c>
      <c r="AT1241" s="20" t="e">
        <f t="shared" si="298"/>
        <v>#N/A</v>
      </c>
      <c r="BZ1241" s="64">
        <v>10290828.25</v>
      </c>
    </row>
    <row r="1242" spans="1:78" ht="61.5" x14ac:dyDescent="0.85">
      <c r="A1242" s="20">
        <v>1</v>
      </c>
      <c r="B1242" s="60">
        <f>SUBTOTAL(103,$A$1036:A1242)</f>
        <v>178</v>
      </c>
      <c r="C1242" s="101" t="s">
        <v>85</v>
      </c>
      <c r="D1242" s="31">
        <f>E1242+F1242+G1242+H1242+I1242+J1242+L1242+N1242+P1242+R1242+T1242+U1242+V1242+W1242+X1242+Y1242+Z1242+AA1242+AB1242+AC1242+AD1242+AE1242</f>
        <v>3665226.5</v>
      </c>
      <c r="E1242" s="31">
        <v>0</v>
      </c>
      <c r="F1242" s="31">
        <v>0</v>
      </c>
      <c r="G1242" s="31">
        <v>0</v>
      </c>
      <c r="H1242" s="31">
        <v>0</v>
      </c>
      <c r="I1242" s="31">
        <v>0</v>
      </c>
      <c r="J1242" s="31">
        <v>0</v>
      </c>
      <c r="K1242" s="67">
        <v>0</v>
      </c>
      <c r="L1242" s="31">
        <v>0</v>
      </c>
      <c r="M1242" s="31">
        <v>650</v>
      </c>
      <c r="N1242" s="31">
        <v>3463277.34</v>
      </c>
      <c r="O1242" s="31">
        <v>0</v>
      </c>
      <c r="P1242" s="31">
        <v>0</v>
      </c>
      <c r="Q1242" s="31">
        <v>0</v>
      </c>
      <c r="R1242" s="31">
        <v>0</v>
      </c>
      <c r="S1242" s="31">
        <v>0</v>
      </c>
      <c r="T1242" s="31">
        <v>0</v>
      </c>
      <c r="U1242" s="31">
        <v>0</v>
      </c>
      <c r="V1242" s="31">
        <v>0</v>
      </c>
      <c r="W1242" s="31">
        <v>0</v>
      </c>
      <c r="X1242" s="31">
        <v>0</v>
      </c>
      <c r="Y1242" s="31">
        <v>0</v>
      </c>
      <c r="Z1242" s="31">
        <v>0</v>
      </c>
      <c r="AA1242" s="31">
        <v>0</v>
      </c>
      <c r="AB1242" s="31">
        <v>0</v>
      </c>
      <c r="AC1242" s="31">
        <f>ROUND(N1242*1.5%,2)</f>
        <v>51949.16</v>
      </c>
      <c r="AD1242" s="31">
        <v>150000</v>
      </c>
      <c r="AE1242" s="31">
        <v>0</v>
      </c>
      <c r="AF1242" s="33">
        <v>2022</v>
      </c>
      <c r="AG1242" s="33">
        <v>2022</v>
      </c>
      <c r="AH1242" s="34">
        <v>2022</v>
      </c>
      <c r="AT1242" s="20" t="e">
        <f t="shared" si="298"/>
        <v>#N/A</v>
      </c>
      <c r="BZ1242" s="64"/>
    </row>
    <row r="1243" spans="1:78" ht="61.5" x14ac:dyDescent="0.85">
      <c r="A1243" s="20">
        <v>1</v>
      </c>
      <c r="B1243" s="60">
        <f>SUBTOTAL(103,$A$1036:A1243)</f>
        <v>179</v>
      </c>
      <c r="C1243" s="101" t="s">
        <v>86</v>
      </c>
      <c r="D1243" s="31">
        <f>E1243+F1243+G1243+H1243+I1243+J1243+L1243+N1243+P1243+R1243+T1243+U1243+V1243+W1243+X1243+Y1243+Z1243+AA1243+AB1243+AC1243+AD1243+AE1243</f>
        <v>3185927.6500000004</v>
      </c>
      <c r="E1243" s="31">
        <v>0</v>
      </c>
      <c r="F1243" s="31">
        <v>0</v>
      </c>
      <c r="G1243" s="31">
        <v>0</v>
      </c>
      <c r="H1243" s="31">
        <v>0</v>
      </c>
      <c r="I1243" s="31">
        <v>0</v>
      </c>
      <c r="J1243" s="31">
        <v>0</v>
      </c>
      <c r="K1243" s="67">
        <v>0</v>
      </c>
      <c r="L1243" s="31">
        <v>0</v>
      </c>
      <c r="M1243" s="31">
        <v>565</v>
      </c>
      <c r="N1243" s="31">
        <v>2991061.72</v>
      </c>
      <c r="O1243" s="31">
        <v>0</v>
      </c>
      <c r="P1243" s="31">
        <v>0</v>
      </c>
      <c r="Q1243" s="31">
        <v>0</v>
      </c>
      <c r="R1243" s="31">
        <v>0</v>
      </c>
      <c r="S1243" s="31">
        <v>0</v>
      </c>
      <c r="T1243" s="31">
        <v>0</v>
      </c>
      <c r="U1243" s="31">
        <v>0</v>
      </c>
      <c r="V1243" s="31">
        <v>0</v>
      </c>
      <c r="W1243" s="31">
        <v>0</v>
      </c>
      <c r="X1243" s="31">
        <v>0</v>
      </c>
      <c r="Y1243" s="31">
        <v>0</v>
      </c>
      <c r="Z1243" s="31">
        <v>0</v>
      </c>
      <c r="AA1243" s="31">
        <v>0</v>
      </c>
      <c r="AB1243" s="31">
        <v>0</v>
      </c>
      <c r="AC1243" s="31">
        <f>ROUND(N1243*1.5%,2)</f>
        <v>44865.93</v>
      </c>
      <c r="AD1243" s="31">
        <v>150000</v>
      </c>
      <c r="AE1243" s="31">
        <v>0</v>
      </c>
      <c r="AF1243" s="33">
        <v>2022</v>
      </c>
      <c r="AG1243" s="33">
        <v>2022</v>
      </c>
      <c r="AH1243" s="34">
        <v>2022</v>
      </c>
      <c r="AT1243" s="20" t="e">
        <f t="shared" si="298"/>
        <v>#N/A</v>
      </c>
      <c r="BZ1243" s="64"/>
    </row>
    <row r="1244" spans="1:78" ht="61.5" x14ac:dyDescent="0.85">
      <c r="A1244" s="20">
        <v>1</v>
      </c>
      <c r="B1244" s="60">
        <f>SUBTOTAL(103,$A$1036:A1244)</f>
        <v>180</v>
      </c>
      <c r="C1244" s="101" t="s">
        <v>84</v>
      </c>
      <c r="D1244" s="31">
        <f>E1244+F1244+G1244+H1244+I1244+J1244+L1244+N1244+P1244+R1244+T1244+U1244+V1244+W1244+X1244+Y1244+Z1244+AA1244+AB1244+AC1244+AD1244+AE1244</f>
        <v>3439674.1</v>
      </c>
      <c r="E1244" s="31">
        <v>0</v>
      </c>
      <c r="F1244" s="31">
        <v>0</v>
      </c>
      <c r="G1244" s="31">
        <v>0</v>
      </c>
      <c r="H1244" s="31">
        <v>0</v>
      </c>
      <c r="I1244" s="31">
        <v>0</v>
      </c>
      <c r="J1244" s="31">
        <v>0</v>
      </c>
      <c r="K1244" s="67">
        <v>0</v>
      </c>
      <c r="L1244" s="31">
        <v>0</v>
      </c>
      <c r="M1244" s="31">
        <v>610</v>
      </c>
      <c r="N1244" s="31">
        <v>3241058.23</v>
      </c>
      <c r="O1244" s="31">
        <v>0</v>
      </c>
      <c r="P1244" s="31">
        <v>0</v>
      </c>
      <c r="Q1244" s="31">
        <v>0</v>
      </c>
      <c r="R1244" s="31">
        <v>0</v>
      </c>
      <c r="S1244" s="31">
        <v>0</v>
      </c>
      <c r="T1244" s="31">
        <v>0</v>
      </c>
      <c r="U1244" s="31">
        <v>0</v>
      </c>
      <c r="V1244" s="31">
        <v>0</v>
      </c>
      <c r="W1244" s="31">
        <v>0</v>
      </c>
      <c r="X1244" s="31">
        <v>0</v>
      </c>
      <c r="Y1244" s="31">
        <v>0</v>
      </c>
      <c r="Z1244" s="31">
        <v>0</v>
      </c>
      <c r="AA1244" s="31">
        <v>0</v>
      </c>
      <c r="AB1244" s="31">
        <v>0</v>
      </c>
      <c r="AC1244" s="31">
        <f>ROUND(N1244*1.5%,2)</f>
        <v>48615.87</v>
      </c>
      <c r="AD1244" s="31">
        <v>150000</v>
      </c>
      <c r="AE1244" s="31">
        <v>0</v>
      </c>
      <c r="AF1244" s="33">
        <v>2022</v>
      </c>
      <c r="AG1244" s="33">
        <v>2022</v>
      </c>
      <c r="AH1244" s="34">
        <v>2022</v>
      </c>
      <c r="AT1244" s="20" t="e">
        <f t="shared" si="298"/>
        <v>#N/A</v>
      </c>
      <c r="BZ1244" s="64"/>
    </row>
    <row r="1245" spans="1:78" ht="61.5" x14ac:dyDescent="0.85">
      <c r="B1245" s="24" t="s">
        <v>839</v>
      </c>
      <c r="C1245" s="24"/>
      <c r="D1245" s="199">
        <f>D1246</f>
        <v>3013803.8600000003</v>
      </c>
      <c r="E1245" s="31">
        <f t="shared" ref="E1245:AE1245" si="303">E1246</f>
        <v>0</v>
      </c>
      <c r="F1245" s="31">
        <f t="shared" si="303"/>
        <v>0</v>
      </c>
      <c r="G1245" s="31">
        <f t="shared" si="303"/>
        <v>0</v>
      </c>
      <c r="H1245" s="31">
        <f t="shared" si="303"/>
        <v>0</v>
      </c>
      <c r="I1245" s="31">
        <f t="shared" si="303"/>
        <v>0</v>
      </c>
      <c r="J1245" s="31">
        <f t="shared" si="303"/>
        <v>0</v>
      </c>
      <c r="K1245" s="67">
        <f t="shared" si="303"/>
        <v>0</v>
      </c>
      <c r="L1245" s="31">
        <f t="shared" si="303"/>
        <v>0</v>
      </c>
      <c r="M1245" s="31">
        <f t="shared" si="303"/>
        <v>586</v>
      </c>
      <c r="N1245" s="31">
        <f t="shared" si="303"/>
        <v>2821481.64</v>
      </c>
      <c r="O1245" s="31">
        <f t="shared" si="303"/>
        <v>0</v>
      </c>
      <c r="P1245" s="31">
        <f t="shared" si="303"/>
        <v>0</v>
      </c>
      <c r="Q1245" s="31">
        <f t="shared" si="303"/>
        <v>0</v>
      </c>
      <c r="R1245" s="31">
        <f t="shared" si="303"/>
        <v>0</v>
      </c>
      <c r="S1245" s="31">
        <f t="shared" si="303"/>
        <v>0</v>
      </c>
      <c r="T1245" s="31">
        <f t="shared" si="303"/>
        <v>0</v>
      </c>
      <c r="U1245" s="31">
        <f t="shared" si="303"/>
        <v>0</v>
      </c>
      <c r="V1245" s="31">
        <f t="shared" si="303"/>
        <v>0</v>
      </c>
      <c r="W1245" s="31">
        <f t="shared" si="303"/>
        <v>0</v>
      </c>
      <c r="X1245" s="31">
        <f t="shared" si="303"/>
        <v>0</v>
      </c>
      <c r="Y1245" s="31">
        <f t="shared" si="303"/>
        <v>0</v>
      </c>
      <c r="Z1245" s="31">
        <f t="shared" si="303"/>
        <v>0</v>
      </c>
      <c r="AA1245" s="31">
        <f t="shared" si="303"/>
        <v>0</v>
      </c>
      <c r="AB1245" s="31">
        <f t="shared" si="303"/>
        <v>0</v>
      </c>
      <c r="AC1245" s="31">
        <f t="shared" si="303"/>
        <v>42322.22</v>
      </c>
      <c r="AD1245" s="31">
        <f t="shared" si="303"/>
        <v>150000</v>
      </c>
      <c r="AE1245" s="31">
        <f t="shared" si="303"/>
        <v>0</v>
      </c>
      <c r="AF1245" s="205" t="s">
        <v>751</v>
      </c>
      <c r="AG1245" s="205" t="s">
        <v>751</v>
      </c>
      <c r="AH1245" s="206" t="s">
        <v>751</v>
      </c>
      <c r="AT1245" s="20" t="e">
        <f t="shared" si="298"/>
        <v>#N/A</v>
      </c>
      <c r="BZ1245" s="64">
        <v>3013803.8600000003</v>
      </c>
    </row>
    <row r="1246" spans="1:78" ht="61.5" x14ac:dyDescent="0.85">
      <c r="A1246" s="20">
        <v>1</v>
      </c>
      <c r="B1246" s="60">
        <f>SUBTOTAL(103,$A$1036:A1246)</f>
        <v>181</v>
      </c>
      <c r="C1246" s="101" t="s">
        <v>88</v>
      </c>
      <c r="D1246" s="31">
        <f>E1246+F1246+G1246+H1246+I1246+J1246+L1246+N1246+P1246+R1246+T1246+U1246+V1246+W1246+X1246+Y1246+Z1246+AA1246+AB1246+AC1246+AD1246+AE1246</f>
        <v>3013803.8600000003</v>
      </c>
      <c r="E1246" s="31">
        <v>0</v>
      </c>
      <c r="F1246" s="31">
        <v>0</v>
      </c>
      <c r="G1246" s="31">
        <v>0</v>
      </c>
      <c r="H1246" s="31">
        <v>0</v>
      </c>
      <c r="I1246" s="31">
        <v>0</v>
      </c>
      <c r="J1246" s="31">
        <v>0</v>
      </c>
      <c r="K1246" s="67">
        <v>0</v>
      </c>
      <c r="L1246" s="31">
        <v>0</v>
      </c>
      <c r="M1246" s="31">
        <v>586</v>
      </c>
      <c r="N1246" s="31">
        <v>2821481.64</v>
      </c>
      <c r="O1246" s="31">
        <v>0</v>
      </c>
      <c r="P1246" s="31">
        <v>0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31">
        <v>0</v>
      </c>
      <c r="X1246" s="31">
        <v>0</v>
      </c>
      <c r="Y1246" s="31">
        <v>0</v>
      </c>
      <c r="Z1246" s="31">
        <v>0</v>
      </c>
      <c r="AA1246" s="31">
        <v>0</v>
      </c>
      <c r="AB1246" s="31">
        <v>0</v>
      </c>
      <c r="AC1246" s="31">
        <f>ROUND(N1246*1.5%,2)</f>
        <v>42322.22</v>
      </c>
      <c r="AD1246" s="31">
        <v>150000</v>
      </c>
      <c r="AE1246" s="31">
        <v>0</v>
      </c>
      <c r="AF1246" s="33">
        <v>2022</v>
      </c>
      <c r="AG1246" s="33">
        <v>2022</v>
      </c>
      <c r="AH1246" s="34">
        <v>2022</v>
      </c>
      <c r="AT1246" s="20" t="e">
        <f t="shared" si="298"/>
        <v>#N/A</v>
      </c>
      <c r="BZ1246" s="64"/>
    </row>
    <row r="1247" spans="1:78" ht="61.5" x14ac:dyDescent="0.85">
      <c r="B1247" s="24" t="s">
        <v>888</v>
      </c>
      <c r="C1247" s="24"/>
      <c r="D1247" s="199">
        <f>D1248</f>
        <v>2036502</v>
      </c>
      <c r="E1247" s="31">
        <f t="shared" ref="E1247:AE1247" si="304">E1248</f>
        <v>0</v>
      </c>
      <c r="F1247" s="31">
        <f t="shared" si="304"/>
        <v>0</v>
      </c>
      <c r="G1247" s="31">
        <f t="shared" si="304"/>
        <v>0</v>
      </c>
      <c r="H1247" s="31">
        <f t="shared" si="304"/>
        <v>0</v>
      </c>
      <c r="I1247" s="31">
        <f t="shared" si="304"/>
        <v>0</v>
      </c>
      <c r="J1247" s="31">
        <f t="shared" si="304"/>
        <v>0</v>
      </c>
      <c r="K1247" s="67">
        <f t="shared" si="304"/>
        <v>0</v>
      </c>
      <c r="L1247" s="31">
        <f t="shared" si="304"/>
        <v>0</v>
      </c>
      <c r="M1247" s="31">
        <f t="shared" si="304"/>
        <v>390</v>
      </c>
      <c r="N1247" s="31">
        <f t="shared" si="304"/>
        <v>1888179.31</v>
      </c>
      <c r="O1247" s="31">
        <f t="shared" si="304"/>
        <v>0</v>
      </c>
      <c r="P1247" s="31">
        <f t="shared" si="304"/>
        <v>0</v>
      </c>
      <c r="Q1247" s="31">
        <f t="shared" si="304"/>
        <v>0</v>
      </c>
      <c r="R1247" s="31">
        <f t="shared" si="304"/>
        <v>0</v>
      </c>
      <c r="S1247" s="31">
        <f t="shared" si="304"/>
        <v>0</v>
      </c>
      <c r="T1247" s="31">
        <f t="shared" si="304"/>
        <v>0</v>
      </c>
      <c r="U1247" s="31">
        <f t="shared" si="304"/>
        <v>0</v>
      </c>
      <c r="V1247" s="31">
        <f t="shared" si="304"/>
        <v>0</v>
      </c>
      <c r="W1247" s="31">
        <f t="shared" si="304"/>
        <v>0</v>
      </c>
      <c r="X1247" s="31">
        <f t="shared" si="304"/>
        <v>0</v>
      </c>
      <c r="Y1247" s="31">
        <f t="shared" si="304"/>
        <v>0</v>
      </c>
      <c r="Z1247" s="31">
        <f t="shared" si="304"/>
        <v>0</v>
      </c>
      <c r="AA1247" s="31">
        <f t="shared" si="304"/>
        <v>0</v>
      </c>
      <c r="AB1247" s="31">
        <f t="shared" si="304"/>
        <v>0</v>
      </c>
      <c r="AC1247" s="31">
        <f t="shared" si="304"/>
        <v>28322.69</v>
      </c>
      <c r="AD1247" s="31">
        <f t="shared" si="304"/>
        <v>120000</v>
      </c>
      <c r="AE1247" s="31">
        <f t="shared" si="304"/>
        <v>0</v>
      </c>
      <c r="AF1247" s="205" t="s">
        <v>751</v>
      </c>
      <c r="AG1247" s="205" t="s">
        <v>751</v>
      </c>
      <c r="AH1247" s="206" t="s">
        <v>751</v>
      </c>
      <c r="AT1247" s="20" t="e">
        <f t="shared" si="298"/>
        <v>#N/A</v>
      </c>
      <c r="BZ1247" s="64">
        <v>2036502</v>
      </c>
    </row>
    <row r="1248" spans="1:78" ht="61.5" x14ac:dyDescent="0.85">
      <c r="A1248" s="20">
        <v>1</v>
      </c>
      <c r="B1248" s="60">
        <f>SUBTOTAL(103,$A$1036:A1248)</f>
        <v>182</v>
      </c>
      <c r="C1248" s="101" t="s">
        <v>87</v>
      </c>
      <c r="D1248" s="31">
        <f>E1248+F1248+G1248+H1248+I1248+J1248+L1248+N1248+P1248+R1248+T1248+U1248+V1248+W1248+X1248+Y1248+Z1248+AA1248+AB1248+AC1248+AD1248+AE1248</f>
        <v>2036502</v>
      </c>
      <c r="E1248" s="31">
        <v>0</v>
      </c>
      <c r="F1248" s="31">
        <v>0</v>
      </c>
      <c r="G1248" s="31">
        <v>0</v>
      </c>
      <c r="H1248" s="31">
        <v>0</v>
      </c>
      <c r="I1248" s="31">
        <v>0</v>
      </c>
      <c r="J1248" s="31">
        <v>0</v>
      </c>
      <c r="K1248" s="67">
        <v>0</v>
      </c>
      <c r="L1248" s="31">
        <v>0</v>
      </c>
      <c r="M1248" s="31">
        <v>390</v>
      </c>
      <c r="N1248" s="31">
        <v>1888179.31</v>
      </c>
      <c r="O1248" s="31">
        <v>0</v>
      </c>
      <c r="P1248" s="31">
        <v>0</v>
      </c>
      <c r="Q1248" s="31">
        <v>0</v>
      </c>
      <c r="R1248" s="31">
        <v>0</v>
      </c>
      <c r="S1248" s="31">
        <v>0</v>
      </c>
      <c r="T1248" s="31">
        <v>0</v>
      </c>
      <c r="U1248" s="31">
        <v>0</v>
      </c>
      <c r="V1248" s="31">
        <v>0</v>
      </c>
      <c r="W1248" s="31">
        <v>0</v>
      </c>
      <c r="X1248" s="31">
        <v>0</v>
      </c>
      <c r="Y1248" s="31">
        <v>0</v>
      </c>
      <c r="Z1248" s="31">
        <v>0</v>
      </c>
      <c r="AA1248" s="31">
        <v>0</v>
      </c>
      <c r="AB1248" s="31">
        <v>0</v>
      </c>
      <c r="AC1248" s="31">
        <f>ROUND(N1248*1.5%,2)</f>
        <v>28322.69</v>
      </c>
      <c r="AD1248" s="31">
        <v>120000</v>
      </c>
      <c r="AE1248" s="31">
        <v>0</v>
      </c>
      <c r="AF1248" s="33">
        <v>2022</v>
      </c>
      <c r="AG1248" s="33">
        <v>2022</v>
      </c>
      <c r="AH1248" s="34">
        <v>2022</v>
      </c>
      <c r="AT1248" s="20" t="e">
        <f t="shared" si="298"/>
        <v>#N/A</v>
      </c>
      <c r="BZ1248" s="64"/>
    </row>
    <row r="1249" spans="1:78" ht="61.5" x14ac:dyDescent="0.85">
      <c r="B1249" s="24" t="s">
        <v>840</v>
      </c>
      <c r="C1249" s="198"/>
      <c r="D1249" s="199">
        <f>D1250</f>
        <v>3592598.4</v>
      </c>
      <c r="E1249" s="31">
        <f t="shared" ref="E1249:AE1249" si="305">E1250</f>
        <v>0</v>
      </c>
      <c r="F1249" s="31">
        <f t="shared" si="305"/>
        <v>0</v>
      </c>
      <c r="G1249" s="31">
        <f t="shared" si="305"/>
        <v>0</v>
      </c>
      <c r="H1249" s="31">
        <f t="shared" si="305"/>
        <v>0</v>
      </c>
      <c r="I1249" s="31">
        <f t="shared" si="305"/>
        <v>0</v>
      </c>
      <c r="J1249" s="31">
        <f t="shared" si="305"/>
        <v>0</v>
      </c>
      <c r="K1249" s="67">
        <f t="shared" si="305"/>
        <v>0</v>
      </c>
      <c r="L1249" s="31">
        <f t="shared" si="305"/>
        <v>0</v>
      </c>
      <c r="M1249" s="31">
        <f t="shared" si="305"/>
        <v>688</v>
      </c>
      <c r="N1249" s="31">
        <f t="shared" si="305"/>
        <v>3391722.56</v>
      </c>
      <c r="O1249" s="31">
        <f t="shared" si="305"/>
        <v>0</v>
      </c>
      <c r="P1249" s="31">
        <f t="shared" si="305"/>
        <v>0</v>
      </c>
      <c r="Q1249" s="31">
        <f t="shared" si="305"/>
        <v>0</v>
      </c>
      <c r="R1249" s="31">
        <f t="shared" si="305"/>
        <v>0</v>
      </c>
      <c r="S1249" s="31">
        <f t="shared" si="305"/>
        <v>0</v>
      </c>
      <c r="T1249" s="31">
        <f t="shared" si="305"/>
        <v>0</v>
      </c>
      <c r="U1249" s="31">
        <f t="shared" si="305"/>
        <v>0</v>
      </c>
      <c r="V1249" s="31">
        <f t="shared" si="305"/>
        <v>0</v>
      </c>
      <c r="W1249" s="31">
        <f t="shared" si="305"/>
        <v>0</v>
      </c>
      <c r="X1249" s="31">
        <f t="shared" si="305"/>
        <v>0</v>
      </c>
      <c r="Y1249" s="31">
        <f t="shared" si="305"/>
        <v>0</v>
      </c>
      <c r="Z1249" s="31">
        <f t="shared" si="305"/>
        <v>0</v>
      </c>
      <c r="AA1249" s="31">
        <f t="shared" si="305"/>
        <v>0</v>
      </c>
      <c r="AB1249" s="31">
        <f t="shared" si="305"/>
        <v>0</v>
      </c>
      <c r="AC1249" s="31">
        <f t="shared" si="305"/>
        <v>50875.839999999997</v>
      </c>
      <c r="AD1249" s="31">
        <f t="shared" si="305"/>
        <v>150000</v>
      </c>
      <c r="AE1249" s="31">
        <f t="shared" si="305"/>
        <v>0</v>
      </c>
      <c r="AF1249" s="205" t="s">
        <v>751</v>
      </c>
      <c r="AG1249" s="205" t="s">
        <v>751</v>
      </c>
      <c r="AH1249" s="206" t="s">
        <v>751</v>
      </c>
      <c r="AT1249" s="20" t="e">
        <f t="shared" si="298"/>
        <v>#N/A</v>
      </c>
      <c r="BZ1249" s="64">
        <v>3592598.4</v>
      </c>
    </row>
    <row r="1250" spans="1:78" ht="61.5" x14ac:dyDescent="0.85">
      <c r="A1250" s="20">
        <v>1</v>
      </c>
      <c r="B1250" s="60">
        <f>SUBTOTAL(103,$A$1036:A1250)</f>
        <v>183</v>
      </c>
      <c r="C1250" s="101" t="s">
        <v>108</v>
      </c>
      <c r="D1250" s="31">
        <f>E1250+F1250+G1250+H1250+I1250+J1250+L1250+N1250+P1250+R1250+T1250+U1250+V1250+W1250+X1250+Y1250+Z1250+AA1250+AB1250+AC1250+AD1250+AE1250</f>
        <v>3592598.4</v>
      </c>
      <c r="E1250" s="31">
        <v>0</v>
      </c>
      <c r="F1250" s="31">
        <v>0</v>
      </c>
      <c r="G1250" s="31">
        <v>0</v>
      </c>
      <c r="H1250" s="31">
        <v>0</v>
      </c>
      <c r="I1250" s="31">
        <v>0</v>
      </c>
      <c r="J1250" s="31">
        <v>0</v>
      </c>
      <c r="K1250" s="67">
        <v>0</v>
      </c>
      <c r="L1250" s="31">
        <v>0</v>
      </c>
      <c r="M1250" s="31">
        <v>688</v>
      </c>
      <c r="N1250" s="31">
        <v>3391722.56</v>
      </c>
      <c r="O1250" s="31">
        <v>0</v>
      </c>
      <c r="P1250" s="31">
        <v>0</v>
      </c>
      <c r="Q1250" s="31">
        <v>0</v>
      </c>
      <c r="R1250" s="31">
        <v>0</v>
      </c>
      <c r="S1250" s="31">
        <v>0</v>
      </c>
      <c r="T1250" s="31">
        <v>0</v>
      </c>
      <c r="U1250" s="31">
        <v>0</v>
      </c>
      <c r="V1250" s="31">
        <v>0</v>
      </c>
      <c r="W1250" s="31">
        <v>0</v>
      </c>
      <c r="X1250" s="31">
        <v>0</v>
      </c>
      <c r="Y1250" s="31">
        <v>0</v>
      </c>
      <c r="Z1250" s="31">
        <v>0</v>
      </c>
      <c r="AA1250" s="31">
        <v>0</v>
      </c>
      <c r="AB1250" s="31">
        <v>0</v>
      </c>
      <c r="AC1250" s="31">
        <f>ROUND(N1250*1.5%,2)</f>
        <v>50875.839999999997</v>
      </c>
      <c r="AD1250" s="31">
        <v>150000</v>
      </c>
      <c r="AE1250" s="31">
        <v>0</v>
      </c>
      <c r="AF1250" s="33">
        <v>2022</v>
      </c>
      <c r="AG1250" s="33">
        <v>2022</v>
      </c>
      <c r="AH1250" s="34">
        <v>2022</v>
      </c>
      <c r="AT1250" s="20" t="e">
        <f t="shared" si="298"/>
        <v>#N/A</v>
      </c>
      <c r="BZ1250" s="64"/>
    </row>
    <row r="1251" spans="1:78" ht="61.5" x14ac:dyDescent="0.85">
      <c r="B1251" s="24" t="s">
        <v>875</v>
      </c>
      <c r="C1251" s="24"/>
      <c r="D1251" s="199">
        <f>D1252</f>
        <v>4454195.3999999994</v>
      </c>
      <c r="E1251" s="31">
        <f t="shared" ref="E1251:AE1251" si="306">E1252</f>
        <v>0</v>
      </c>
      <c r="F1251" s="31">
        <f t="shared" si="306"/>
        <v>0</v>
      </c>
      <c r="G1251" s="31">
        <f t="shared" si="306"/>
        <v>0</v>
      </c>
      <c r="H1251" s="31">
        <f t="shared" si="306"/>
        <v>0</v>
      </c>
      <c r="I1251" s="31">
        <f t="shared" si="306"/>
        <v>0</v>
      </c>
      <c r="J1251" s="31">
        <f t="shared" si="306"/>
        <v>0</v>
      </c>
      <c r="K1251" s="67">
        <f t="shared" si="306"/>
        <v>0</v>
      </c>
      <c r="L1251" s="31">
        <f t="shared" si="306"/>
        <v>0</v>
      </c>
      <c r="M1251" s="31">
        <f t="shared" si="306"/>
        <v>853</v>
      </c>
      <c r="N1251" s="31">
        <f t="shared" si="306"/>
        <v>4240586.5999999996</v>
      </c>
      <c r="O1251" s="31">
        <f t="shared" si="306"/>
        <v>0</v>
      </c>
      <c r="P1251" s="31">
        <f t="shared" si="306"/>
        <v>0</v>
      </c>
      <c r="Q1251" s="31">
        <f t="shared" si="306"/>
        <v>0</v>
      </c>
      <c r="R1251" s="31">
        <f t="shared" si="306"/>
        <v>0</v>
      </c>
      <c r="S1251" s="31">
        <f t="shared" si="306"/>
        <v>0</v>
      </c>
      <c r="T1251" s="31">
        <f t="shared" si="306"/>
        <v>0</v>
      </c>
      <c r="U1251" s="31">
        <f t="shared" si="306"/>
        <v>0</v>
      </c>
      <c r="V1251" s="31">
        <f t="shared" si="306"/>
        <v>0</v>
      </c>
      <c r="W1251" s="31">
        <f t="shared" si="306"/>
        <v>0</v>
      </c>
      <c r="X1251" s="31">
        <f t="shared" si="306"/>
        <v>0</v>
      </c>
      <c r="Y1251" s="31">
        <f t="shared" si="306"/>
        <v>0</v>
      </c>
      <c r="Z1251" s="31">
        <f t="shared" si="306"/>
        <v>0</v>
      </c>
      <c r="AA1251" s="31">
        <f t="shared" si="306"/>
        <v>0</v>
      </c>
      <c r="AB1251" s="31">
        <f t="shared" si="306"/>
        <v>0</v>
      </c>
      <c r="AC1251" s="31">
        <f t="shared" si="306"/>
        <v>63608.800000000003</v>
      </c>
      <c r="AD1251" s="31">
        <f t="shared" si="306"/>
        <v>150000</v>
      </c>
      <c r="AE1251" s="31">
        <f t="shared" si="306"/>
        <v>0</v>
      </c>
      <c r="AF1251" s="205" t="s">
        <v>751</v>
      </c>
      <c r="AG1251" s="205" t="s">
        <v>751</v>
      </c>
      <c r="AH1251" s="206" t="s">
        <v>751</v>
      </c>
      <c r="AT1251" s="20" t="e">
        <f t="shared" si="298"/>
        <v>#N/A</v>
      </c>
      <c r="BZ1251" s="64">
        <v>4454195.3999999994</v>
      </c>
    </row>
    <row r="1252" spans="1:78" ht="61.5" x14ac:dyDescent="0.85">
      <c r="A1252" s="20">
        <v>1</v>
      </c>
      <c r="B1252" s="60">
        <f>SUBTOTAL(103,$A$1036:A1252)</f>
        <v>184</v>
      </c>
      <c r="C1252" s="101" t="s">
        <v>110</v>
      </c>
      <c r="D1252" s="31">
        <f>E1252+F1252+G1252+H1252+I1252+J1252+L1252+N1252+P1252+R1252+T1252+U1252+V1252+W1252+X1252+Y1252+Z1252+AA1252+AB1252+AC1252+AD1252+AE1252</f>
        <v>4454195.3999999994</v>
      </c>
      <c r="E1252" s="31">
        <v>0</v>
      </c>
      <c r="F1252" s="31">
        <v>0</v>
      </c>
      <c r="G1252" s="31">
        <v>0</v>
      </c>
      <c r="H1252" s="31">
        <v>0</v>
      </c>
      <c r="I1252" s="31">
        <v>0</v>
      </c>
      <c r="J1252" s="31">
        <v>0</v>
      </c>
      <c r="K1252" s="67">
        <v>0</v>
      </c>
      <c r="L1252" s="31">
        <v>0</v>
      </c>
      <c r="M1252" s="31">
        <v>853</v>
      </c>
      <c r="N1252" s="31">
        <v>4240586.5999999996</v>
      </c>
      <c r="O1252" s="31">
        <v>0</v>
      </c>
      <c r="P1252" s="31">
        <v>0</v>
      </c>
      <c r="Q1252" s="31">
        <v>0</v>
      </c>
      <c r="R1252" s="31">
        <v>0</v>
      </c>
      <c r="S1252" s="31">
        <v>0</v>
      </c>
      <c r="T1252" s="31">
        <v>0</v>
      </c>
      <c r="U1252" s="31">
        <v>0</v>
      </c>
      <c r="V1252" s="31">
        <v>0</v>
      </c>
      <c r="W1252" s="31">
        <v>0</v>
      </c>
      <c r="X1252" s="31">
        <v>0</v>
      </c>
      <c r="Y1252" s="31">
        <v>0</v>
      </c>
      <c r="Z1252" s="31">
        <v>0</v>
      </c>
      <c r="AA1252" s="31">
        <v>0</v>
      </c>
      <c r="AB1252" s="31">
        <v>0</v>
      </c>
      <c r="AC1252" s="31">
        <f>ROUND(N1252*1.5%,2)</f>
        <v>63608.800000000003</v>
      </c>
      <c r="AD1252" s="31">
        <v>150000</v>
      </c>
      <c r="AE1252" s="31">
        <v>0</v>
      </c>
      <c r="AF1252" s="33">
        <v>2022</v>
      </c>
      <c r="AG1252" s="33">
        <v>2022</v>
      </c>
      <c r="AH1252" s="34">
        <v>2022</v>
      </c>
      <c r="AT1252" s="20" t="e">
        <f t="shared" si="298"/>
        <v>#N/A</v>
      </c>
      <c r="BZ1252" s="64"/>
    </row>
    <row r="1253" spans="1:78" ht="61.5" x14ac:dyDescent="0.85">
      <c r="B1253" s="24" t="s">
        <v>889</v>
      </c>
      <c r="C1253" s="198"/>
      <c r="D1253" s="199">
        <f>D1254</f>
        <v>5304624.57</v>
      </c>
      <c r="E1253" s="31">
        <f t="shared" ref="E1253:AE1253" si="307">E1254</f>
        <v>0</v>
      </c>
      <c r="F1253" s="31">
        <f t="shared" si="307"/>
        <v>0</v>
      </c>
      <c r="G1253" s="31">
        <f t="shared" si="307"/>
        <v>0</v>
      </c>
      <c r="H1253" s="31">
        <f t="shared" si="307"/>
        <v>0</v>
      </c>
      <c r="I1253" s="31">
        <f t="shared" si="307"/>
        <v>0</v>
      </c>
      <c r="J1253" s="31">
        <f t="shared" si="307"/>
        <v>0</v>
      </c>
      <c r="K1253" s="67">
        <f t="shared" si="307"/>
        <v>0</v>
      </c>
      <c r="L1253" s="31">
        <f t="shared" si="307"/>
        <v>0</v>
      </c>
      <c r="M1253" s="31">
        <f t="shared" si="307"/>
        <v>926.83</v>
      </c>
      <c r="N1253" s="31">
        <f t="shared" si="307"/>
        <v>5078447.8500000006</v>
      </c>
      <c r="O1253" s="31">
        <f t="shared" si="307"/>
        <v>0</v>
      </c>
      <c r="P1253" s="31">
        <f t="shared" si="307"/>
        <v>0</v>
      </c>
      <c r="Q1253" s="31">
        <f t="shared" si="307"/>
        <v>0</v>
      </c>
      <c r="R1253" s="31">
        <f t="shared" si="307"/>
        <v>0</v>
      </c>
      <c r="S1253" s="31">
        <f t="shared" si="307"/>
        <v>0</v>
      </c>
      <c r="T1253" s="31">
        <f t="shared" si="307"/>
        <v>0</v>
      </c>
      <c r="U1253" s="31">
        <f t="shared" si="307"/>
        <v>0</v>
      </c>
      <c r="V1253" s="31">
        <f t="shared" si="307"/>
        <v>0</v>
      </c>
      <c r="W1253" s="31">
        <f t="shared" si="307"/>
        <v>0</v>
      </c>
      <c r="X1253" s="31">
        <f t="shared" si="307"/>
        <v>0</v>
      </c>
      <c r="Y1253" s="31">
        <f t="shared" si="307"/>
        <v>0</v>
      </c>
      <c r="Z1253" s="31">
        <f t="shared" si="307"/>
        <v>0</v>
      </c>
      <c r="AA1253" s="31">
        <f t="shared" si="307"/>
        <v>0</v>
      </c>
      <c r="AB1253" s="31">
        <f t="shared" si="307"/>
        <v>0</v>
      </c>
      <c r="AC1253" s="31">
        <f t="shared" si="307"/>
        <v>76176.72</v>
      </c>
      <c r="AD1253" s="31">
        <f t="shared" si="307"/>
        <v>150000</v>
      </c>
      <c r="AE1253" s="31">
        <f t="shared" si="307"/>
        <v>0</v>
      </c>
      <c r="AF1253" s="205" t="s">
        <v>751</v>
      </c>
      <c r="AG1253" s="205" t="s">
        <v>751</v>
      </c>
      <c r="AH1253" s="206" t="s">
        <v>751</v>
      </c>
      <c r="AT1253" s="20" t="e">
        <f t="shared" si="298"/>
        <v>#N/A</v>
      </c>
      <c r="BZ1253" s="64">
        <v>4839701.7600000007</v>
      </c>
    </row>
    <row r="1254" spans="1:78" ht="61.5" x14ac:dyDescent="0.85">
      <c r="A1254" s="20">
        <v>1</v>
      </c>
      <c r="B1254" s="60">
        <f>SUBTOTAL(103,$A$1036:A1254)</f>
        <v>185</v>
      </c>
      <c r="C1254" s="101" t="s">
        <v>210</v>
      </c>
      <c r="D1254" s="31">
        <f>E1254+F1254+G1254+H1254+I1254+J1254+L1254+N1254+P1254+R1254+T1254+U1254+V1254+W1254+X1254+Y1254+Z1254+AA1254+AB1254+AC1254+AD1254+AE1254</f>
        <v>5304624.57</v>
      </c>
      <c r="E1254" s="31">
        <v>0</v>
      </c>
      <c r="F1254" s="31">
        <v>0</v>
      </c>
      <c r="G1254" s="31">
        <v>0</v>
      </c>
      <c r="H1254" s="31">
        <v>0</v>
      </c>
      <c r="I1254" s="31">
        <v>0</v>
      </c>
      <c r="J1254" s="31">
        <v>0</v>
      </c>
      <c r="K1254" s="67">
        <v>0</v>
      </c>
      <c r="L1254" s="31">
        <v>0</v>
      </c>
      <c r="M1254" s="31">
        <v>926.83</v>
      </c>
      <c r="N1254" s="31">
        <f>4620395.82+ROUND(464922.81/101.5*100,2)</f>
        <v>5078447.8500000006</v>
      </c>
      <c r="O1254" s="31">
        <v>0</v>
      </c>
      <c r="P1254" s="31">
        <v>0</v>
      </c>
      <c r="Q1254" s="31">
        <v>0</v>
      </c>
      <c r="R1254" s="31">
        <v>0</v>
      </c>
      <c r="S1254" s="31">
        <v>0</v>
      </c>
      <c r="T1254" s="31">
        <v>0</v>
      </c>
      <c r="U1254" s="31">
        <v>0</v>
      </c>
      <c r="V1254" s="31">
        <v>0</v>
      </c>
      <c r="W1254" s="31">
        <v>0</v>
      </c>
      <c r="X1254" s="31">
        <v>0</v>
      </c>
      <c r="Y1254" s="31">
        <v>0</v>
      </c>
      <c r="Z1254" s="31">
        <v>0</v>
      </c>
      <c r="AA1254" s="31">
        <v>0</v>
      </c>
      <c r="AB1254" s="31">
        <v>0</v>
      </c>
      <c r="AC1254" s="31">
        <f>ROUND(N1254*1.5%,2)</f>
        <v>76176.72</v>
      </c>
      <c r="AD1254" s="31">
        <v>150000</v>
      </c>
      <c r="AE1254" s="31">
        <v>0</v>
      </c>
      <c r="AF1254" s="33">
        <v>2022</v>
      </c>
      <c r="AG1254" s="33">
        <v>2022</v>
      </c>
      <c r="AH1254" s="34">
        <v>2022</v>
      </c>
      <c r="AT1254" s="20" t="e">
        <f t="shared" si="298"/>
        <v>#N/A</v>
      </c>
      <c r="BZ1254" s="64"/>
    </row>
    <row r="1255" spans="1:78" ht="61.5" x14ac:dyDescent="0.85">
      <c r="B1255" s="24" t="s">
        <v>841</v>
      </c>
      <c r="C1255" s="198"/>
      <c r="D1255" s="199">
        <f>D1256</f>
        <v>3231458.3</v>
      </c>
      <c r="E1255" s="31">
        <f t="shared" ref="E1255:AE1255" si="308">E1256</f>
        <v>0</v>
      </c>
      <c r="F1255" s="31">
        <f t="shared" si="308"/>
        <v>0</v>
      </c>
      <c r="G1255" s="31">
        <f t="shared" si="308"/>
        <v>0</v>
      </c>
      <c r="H1255" s="31">
        <f t="shared" si="308"/>
        <v>0</v>
      </c>
      <c r="I1255" s="31">
        <f t="shared" si="308"/>
        <v>0</v>
      </c>
      <c r="J1255" s="31">
        <f t="shared" si="308"/>
        <v>0</v>
      </c>
      <c r="K1255" s="67">
        <f t="shared" si="308"/>
        <v>0</v>
      </c>
      <c r="L1255" s="31">
        <f t="shared" si="308"/>
        <v>0</v>
      </c>
      <c r="M1255" s="31">
        <f t="shared" si="308"/>
        <v>0</v>
      </c>
      <c r="N1255" s="31">
        <f t="shared" si="308"/>
        <v>0</v>
      </c>
      <c r="O1255" s="31">
        <f t="shared" si="308"/>
        <v>0</v>
      </c>
      <c r="P1255" s="31">
        <f t="shared" si="308"/>
        <v>0</v>
      </c>
      <c r="Q1255" s="31">
        <f t="shared" si="308"/>
        <v>670.8</v>
      </c>
      <c r="R1255" s="31">
        <f t="shared" si="308"/>
        <v>3035919.51</v>
      </c>
      <c r="S1255" s="31">
        <f t="shared" si="308"/>
        <v>0</v>
      </c>
      <c r="T1255" s="31">
        <f t="shared" si="308"/>
        <v>0</v>
      </c>
      <c r="U1255" s="31">
        <f t="shared" si="308"/>
        <v>0</v>
      </c>
      <c r="V1255" s="31">
        <f t="shared" si="308"/>
        <v>0</v>
      </c>
      <c r="W1255" s="31">
        <f t="shared" si="308"/>
        <v>0</v>
      </c>
      <c r="X1255" s="31">
        <f t="shared" si="308"/>
        <v>0</v>
      </c>
      <c r="Y1255" s="31">
        <f t="shared" si="308"/>
        <v>0</v>
      </c>
      <c r="Z1255" s="31">
        <f t="shared" si="308"/>
        <v>0</v>
      </c>
      <c r="AA1255" s="31">
        <f t="shared" si="308"/>
        <v>0</v>
      </c>
      <c r="AB1255" s="31">
        <f t="shared" si="308"/>
        <v>0</v>
      </c>
      <c r="AC1255" s="31">
        <f t="shared" si="308"/>
        <v>45538.79</v>
      </c>
      <c r="AD1255" s="31">
        <f t="shared" si="308"/>
        <v>150000</v>
      </c>
      <c r="AE1255" s="31">
        <f t="shared" si="308"/>
        <v>0</v>
      </c>
      <c r="AF1255" s="205" t="s">
        <v>751</v>
      </c>
      <c r="AG1255" s="205" t="s">
        <v>751</v>
      </c>
      <c r="AH1255" s="206" t="s">
        <v>751</v>
      </c>
      <c r="AT1255" s="20" t="e">
        <f t="shared" si="298"/>
        <v>#N/A</v>
      </c>
      <c r="BZ1255" s="64">
        <v>3231458.3</v>
      </c>
    </row>
    <row r="1256" spans="1:78" ht="61.5" x14ac:dyDescent="0.85">
      <c r="A1256" s="20">
        <v>1</v>
      </c>
      <c r="B1256" s="60">
        <f>SUBTOTAL(103,$A$1036:A1256)</f>
        <v>186</v>
      </c>
      <c r="C1256" s="101" t="s">
        <v>66</v>
      </c>
      <c r="D1256" s="31">
        <f>E1256+F1256+G1256+H1256+I1256+J1256+L1256+N1256+P1256+R1256+T1256+U1256+V1256+W1256+X1256+Y1256+Z1256+AA1256+AB1256+AC1256+AD1256+AE1256</f>
        <v>3231458.3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1">
        <v>0</v>
      </c>
      <c r="K1256" s="67">
        <v>0</v>
      </c>
      <c r="L1256" s="31">
        <v>0</v>
      </c>
      <c r="M1256" s="31">
        <v>0</v>
      </c>
      <c r="N1256" s="31">
        <v>0</v>
      </c>
      <c r="O1256" s="31">
        <v>0</v>
      </c>
      <c r="P1256" s="31">
        <v>0</v>
      </c>
      <c r="Q1256" s="31">
        <v>670.8</v>
      </c>
      <c r="R1256" s="31">
        <v>3035919.51</v>
      </c>
      <c r="S1256" s="31">
        <v>0</v>
      </c>
      <c r="T1256" s="31">
        <v>0</v>
      </c>
      <c r="U1256" s="31">
        <v>0</v>
      </c>
      <c r="V1256" s="31">
        <v>0</v>
      </c>
      <c r="W1256" s="31">
        <v>0</v>
      </c>
      <c r="X1256" s="31">
        <v>0</v>
      </c>
      <c r="Y1256" s="31">
        <v>0</v>
      </c>
      <c r="Z1256" s="31">
        <v>0</v>
      </c>
      <c r="AA1256" s="31">
        <v>0</v>
      </c>
      <c r="AB1256" s="31">
        <v>0</v>
      </c>
      <c r="AC1256" s="31">
        <f>ROUND(R1256*1.5%,2)</f>
        <v>45538.79</v>
      </c>
      <c r="AD1256" s="31">
        <v>150000</v>
      </c>
      <c r="AE1256" s="31">
        <v>0</v>
      </c>
      <c r="AF1256" s="33">
        <v>2022</v>
      </c>
      <c r="AG1256" s="33">
        <v>2022</v>
      </c>
      <c r="AH1256" s="34">
        <v>2022</v>
      </c>
      <c r="AT1256" s="20" t="e">
        <f t="shared" si="298"/>
        <v>#N/A</v>
      </c>
      <c r="BZ1256" s="64"/>
    </row>
    <row r="1257" spans="1:78" ht="61.5" x14ac:dyDescent="0.85">
      <c r="B1257" s="24" t="s">
        <v>843</v>
      </c>
      <c r="C1257" s="24"/>
      <c r="D1257" s="199">
        <f>D1258+D1259+D1260</f>
        <v>16849360.93</v>
      </c>
      <c r="E1257" s="31">
        <f t="shared" ref="E1257:AE1257" si="309">E1258+E1259+E1260</f>
        <v>451170.83</v>
      </c>
      <c r="F1257" s="31">
        <f t="shared" si="309"/>
        <v>885201.84</v>
      </c>
      <c r="G1257" s="31">
        <f t="shared" si="309"/>
        <v>1880858.0000000002</v>
      </c>
      <c r="H1257" s="31">
        <f t="shared" si="309"/>
        <v>667182.5</v>
      </c>
      <c r="I1257" s="31">
        <f t="shared" si="309"/>
        <v>0</v>
      </c>
      <c r="J1257" s="31">
        <f t="shared" si="309"/>
        <v>0</v>
      </c>
      <c r="K1257" s="67">
        <f t="shared" si="309"/>
        <v>0</v>
      </c>
      <c r="L1257" s="31">
        <f t="shared" si="309"/>
        <v>0</v>
      </c>
      <c r="M1257" s="31">
        <f t="shared" si="309"/>
        <v>2286.5</v>
      </c>
      <c r="N1257" s="31">
        <f t="shared" si="309"/>
        <v>12065696.120000001</v>
      </c>
      <c r="O1257" s="31">
        <f t="shared" si="309"/>
        <v>0</v>
      </c>
      <c r="P1257" s="31">
        <f t="shared" si="309"/>
        <v>0</v>
      </c>
      <c r="Q1257" s="31">
        <f t="shared" si="309"/>
        <v>0</v>
      </c>
      <c r="R1257" s="31">
        <f t="shared" si="309"/>
        <v>0</v>
      </c>
      <c r="S1257" s="31">
        <f t="shared" si="309"/>
        <v>0</v>
      </c>
      <c r="T1257" s="31">
        <f t="shared" si="309"/>
        <v>0</v>
      </c>
      <c r="U1257" s="31">
        <f t="shared" si="309"/>
        <v>0</v>
      </c>
      <c r="V1257" s="31">
        <f t="shared" si="309"/>
        <v>0</v>
      </c>
      <c r="W1257" s="31">
        <f t="shared" si="309"/>
        <v>0</v>
      </c>
      <c r="X1257" s="31">
        <f t="shared" si="309"/>
        <v>0</v>
      </c>
      <c r="Y1257" s="31">
        <f t="shared" si="309"/>
        <v>0</v>
      </c>
      <c r="Z1257" s="31">
        <f t="shared" si="309"/>
        <v>0</v>
      </c>
      <c r="AA1257" s="31">
        <f t="shared" si="309"/>
        <v>0</v>
      </c>
      <c r="AB1257" s="31">
        <f t="shared" si="309"/>
        <v>0</v>
      </c>
      <c r="AC1257" s="31">
        <f t="shared" si="309"/>
        <v>239251.64</v>
      </c>
      <c r="AD1257" s="31">
        <f t="shared" si="309"/>
        <v>660000</v>
      </c>
      <c r="AE1257" s="31">
        <f t="shared" si="309"/>
        <v>0</v>
      </c>
      <c r="AF1257" s="205" t="s">
        <v>751</v>
      </c>
      <c r="AG1257" s="205" t="s">
        <v>751</v>
      </c>
      <c r="AH1257" s="206" t="s">
        <v>751</v>
      </c>
      <c r="AT1257" s="20" t="e">
        <f t="shared" si="298"/>
        <v>#N/A</v>
      </c>
      <c r="BZ1257" s="64">
        <v>16849360.93</v>
      </c>
    </row>
    <row r="1258" spans="1:78" ht="61.5" x14ac:dyDescent="0.85">
      <c r="A1258" s="20">
        <v>1</v>
      </c>
      <c r="B1258" s="60">
        <f>SUBTOTAL(103,$A$1036:A1258)</f>
        <v>187</v>
      </c>
      <c r="C1258" s="101" t="s">
        <v>69</v>
      </c>
      <c r="D1258" s="31">
        <f>E1258+F1258+G1258+H1258+I1258+J1258+L1258+N1258+P1258+R1258+T1258+U1258+V1258+W1258+X1258+Y1258+Z1258+AA1258+AB1258+AC1258+AD1258+AE1258</f>
        <v>5782944.25</v>
      </c>
      <c r="E1258" s="31">
        <v>0</v>
      </c>
      <c r="F1258" s="31">
        <v>0</v>
      </c>
      <c r="G1258" s="31">
        <v>0</v>
      </c>
      <c r="H1258" s="31">
        <v>0</v>
      </c>
      <c r="I1258" s="31">
        <v>0</v>
      </c>
      <c r="J1258" s="31">
        <v>0</v>
      </c>
      <c r="K1258" s="67">
        <v>0</v>
      </c>
      <c r="L1258" s="31">
        <v>0</v>
      </c>
      <c r="M1258" s="31">
        <v>1047.5999999999999</v>
      </c>
      <c r="N1258" s="31">
        <v>5520142.1200000001</v>
      </c>
      <c r="O1258" s="31">
        <v>0</v>
      </c>
      <c r="P1258" s="31">
        <v>0</v>
      </c>
      <c r="Q1258" s="31">
        <v>0</v>
      </c>
      <c r="R1258" s="31">
        <v>0</v>
      </c>
      <c r="S1258" s="31">
        <v>0</v>
      </c>
      <c r="T1258" s="31">
        <v>0</v>
      </c>
      <c r="U1258" s="31">
        <v>0</v>
      </c>
      <c r="V1258" s="31">
        <v>0</v>
      </c>
      <c r="W1258" s="31">
        <v>0</v>
      </c>
      <c r="X1258" s="31">
        <v>0</v>
      </c>
      <c r="Y1258" s="31">
        <v>0</v>
      </c>
      <c r="Z1258" s="31">
        <v>0</v>
      </c>
      <c r="AA1258" s="31">
        <v>0</v>
      </c>
      <c r="AB1258" s="31">
        <v>0</v>
      </c>
      <c r="AC1258" s="31">
        <f>ROUND(N1258*1.5%,2)</f>
        <v>82802.13</v>
      </c>
      <c r="AD1258" s="31">
        <v>180000</v>
      </c>
      <c r="AE1258" s="31">
        <v>0</v>
      </c>
      <c r="AF1258" s="33">
        <v>2022</v>
      </c>
      <c r="AG1258" s="33">
        <v>2022</v>
      </c>
      <c r="AH1258" s="34">
        <v>2022</v>
      </c>
      <c r="AT1258" s="20" t="e">
        <f t="shared" si="298"/>
        <v>#N/A</v>
      </c>
      <c r="BZ1258" s="64"/>
    </row>
    <row r="1259" spans="1:78" ht="61.5" x14ac:dyDescent="0.85">
      <c r="A1259" s="20">
        <v>1</v>
      </c>
      <c r="B1259" s="60">
        <f>SUBTOTAL(103,$A$1036:A1259)</f>
        <v>188</v>
      </c>
      <c r="C1259" s="101" t="s">
        <v>68</v>
      </c>
      <c r="D1259" s="31">
        <f>E1259+F1259+G1259+H1259+I1259+J1259+L1259+N1259+P1259+R1259+T1259+U1259+V1259+W1259+X1259+Y1259+Z1259+AA1259+AB1259+AC1259+AD1259+AE1259</f>
        <v>6823737.3099999996</v>
      </c>
      <c r="E1259" s="31">
        <v>0</v>
      </c>
      <c r="F1259" s="31">
        <v>0</v>
      </c>
      <c r="G1259" s="31">
        <v>0</v>
      </c>
      <c r="H1259" s="31">
        <v>0</v>
      </c>
      <c r="I1259" s="31">
        <v>0</v>
      </c>
      <c r="J1259" s="31">
        <v>0</v>
      </c>
      <c r="K1259" s="67">
        <v>0</v>
      </c>
      <c r="L1259" s="31">
        <v>0</v>
      </c>
      <c r="M1259" s="31">
        <v>1238.9000000000001</v>
      </c>
      <c r="N1259" s="31">
        <v>6545554</v>
      </c>
      <c r="O1259" s="31">
        <v>0</v>
      </c>
      <c r="P1259" s="31">
        <v>0</v>
      </c>
      <c r="Q1259" s="31">
        <v>0</v>
      </c>
      <c r="R1259" s="31">
        <v>0</v>
      </c>
      <c r="S1259" s="31">
        <v>0</v>
      </c>
      <c r="T1259" s="31">
        <v>0</v>
      </c>
      <c r="U1259" s="31">
        <v>0</v>
      </c>
      <c r="V1259" s="31">
        <v>0</v>
      </c>
      <c r="W1259" s="31">
        <v>0</v>
      </c>
      <c r="X1259" s="31">
        <v>0</v>
      </c>
      <c r="Y1259" s="31">
        <v>0</v>
      </c>
      <c r="Z1259" s="31">
        <v>0</v>
      </c>
      <c r="AA1259" s="31">
        <v>0</v>
      </c>
      <c r="AB1259" s="31">
        <v>0</v>
      </c>
      <c r="AC1259" s="31">
        <f>ROUND(N1259*1.5%,2)</f>
        <v>98183.31</v>
      </c>
      <c r="AD1259" s="31">
        <v>180000</v>
      </c>
      <c r="AE1259" s="31">
        <v>0</v>
      </c>
      <c r="AF1259" s="33">
        <v>2022</v>
      </c>
      <c r="AG1259" s="33">
        <v>2022</v>
      </c>
      <c r="AH1259" s="34">
        <v>2022</v>
      </c>
      <c r="AT1259" s="20" t="e">
        <f t="shared" si="298"/>
        <v>#N/A</v>
      </c>
      <c r="BZ1259" s="64"/>
    </row>
    <row r="1260" spans="1:78" ht="61.5" x14ac:dyDescent="0.85">
      <c r="A1260" s="20">
        <v>1</v>
      </c>
      <c r="B1260" s="60">
        <f>SUBTOTAL(103,$A$1036:A1260)</f>
        <v>189</v>
      </c>
      <c r="C1260" s="101" t="s">
        <v>67</v>
      </c>
      <c r="D1260" s="31">
        <f>E1260+F1260+G1260+H1260+I1260+J1260+L1260+N1260+P1260+R1260+T1260+U1260+V1260+W1260+X1260+Y1260+Z1260+AA1260+AB1260+AC1260+AD1260+AE1260</f>
        <v>4242679.37</v>
      </c>
      <c r="E1260" s="31">
        <v>451170.83</v>
      </c>
      <c r="F1260" s="31">
        <v>885201.84</v>
      </c>
      <c r="G1260" s="31">
        <v>1880858.0000000002</v>
      </c>
      <c r="H1260" s="31">
        <v>667182.5</v>
      </c>
      <c r="I1260" s="31">
        <v>0</v>
      </c>
      <c r="J1260" s="31">
        <v>0</v>
      </c>
      <c r="K1260" s="67">
        <v>0</v>
      </c>
      <c r="L1260" s="31">
        <v>0</v>
      </c>
      <c r="M1260" s="31">
        <v>0</v>
      </c>
      <c r="N1260" s="31">
        <v>0</v>
      </c>
      <c r="O1260" s="31">
        <v>0</v>
      </c>
      <c r="P1260" s="31">
        <v>0</v>
      </c>
      <c r="Q1260" s="31">
        <v>0</v>
      </c>
      <c r="R1260" s="31">
        <v>0</v>
      </c>
      <c r="S1260" s="31">
        <v>0</v>
      </c>
      <c r="T1260" s="31">
        <v>0</v>
      </c>
      <c r="U1260" s="31">
        <v>0</v>
      </c>
      <c r="V1260" s="31">
        <v>0</v>
      </c>
      <c r="W1260" s="31">
        <v>0</v>
      </c>
      <c r="X1260" s="31">
        <v>0</v>
      </c>
      <c r="Y1260" s="31">
        <v>0</v>
      </c>
      <c r="Z1260" s="31">
        <v>0</v>
      </c>
      <c r="AA1260" s="31">
        <v>0</v>
      </c>
      <c r="AB1260" s="31">
        <v>0</v>
      </c>
      <c r="AC1260" s="31">
        <f>ROUND((E1260+F1260+G1260+H1260+I1260+J1260)*1.5%,2)</f>
        <v>58266.2</v>
      </c>
      <c r="AD1260" s="31">
        <v>300000</v>
      </c>
      <c r="AE1260" s="31">
        <v>0</v>
      </c>
      <c r="AF1260" s="33">
        <v>2022</v>
      </c>
      <c r="AG1260" s="33">
        <v>2022</v>
      </c>
      <c r="AH1260" s="34">
        <v>2022</v>
      </c>
      <c r="AT1260" s="20" t="e">
        <f t="shared" si="298"/>
        <v>#N/A</v>
      </c>
      <c r="BZ1260" s="64"/>
    </row>
    <row r="1261" spans="1:78" ht="61.5" x14ac:dyDescent="0.85">
      <c r="B1261" s="24" t="s">
        <v>844</v>
      </c>
      <c r="C1261" s="24"/>
      <c r="D1261" s="199">
        <f>D1262</f>
        <v>3221353.3</v>
      </c>
      <c r="E1261" s="31">
        <f t="shared" ref="E1261:AE1261" si="310">E1262</f>
        <v>0</v>
      </c>
      <c r="F1261" s="31">
        <f t="shared" si="310"/>
        <v>0</v>
      </c>
      <c r="G1261" s="31">
        <f t="shared" si="310"/>
        <v>0</v>
      </c>
      <c r="H1261" s="31">
        <f t="shared" si="310"/>
        <v>0</v>
      </c>
      <c r="I1261" s="31">
        <f t="shared" si="310"/>
        <v>0</v>
      </c>
      <c r="J1261" s="31">
        <f t="shared" si="310"/>
        <v>0</v>
      </c>
      <c r="K1261" s="67">
        <f t="shared" si="310"/>
        <v>0</v>
      </c>
      <c r="L1261" s="31">
        <f t="shared" si="310"/>
        <v>0</v>
      </c>
      <c r="M1261" s="31">
        <f t="shared" si="310"/>
        <v>708.3</v>
      </c>
      <c r="N1261" s="31">
        <f t="shared" si="310"/>
        <v>3025963.84</v>
      </c>
      <c r="O1261" s="31">
        <f t="shared" si="310"/>
        <v>0</v>
      </c>
      <c r="P1261" s="31">
        <f t="shared" si="310"/>
        <v>0</v>
      </c>
      <c r="Q1261" s="31">
        <f t="shared" si="310"/>
        <v>0</v>
      </c>
      <c r="R1261" s="31">
        <f t="shared" si="310"/>
        <v>0</v>
      </c>
      <c r="S1261" s="31">
        <f t="shared" si="310"/>
        <v>0</v>
      </c>
      <c r="T1261" s="31">
        <f t="shared" si="310"/>
        <v>0</v>
      </c>
      <c r="U1261" s="31">
        <f t="shared" si="310"/>
        <v>0</v>
      </c>
      <c r="V1261" s="31">
        <f t="shared" si="310"/>
        <v>0</v>
      </c>
      <c r="W1261" s="31">
        <f t="shared" si="310"/>
        <v>0</v>
      </c>
      <c r="X1261" s="31">
        <f t="shared" si="310"/>
        <v>0</v>
      </c>
      <c r="Y1261" s="31">
        <f t="shared" si="310"/>
        <v>0</v>
      </c>
      <c r="Z1261" s="31">
        <f t="shared" si="310"/>
        <v>0</v>
      </c>
      <c r="AA1261" s="31">
        <f t="shared" si="310"/>
        <v>0</v>
      </c>
      <c r="AB1261" s="31">
        <f t="shared" si="310"/>
        <v>0</v>
      </c>
      <c r="AC1261" s="31">
        <f t="shared" si="310"/>
        <v>45389.46</v>
      </c>
      <c r="AD1261" s="31">
        <f t="shared" si="310"/>
        <v>150000</v>
      </c>
      <c r="AE1261" s="31">
        <f t="shared" si="310"/>
        <v>0</v>
      </c>
      <c r="AF1261" s="205" t="s">
        <v>751</v>
      </c>
      <c r="AG1261" s="205" t="s">
        <v>751</v>
      </c>
      <c r="AH1261" s="206" t="s">
        <v>751</v>
      </c>
      <c r="AT1261" s="20" t="e">
        <f t="shared" si="298"/>
        <v>#N/A</v>
      </c>
      <c r="BZ1261" s="64">
        <v>3799734.79</v>
      </c>
    </row>
    <row r="1262" spans="1:78" ht="61.5" x14ac:dyDescent="0.85">
      <c r="A1262" s="20">
        <v>1</v>
      </c>
      <c r="B1262" s="60">
        <f>SUBTOTAL(103,$A$1036:A1262)</f>
        <v>190</v>
      </c>
      <c r="C1262" s="101" t="s">
        <v>65</v>
      </c>
      <c r="D1262" s="31">
        <f>E1262+F1262+G1262+H1262+I1262+J1262+L1262+N1262+P1262+R1262+T1262+U1262+V1262+W1262+X1262+Y1262+Z1262+AA1262+AB1262+AC1262+AD1262+AE1262</f>
        <v>3221353.3</v>
      </c>
      <c r="E1262" s="31">
        <v>0</v>
      </c>
      <c r="F1262" s="31">
        <v>0</v>
      </c>
      <c r="G1262" s="31">
        <v>0</v>
      </c>
      <c r="H1262" s="31">
        <v>0</v>
      </c>
      <c r="I1262" s="31">
        <v>0</v>
      </c>
      <c r="J1262" s="31">
        <v>0</v>
      </c>
      <c r="K1262" s="67">
        <v>0</v>
      </c>
      <c r="L1262" s="31">
        <v>0</v>
      </c>
      <c r="M1262" s="31">
        <v>708.3</v>
      </c>
      <c r="N1262" s="31">
        <v>3025963.84</v>
      </c>
      <c r="O1262" s="31">
        <v>0</v>
      </c>
      <c r="P1262" s="31">
        <v>0</v>
      </c>
      <c r="Q1262" s="31">
        <v>0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31">
        <v>0</v>
      </c>
      <c r="X1262" s="31">
        <v>0</v>
      </c>
      <c r="Y1262" s="31">
        <v>0</v>
      </c>
      <c r="Z1262" s="31">
        <v>0</v>
      </c>
      <c r="AA1262" s="31">
        <v>0</v>
      </c>
      <c r="AB1262" s="31">
        <v>0</v>
      </c>
      <c r="AC1262" s="31">
        <f>ROUND(N1262*1.5%,2)</f>
        <v>45389.46</v>
      </c>
      <c r="AD1262" s="31">
        <v>150000</v>
      </c>
      <c r="AE1262" s="31">
        <v>0</v>
      </c>
      <c r="AF1262" s="33">
        <v>2022</v>
      </c>
      <c r="AG1262" s="33">
        <v>2022</v>
      </c>
      <c r="AH1262" s="34">
        <v>2022</v>
      </c>
      <c r="AT1262" s="20" t="e">
        <f t="shared" si="298"/>
        <v>#N/A</v>
      </c>
      <c r="BZ1262" s="64"/>
    </row>
    <row r="1263" spans="1:78" ht="61.5" x14ac:dyDescent="0.85">
      <c r="B1263" s="24" t="s">
        <v>845</v>
      </c>
      <c r="C1263" s="24"/>
      <c r="D1263" s="199">
        <f>D1264</f>
        <v>2311215.4500000002</v>
      </c>
      <c r="E1263" s="31">
        <f t="shared" ref="E1263:AE1263" si="311">E1264</f>
        <v>0</v>
      </c>
      <c r="F1263" s="31">
        <f t="shared" si="311"/>
        <v>0</v>
      </c>
      <c r="G1263" s="31">
        <f t="shared" si="311"/>
        <v>0</v>
      </c>
      <c r="H1263" s="31">
        <f t="shared" si="311"/>
        <v>0</v>
      </c>
      <c r="I1263" s="31">
        <f t="shared" si="311"/>
        <v>0</v>
      </c>
      <c r="J1263" s="31">
        <f t="shared" si="311"/>
        <v>0</v>
      </c>
      <c r="K1263" s="67">
        <f t="shared" si="311"/>
        <v>0</v>
      </c>
      <c r="L1263" s="31">
        <f t="shared" si="311"/>
        <v>0</v>
      </c>
      <c r="M1263" s="31">
        <f t="shared" si="311"/>
        <v>470</v>
      </c>
      <c r="N1263" s="31">
        <f t="shared" si="311"/>
        <v>2158832.96</v>
      </c>
      <c r="O1263" s="31">
        <f t="shared" si="311"/>
        <v>0</v>
      </c>
      <c r="P1263" s="31">
        <f t="shared" si="311"/>
        <v>0</v>
      </c>
      <c r="Q1263" s="31">
        <f t="shared" si="311"/>
        <v>0</v>
      </c>
      <c r="R1263" s="31">
        <f t="shared" si="311"/>
        <v>0</v>
      </c>
      <c r="S1263" s="31">
        <f t="shared" si="311"/>
        <v>0</v>
      </c>
      <c r="T1263" s="31">
        <f t="shared" si="311"/>
        <v>0</v>
      </c>
      <c r="U1263" s="31">
        <f t="shared" si="311"/>
        <v>0</v>
      </c>
      <c r="V1263" s="31">
        <f t="shared" si="311"/>
        <v>0</v>
      </c>
      <c r="W1263" s="31">
        <f t="shared" si="311"/>
        <v>0</v>
      </c>
      <c r="X1263" s="31">
        <f t="shared" si="311"/>
        <v>0</v>
      </c>
      <c r="Y1263" s="31">
        <f t="shared" si="311"/>
        <v>0</v>
      </c>
      <c r="Z1263" s="31">
        <f t="shared" si="311"/>
        <v>0</v>
      </c>
      <c r="AA1263" s="31">
        <f t="shared" si="311"/>
        <v>0</v>
      </c>
      <c r="AB1263" s="31">
        <f t="shared" si="311"/>
        <v>0</v>
      </c>
      <c r="AC1263" s="31">
        <f t="shared" si="311"/>
        <v>32382.49</v>
      </c>
      <c r="AD1263" s="31">
        <f t="shared" si="311"/>
        <v>120000</v>
      </c>
      <c r="AE1263" s="31">
        <f t="shared" si="311"/>
        <v>0</v>
      </c>
      <c r="AF1263" s="205" t="s">
        <v>751</v>
      </c>
      <c r="AG1263" s="205" t="s">
        <v>751</v>
      </c>
      <c r="AH1263" s="206" t="s">
        <v>751</v>
      </c>
      <c r="AT1263" s="20" t="e">
        <f t="shared" si="298"/>
        <v>#N/A</v>
      </c>
      <c r="BZ1263" s="64">
        <v>2311215.4500000002</v>
      </c>
    </row>
    <row r="1264" spans="1:78" ht="61.5" x14ac:dyDescent="0.85">
      <c r="A1264" s="20">
        <v>1</v>
      </c>
      <c r="B1264" s="60">
        <f>SUBTOTAL(103,$A$1036:A1264)</f>
        <v>191</v>
      </c>
      <c r="C1264" s="101" t="s">
        <v>64</v>
      </c>
      <c r="D1264" s="31">
        <f>E1264+F1264+G1264+H1264+I1264+J1264+L1264+N1264+P1264+R1264+T1264+U1264+V1264+W1264+X1264+Y1264+Z1264+AA1264+AB1264+AC1264+AD1264+AE1264</f>
        <v>2311215.4500000002</v>
      </c>
      <c r="E1264" s="31">
        <v>0</v>
      </c>
      <c r="F1264" s="31">
        <v>0</v>
      </c>
      <c r="G1264" s="31">
        <v>0</v>
      </c>
      <c r="H1264" s="31">
        <v>0</v>
      </c>
      <c r="I1264" s="31">
        <v>0</v>
      </c>
      <c r="J1264" s="31">
        <v>0</v>
      </c>
      <c r="K1264" s="67">
        <v>0</v>
      </c>
      <c r="L1264" s="31">
        <v>0</v>
      </c>
      <c r="M1264" s="31">
        <v>470</v>
      </c>
      <c r="N1264" s="31">
        <v>2158832.96</v>
      </c>
      <c r="O1264" s="31">
        <v>0</v>
      </c>
      <c r="P1264" s="31">
        <v>0</v>
      </c>
      <c r="Q1264" s="31">
        <v>0</v>
      </c>
      <c r="R1264" s="31">
        <v>0</v>
      </c>
      <c r="S1264" s="31">
        <v>0</v>
      </c>
      <c r="T1264" s="31">
        <v>0</v>
      </c>
      <c r="U1264" s="31">
        <v>0</v>
      </c>
      <c r="V1264" s="31">
        <v>0</v>
      </c>
      <c r="W1264" s="31">
        <v>0</v>
      </c>
      <c r="X1264" s="31">
        <v>0</v>
      </c>
      <c r="Y1264" s="31">
        <v>0</v>
      </c>
      <c r="Z1264" s="31">
        <v>0</v>
      </c>
      <c r="AA1264" s="31">
        <v>0</v>
      </c>
      <c r="AB1264" s="31">
        <v>0</v>
      </c>
      <c r="AC1264" s="31">
        <f>ROUND(N1264*1.5%,2)</f>
        <v>32382.49</v>
      </c>
      <c r="AD1264" s="31">
        <v>120000</v>
      </c>
      <c r="AE1264" s="31">
        <v>0</v>
      </c>
      <c r="AF1264" s="33">
        <v>2022</v>
      </c>
      <c r="AG1264" s="33">
        <v>2022</v>
      </c>
      <c r="AH1264" s="34">
        <v>2022</v>
      </c>
      <c r="AT1264" s="20" t="e">
        <f t="shared" si="298"/>
        <v>#N/A</v>
      </c>
      <c r="BZ1264" s="64"/>
    </row>
    <row r="1265" spans="1:78" ht="61.5" x14ac:dyDescent="0.85">
      <c r="B1265" s="24" t="s">
        <v>883</v>
      </c>
      <c r="C1265" s="24"/>
      <c r="D1265" s="199">
        <f>D1266</f>
        <v>3215375.5700000003</v>
      </c>
      <c r="E1265" s="31">
        <f t="shared" ref="E1265:AE1265" si="312">E1266</f>
        <v>0</v>
      </c>
      <c r="F1265" s="31">
        <f t="shared" si="312"/>
        <v>0</v>
      </c>
      <c r="G1265" s="31">
        <f t="shared" si="312"/>
        <v>0</v>
      </c>
      <c r="H1265" s="31">
        <f t="shared" si="312"/>
        <v>0</v>
      </c>
      <c r="I1265" s="31">
        <f t="shared" si="312"/>
        <v>0</v>
      </c>
      <c r="J1265" s="31">
        <f t="shared" si="312"/>
        <v>0</v>
      </c>
      <c r="K1265" s="67">
        <f t="shared" si="312"/>
        <v>0</v>
      </c>
      <c r="L1265" s="31">
        <f t="shared" si="312"/>
        <v>0</v>
      </c>
      <c r="M1265" s="31">
        <f t="shared" si="312"/>
        <v>615.76</v>
      </c>
      <c r="N1265" s="31">
        <f t="shared" si="312"/>
        <v>3020074.45</v>
      </c>
      <c r="O1265" s="31">
        <f t="shared" si="312"/>
        <v>0</v>
      </c>
      <c r="P1265" s="31">
        <f t="shared" si="312"/>
        <v>0</v>
      </c>
      <c r="Q1265" s="31">
        <f t="shared" si="312"/>
        <v>0</v>
      </c>
      <c r="R1265" s="31">
        <f t="shared" si="312"/>
        <v>0</v>
      </c>
      <c r="S1265" s="31">
        <f t="shared" si="312"/>
        <v>0</v>
      </c>
      <c r="T1265" s="31">
        <f t="shared" si="312"/>
        <v>0</v>
      </c>
      <c r="U1265" s="31">
        <f t="shared" si="312"/>
        <v>0</v>
      </c>
      <c r="V1265" s="31">
        <f t="shared" si="312"/>
        <v>0</v>
      </c>
      <c r="W1265" s="31">
        <f t="shared" si="312"/>
        <v>0</v>
      </c>
      <c r="X1265" s="31">
        <f t="shared" si="312"/>
        <v>0</v>
      </c>
      <c r="Y1265" s="31">
        <f t="shared" si="312"/>
        <v>0</v>
      </c>
      <c r="Z1265" s="31">
        <f t="shared" si="312"/>
        <v>0</v>
      </c>
      <c r="AA1265" s="31">
        <f t="shared" si="312"/>
        <v>0</v>
      </c>
      <c r="AB1265" s="31">
        <f t="shared" si="312"/>
        <v>0</v>
      </c>
      <c r="AC1265" s="31">
        <f t="shared" si="312"/>
        <v>45301.120000000003</v>
      </c>
      <c r="AD1265" s="31">
        <f t="shared" si="312"/>
        <v>150000</v>
      </c>
      <c r="AE1265" s="31">
        <f t="shared" si="312"/>
        <v>0</v>
      </c>
      <c r="AF1265" s="205" t="s">
        <v>751</v>
      </c>
      <c r="AG1265" s="205" t="s">
        <v>751</v>
      </c>
      <c r="AH1265" s="206" t="s">
        <v>751</v>
      </c>
      <c r="AT1265" s="20" t="e">
        <f t="shared" si="298"/>
        <v>#N/A</v>
      </c>
      <c r="BZ1265" s="64">
        <v>3215375.5700000003</v>
      </c>
    </row>
    <row r="1266" spans="1:78" ht="61.5" x14ac:dyDescent="0.85">
      <c r="A1266" s="20">
        <v>1</v>
      </c>
      <c r="B1266" s="60">
        <f>SUBTOTAL(103,$A$1036:A1266)</f>
        <v>192</v>
      </c>
      <c r="C1266" s="101" t="s">
        <v>70</v>
      </c>
      <c r="D1266" s="31">
        <f>E1266+F1266+G1266+H1266+I1266+J1266+L1266+N1266+P1266+R1266+T1266+U1266+V1266+W1266+X1266+Y1266+Z1266+AA1266+AB1266+AC1266+AD1266+AE1266</f>
        <v>3215375.5700000003</v>
      </c>
      <c r="E1266" s="31">
        <v>0</v>
      </c>
      <c r="F1266" s="31">
        <v>0</v>
      </c>
      <c r="G1266" s="31">
        <v>0</v>
      </c>
      <c r="H1266" s="31">
        <v>0</v>
      </c>
      <c r="I1266" s="31">
        <v>0</v>
      </c>
      <c r="J1266" s="31">
        <v>0</v>
      </c>
      <c r="K1266" s="67">
        <v>0</v>
      </c>
      <c r="L1266" s="31">
        <v>0</v>
      </c>
      <c r="M1266" s="31">
        <v>615.76</v>
      </c>
      <c r="N1266" s="31">
        <v>3020074.45</v>
      </c>
      <c r="O1266" s="31">
        <v>0</v>
      </c>
      <c r="P1266" s="31">
        <v>0</v>
      </c>
      <c r="Q1266" s="31">
        <v>0</v>
      </c>
      <c r="R1266" s="31">
        <v>0</v>
      </c>
      <c r="S1266" s="31">
        <v>0</v>
      </c>
      <c r="T1266" s="31">
        <v>0</v>
      </c>
      <c r="U1266" s="31">
        <v>0</v>
      </c>
      <c r="V1266" s="31">
        <v>0</v>
      </c>
      <c r="W1266" s="31">
        <v>0</v>
      </c>
      <c r="X1266" s="31">
        <v>0</v>
      </c>
      <c r="Y1266" s="31">
        <v>0</v>
      </c>
      <c r="Z1266" s="31">
        <v>0</v>
      </c>
      <c r="AA1266" s="31">
        <v>0</v>
      </c>
      <c r="AB1266" s="31">
        <v>0</v>
      </c>
      <c r="AC1266" s="31">
        <f>ROUND(N1266*1.5%,2)</f>
        <v>45301.120000000003</v>
      </c>
      <c r="AD1266" s="31">
        <v>150000</v>
      </c>
      <c r="AE1266" s="31">
        <v>0</v>
      </c>
      <c r="AF1266" s="33">
        <v>2022</v>
      </c>
      <c r="AG1266" s="33">
        <v>2022</v>
      </c>
      <c r="AH1266" s="34">
        <v>2022</v>
      </c>
      <c r="AT1266" s="20" t="e">
        <f t="shared" si="298"/>
        <v>#N/A</v>
      </c>
      <c r="BZ1266" s="64"/>
    </row>
    <row r="1267" spans="1:78" ht="61.5" x14ac:dyDescent="0.85">
      <c r="B1267" s="24" t="s">
        <v>846</v>
      </c>
      <c r="C1267" s="24"/>
      <c r="D1267" s="199">
        <f>D1268+D1269+D1270</f>
        <v>10672314.84</v>
      </c>
      <c r="E1267" s="31">
        <f t="shared" ref="E1267:AE1267" si="313">E1268+E1269+E1270</f>
        <v>0</v>
      </c>
      <c r="F1267" s="31">
        <f t="shared" si="313"/>
        <v>0</v>
      </c>
      <c r="G1267" s="31">
        <f t="shared" si="313"/>
        <v>0</v>
      </c>
      <c r="H1267" s="31">
        <f t="shared" si="313"/>
        <v>0</v>
      </c>
      <c r="I1267" s="31">
        <f t="shared" si="313"/>
        <v>0</v>
      </c>
      <c r="J1267" s="31">
        <f t="shared" si="313"/>
        <v>0</v>
      </c>
      <c r="K1267" s="67">
        <f t="shared" si="313"/>
        <v>0</v>
      </c>
      <c r="L1267" s="31">
        <f t="shared" si="313"/>
        <v>0</v>
      </c>
      <c r="M1267" s="31">
        <f t="shared" si="313"/>
        <v>2043.8</v>
      </c>
      <c r="N1267" s="31">
        <f t="shared" si="313"/>
        <v>10100802.800000001</v>
      </c>
      <c r="O1267" s="31">
        <f t="shared" si="313"/>
        <v>0</v>
      </c>
      <c r="P1267" s="31">
        <f t="shared" si="313"/>
        <v>0</v>
      </c>
      <c r="Q1267" s="31">
        <f t="shared" si="313"/>
        <v>0</v>
      </c>
      <c r="R1267" s="31">
        <f t="shared" si="313"/>
        <v>0</v>
      </c>
      <c r="S1267" s="31">
        <f t="shared" si="313"/>
        <v>0</v>
      </c>
      <c r="T1267" s="31">
        <f t="shared" si="313"/>
        <v>0</v>
      </c>
      <c r="U1267" s="31">
        <f t="shared" si="313"/>
        <v>0</v>
      </c>
      <c r="V1267" s="31">
        <f t="shared" si="313"/>
        <v>0</v>
      </c>
      <c r="W1267" s="31">
        <f t="shared" si="313"/>
        <v>0</v>
      </c>
      <c r="X1267" s="31">
        <f t="shared" si="313"/>
        <v>0</v>
      </c>
      <c r="Y1267" s="31">
        <f t="shared" si="313"/>
        <v>0</v>
      </c>
      <c r="Z1267" s="31">
        <f t="shared" si="313"/>
        <v>0</v>
      </c>
      <c r="AA1267" s="31">
        <f t="shared" si="313"/>
        <v>0</v>
      </c>
      <c r="AB1267" s="31">
        <f t="shared" si="313"/>
        <v>0</v>
      </c>
      <c r="AC1267" s="31">
        <f t="shared" si="313"/>
        <v>151512.04</v>
      </c>
      <c r="AD1267" s="31">
        <f t="shared" si="313"/>
        <v>420000</v>
      </c>
      <c r="AE1267" s="31">
        <f t="shared" si="313"/>
        <v>0</v>
      </c>
      <c r="AF1267" s="205" t="s">
        <v>751</v>
      </c>
      <c r="AG1267" s="205" t="s">
        <v>751</v>
      </c>
      <c r="AH1267" s="206" t="s">
        <v>751</v>
      </c>
      <c r="AT1267" s="20" t="e">
        <f t="shared" si="298"/>
        <v>#N/A</v>
      </c>
      <c r="BZ1267" s="64">
        <v>10672314.84</v>
      </c>
    </row>
    <row r="1268" spans="1:78" ht="61.5" x14ac:dyDescent="0.85">
      <c r="A1268" s="20">
        <v>1</v>
      </c>
      <c r="B1268" s="60">
        <f>SUBTOTAL(103,$A$1036:A1268)</f>
        <v>193</v>
      </c>
      <c r="C1268" s="101" t="s">
        <v>71</v>
      </c>
      <c r="D1268" s="31">
        <f>E1268+F1268+G1268+H1268+I1268+J1268+L1268+N1268+P1268+R1268+T1268+U1268+V1268+W1268+X1268+Y1268+Z1268+AA1268+AB1268+AC1268+AD1268+AE1268</f>
        <v>2391584.4</v>
      </c>
      <c r="E1268" s="31">
        <v>0</v>
      </c>
      <c r="F1268" s="31">
        <v>0</v>
      </c>
      <c r="G1268" s="31">
        <v>0</v>
      </c>
      <c r="H1268" s="31">
        <v>0</v>
      </c>
      <c r="I1268" s="31">
        <v>0</v>
      </c>
      <c r="J1268" s="31">
        <v>0</v>
      </c>
      <c r="K1268" s="67">
        <v>0</v>
      </c>
      <c r="L1268" s="31">
        <v>0</v>
      </c>
      <c r="M1268" s="31">
        <v>458</v>
      </c>
      <c r="N1268" s="31">
        <v>2238014.19</v>
      </c>
      <c r="O1268" s="31">
        <v>0</v>
      </c>
      <c r="P1268" s="31">
        <v>0</v>
      </c>
      <c r="Q1268" s="31">
        <v>0</v>
      </c>
      <c r="R1268" s="31">
        <v>0</v>
      </c>
      <c r="S1268" s="31">
        <v>0</v>
      </c>
      <c r="T1268" s="31">
        <v>0</v>
      </c>
      <c r="U1268" s="31">
        <v>0</v>
      </c>
      <c r="V1268" s="31">
        <v>0</v>
      </c>
      <c r="W1268" s="31">
        <v>0</v>
      </c>
      <c r="X1268" s="31">
        <v>0</v>
      </c>
      <c r="Y1268" s="31">
        <v>0</v>
      </c>
      <c r="Z1268" s="31">
        <v>0</v>
      </c>
      <c r="AA1268" s="31">
        <v>0</v>
      </c>
      <c r="AB1268" s="31">
        <v>0</v>
      </c>
      <c r="AC1268" s="31">
        <f>ROUND(N1268*1.5%,2)</f>
        <v>33570.21</v>
      </c>
      <c r="AD1268" s="31">
        <v>120000</v>
      </c>
      <c r="AE1268" s="31">
        <v>0</v>
      </c>
      <c r="AF1268" s="33">
        <v>2022</v>
      </c>
      <c r="AG1268" s="33">
        <v>2022</v>
      </c>
      <c r="AH1268" s="34">
        <v>2022</v>
      </c>
      <c r="AT1268" s="20" t="e">
        <f t="shared" si="298"/>
        <v>#N/A</v>
      </c>
      <c r="BZ1268" s="64"/>
    </row>
    <row r="1269" spans="1:78" ht="61.5" x14ac:dyDescent="0.85">
      <c r="A1269" s="20">
        <v>1</v>
      </c>
      <c r="B1269" s="60">
        <f>SUBTOTAL(103,$A$1036:A1269)</f>
        <v>194</v>
      </c>
      <c r="C1269" s="101" t="s">
        <v>72</v>
      </c>
      <c r="D1269" s="31">
        <f>E1269+F1269+G1269+H1269+I1269+J1269+L1269+N1269+P1269+R1269+T1269+U1269+V1269+W1269+X1269+Y1269+Z1269+AA1269+AB1269+AC1269+AD1269+AE1269</f>
        <v>4908492</v>
      </c>
      <c r="E1269" s="31">
        <v>0</v>
      </c>
      <c r="F1269" s="31">
        <v>0</v>
      </c>
      <c r="G1269" s="31">
        <v>0</v>
      </c>
      <c r="H1269" s="31">
        <v>0</v>
      </c>
      <c r="I1269" s="31">
        <v>0</v>
      </c>
      <c r="J1269" s="31">
        <v>0</v>
      </c>
      <c r="K1269" s="67">
        <v>0</v>
      </c>
      <c r="L1269" s="31">
        <v>0</v>
      </c>
      <c r="M1269" s="31">
        <v>940</v>
      </c>
      <c r="N1269" s="31">
        <v>4688169.46</v>
      </c>
      <c r="O1269" s="31">
        <v>0</v>
      </c>
      <c r="P1269" s="31">
        <v>0</v>
      </c>
      <c r="Q1269" s="31">
        <v>0</v>
      </c>
      <c r="R1269" s="31">
        <v>0</v>
      </c>
      <c r="S1269" s="31">
        <v>0</v>
      </c>
      <c r="T1269" s="31">
        <v>0</v>
      </c>
      <c r="U1269" s="31">
        <v>0</v>
      </c>
      <c r="V1269" s="31">
        <v>0</v>
      </c>
      <c r="W1269" s="31">
        <v>0</v>
      </c>
      <c r="X1269" s="31">
        <v>0</v>
      </c>
      <c r="Y1269" s="31">
        <v>0</v>
      </c>
      <c r="Z1269" s="31">
        <v>0</v>
      </c>
      <c r="AA1269" s="31">
        <v>0</v>
      </c>
      <c r="AB1269" s="31">
        <v>0</v>
      </c>
      <c r="AC1269" s="31">
        <f>ROUND(N1269*1.5%,2)</f>
        <v>70322.539999999994</v>
      </c>
      <c r="AD1269" s="31">
        <v>150000</v>
      </c>
      <c r="AE1269" s="31">
        <v>0</v>
      </c>
      <c r="AF1269" s="33">
        <v>2022</v>
      </c>
      <c r="AG1269" s="33">
        <v>2022</v>
      </c>
      <c r="AH1269" s="34">
        <v>2022</v>
      </c>
      <c r="AT1269" s="20" t="e">
        <f t="shared" si="298"/>
        <v>#N/A</v>
      </c>
      <c r="BZ1269" s="64"/>
    </row>
    <row r="1270" spans="1:78" ht="61.5" x14ac:dyDescent="0.85">
      <c r="A1270" s="20">
        <v>1</v>
      </c>
      <c r="B1270" s="60">
        <f>SUBTOTAL(103,$A$1036:A1270)</f>
        <v>195</v>
      </c>
      <c r="C1270" s="101" t="s">
        <v>73</v>
      </c>
      <c r="D1270" s="31">
        <f>E1270+F1270+G1270+H1270+I1270+J1270+L1270+N1270+P1270+R1270+T1270+U1270+V1270+W1270+X1270+Y1270+Z1270+AA1270+AB1270+AC1270+AD1270+AE1270</f>
        <v>3372238.44</v>
      </c>
      <c r="E1270" s="31">
        <v>0</v>
      </c>
      <c r="F1270" s="31">
        <v>0</v>
      </c>
      <c r="G1270" s="31">
        <v>0</v>
      </c>
      <c r="H1270" s="31">
        <v>0</v>
      </c>
      <c r="I1270" s="31">
        <v>0</v>
      </c>
      <c r="J1270" s="31">
        <v>0</v>
      </c>
      <c r="K1270" s="67">
        <v>0</v>
      </c>
      <c r="L1270" s="31">
        <v>0</v>
      </c>
      <c r="M1270" s="31">
        <v>645.79999999999995</v>
      </c>
      <c r="N1270" s="31">
        <v>3174619.15</v>
      </c>
      <c r="O1270" s="31">
        <v>0</v>
      </c>
      <c r="P1270" s="31">
        <v>0</v>
      </c>
      <c r="Q1270" s="31">
        <v>0</v>
      </c>
      <c r="R1270" s="31">
        <v>0</v>
      </c>
      <c r="S1270" s="31">
        <v>0</v>
      </c>
      <c r="T1270" s="31">
        <v>0</v>
      </c>
      <c r="U1270" s="31">
        <v>0</v>
      </c>
      <c r="V1270" s="31">
        <v>0</v>
      </c>
      <c r="W1270" s="31">
        <v>0</v>
      </c>
      <c r="X1270" s="31">
        <v>0</v>
      </c>
      <c r="Y1270" s="31">
        <v>0</v>
      </c>
      <c r="Z1270" s="31">
        <v>0</v>
      </c>
      <c r="AA1270" s="31">
        <v>0</v>
      </c>
      <c r="AB1270" s="31">
        <v>0</v>
      </c>
      <c r="AC1270" s="31">
        <f>ROUND(N1270*1.5%,2)</f>
        <v>47619.29</v>
      </c>
      <c r="AD1270" s="31">
        <v>150000</v>
      </c>
      <c r="AE1270" s="31">
        <v>0</v>
      </c>
      <c r="AF1270" s="33">
        <v>2022</v>
      </c>
      <c r="AG1270" s="33">
        <v>2022</v>
      </c>
      <c r="AH1270" s="34">
        <v>2022</v>
      </c>
      <c r="AT1270" s="20" t="e">
        <f t="shared" si="298"/>
        <v>#N/A</v>
      </c>
      <c r="BZ1270" s="64"/>
    </row>
    <row r="1271" spans="1:78" ht="61.5" x14ac:dyDescent="0.85">
      <c r="B1271" s="24" t="s">
        <v>842</v>
      </c>
      <c r="C1271" s="24"/>
      <c r="D1271" s="199">
        <f>D1272</f>
        <v>3912770.8299999996</v>
      </c>
      <c r="E1271" s="31">
        <f t="shared" ref="E1271:AE1271" si="314">E1272</f>
        <v>0</v>
      </c>
      <c r="F1271" s="31">
        <f t="shared" si="314"/>
        <v>0</v>
      </c>
      <c r="G1271" s="31">
        <f t="shared" si="314"/>
        <v>0</v>
      </c>
      <c r="H1271" s="31">
        <f t="shared" si="314"/>
        <v>0</v>
      </c>
      <c r="I1271" s="31">
        <f t="shared" si="314"/>
        <v>0</v>
      </c>
      <c r="J1271" s="31">
        <f t="shared" si="314"/>
        <v>0</v>
      </c>
      <c r="K1271" s="67">
        <f t="shared" si="314"/>
        <v>0</v>
      </c>
      <c r="L1271" s="31">
        <f t="shared" si="314"/>
        <v>0</v>
      </c>
      <c r="M1271" s="31">
        <f t="shared" si="314"/>
        <v>1320</v>
      </c>
      <c r="N1271" s="31">
        <f t="shared" si="314"/>
        <v>3736720.03</v>
      </c>
      <c r="O1271" s="31">
        <f t="shared" si="314"/>
        <v>0</v>
      </c>
      <c r="P1271" s="31">
        <f t="shared" si="314"/>
        <v>0</v>
      </c>
      <c r="Q1271" s="31">
        <f t="shared" si="314"/>
        <v>0</v>
      </c>
      <c r="R1271" s="31">
        <f t="shared" si="314"/>
        <v>0</v>
      </c>
      <c r="S1271" s="31">
        <f t="shared" si="314"/>
        <v>0</v>
      </c>
      <c r="T1271" s="31">
        <f t="shared" si="314"/>
        <v>0</v>
      </c>
      <c r="U1271" s="31">
        <f t="shared" si="314"/>
        <v>0</v>
      </c>
      <c r="V1271" s="31">
        <f t="shared" si="314"/>
        <v>0</v>
      </c>
      <c r="W1271" s="31">
        <f t="shared" si="314"/>
        <v>0</v>
      </c>
      <c r="X1271" s="31">
        <f t="shared" si="314"/>
        <v>0</v>
      </c>
      <c r="Y1271" s="31">
        <f t="shared" si="314"/>
        <v>0</v>
      </c>
      <c r="Z1271" s="31">
        <f t="shared" si="314"/>
        <v>0</v>
      </c>
      <c r="AA1271" s="31">
        <f t="shared" si="314"/>
        <v>0</v>
      </c>
      <c r="AB1271" s="31">
        <f t="shared" si="314"/>
        <v>0</v>
      </c>
      <c r="AC1271" s="31">
        <f t="shared" si="314"/>
        <v>56050.8</v>
      </c>
      <c r="AD1271" s="31">
        <f t="shared" si="314"/>
        <v>120000</v>
      </c>
      <c r="AE1271" s="31">
        <f t="shared" si="314"/>
        <v>0</v>
      </c>
      <c r="AF1271" s="205" t="s">
        <v>751</v>
      </c>
      <c r="AG1271" s="205" t="s">
        <v>751</v>
      </c>
      <c r="AH1271" s="206" t="s">
        <v>751</v>
      </c>
      <c r="AT1271" s="20" t="e">
        <f t="shared" si="298"/>
        <v>#N/A</v>
      </c>
      <c r="BZ1271" s="64">
        <v>3912770.8299999996</v>
      </c>
    </row>
    <row r="1272" spans="1:78" ht="61.5" x14ac:dyDescent="0.85">
      <c r="A1272" s="20">
        <v>1</v>
      </c>
      <c r="B1272" s="60">
        <f>SUBTOTAL(103,$A$1036:A1272)</f>
        <v>196</v>
      </c>
      <c r="C1272" s="101" t="s">
        <v>1561</v>
      </c>
      <c r="D1272" s="31">
        <f>E1272+F1272+G1272+H1272+I1272+J1272+L1272+N1272+P1272+R1272+T1272+U1272+V1272+W1272+X1272+Y1272+Z1272+AA1272+AB1272+AC1272+AD1272+AE1272</f>
        <v>3912770.8299999996</v>
      </c>
      <c r="E1272" s="31">
        <v>0</v>
      </c>
      <c r="F1272" s="31">
        <v>0</v>
      </c>
      <c r="G1272" s="31">
        <v>0</v>
      </c>
      <c r="H1272" s="31">
        <v>0</v>
      </c>
      <c r="I1272" s="31">
        <v>0</v>
      </c>
      <c r="J1272" s="31">
        <v>0</v>
      </c>
      <c r="K1272" s="67">
        <v>0</v>
      </c>
      <c r="L1272" s="31">
        <v>0</v>
      </c>
      <c r="M1272" s="31">
        <v>1320</v>
      </c>
      <c r="N1272" s="31">
        <v>3736720.03</v>
      </c>
      <c r="O1272" s="31">
        <v>0</v>
      </c>
      <c r="P1272" s="31">
        <v>0</v>
      </c>
      <c r="Q1272" s="31">
        <v>0</v>
      </c>
      <c r="R1272" s="31">
        <v>0</v>
      </c>
      <c r="S1272" s="31">
        <v>0</v>
      </c>
      <c r="T1272" s="31">
        <v>0</v>
      </c>
      <c r="U1272" s="31">
        <v>0</v>
      </c>
      <c r="V1272" s="31">
        <v>0</v>
      </c>
      <c r="W1272" s="31">
        <v>0</v>
      </c>
      <c r="X1272" s="31">
        <v>0</v>
      </c>
      <c r="Y1272" s="31">
        <v>0</v>
      </c>
      <c r="Z1272" s="31">
        <v>0</v>
      </c>
      <c r="AA1272" s="31">
        <v>0</v>
      </c>
      <c r="AB1272" s="31">
        <v>0</v>
      </c>
      <c r="AC1272" s="31">
        <f>ROUND(N1272*1.5%,2)</f>
        <v>56050.8</v>
      </c>
      <c r="AD1272" s="31">
        <v>120000</v>
      </c>
      <c r="AE1272" s="31">
        <v>0</v>
      </c>
      <c r="AF1272" s="33">
        <v>2022</v>
      </c>
      <c r="AG1272" s="33">
        <v>2022</v>
      </c>
      <c r="AH1272" s="34">
        <v>2022</v>
      </c>
      <c r="BZ1272" s="64"/>
    </row>
    <row r="1273" spans="1:78" ht="61.5" x14ac:dyDescent="0.85">
      <c r="B1273" s="24" t="s">
        <v>847</v>
      </c>
      <c r="C1273" s="198"/>
      <c r="D1273" s="199">
        <f>D1274</f>
        <v>4804056</v>
      </c>
      <c r="E1273" s="31">
        <f t="shared" ref="E1273:AE1273" si="315">E1274</f>
        <v>0</v>
      </c>
      <c r="F1273" s="31">
        <f t="shared" si="315"/>
        <v>0</v>
      </c>
      <c r="G1273" s="31">
        <f t="shared" si="315"/>
        <v>0</v>
      </c>
      <c r="H1273" s="31">
        <f t="shared" si="315"/>
        <v>0</v>
      </c>
      <c r="I1273" s="31">
        <f t="shared" si="315"/>
        <v>0</v>
      </c>
      <c r="J1273" s="31">
        <f t="shared" si="315"/>
        <v>0</v>
      </c>
      <c r="K1273" s="67">
        <f t="shared" si="315"/>
        <v>0</v>
      </c>
      <c r="L1273" s="31">
        <f t="shared" si="315"/>
        <v>0</v>
      </c>
      <c r="M1273" s="31">
        <f t="shared" si="315"/>
        <v>925</v>
      </c>
      <c r="N1273" s="31">
        <f t="shared" si="315"/>
        <v>4585276.8499999996</v>
      </c>
      <c r="O1273" s="31">
        <f t="shared" si="315"/>
        <v>0</v>
      </c>
      <c r="P1273" s="31">
        <f t="shared" si="315"/>
        <v>0</v>
      </c>
      <c r="Q1273" s="31">
        <f t="shared" si="315"/>
        <v>0</v>
      </c>
      <c r="R1273" s="31">
        <f t="shared" si="315"/>
        <v>0</v>
      </c>
      <c r="S1273" s="31">
        <f t="shared" si="315"/>
        <v>0</v>
      </c>
      <c r="T1273" s="31">
        <f t="shared" si="315"/>
        <v>0</v>
      </c>
      <c r="U1273" s="31">
        <f t="shared" si="315"/>
        <v>0</v>
      </c>
      <c r="V1273" s="31">
        <f t="shared" si="315"/>
        <v>0</v>
      </c>
      <c r="W1273" s="31">
        <f t="shared" si="315"/>
        <v>0</v>
      </c>
      <c r="X1273" s="31">
        <f t="shared" si="315"/>
        <v>0</v>
      </c>
      <c r="Y1273" s="31">
        <f t="shared" si="315"/>
        <v>0</v>
      </c>
      <c r="Z1273" s="31">
        <f t="shared" si="315"/>
        <v>0</v>
      </c>
      <c r="AA1273" s="31">
        <f t="shared" si="315"/>
        <v>0</v>
      </c>
      <c r="AB1273" s="31">
        <f t="shared" si="315"/>
        <v>0</v>
      </c>
      <c r="AC1273" s="31">
        <f t="shared" si="315"/>
        <v>68779.149999999994</v>
      </c>
      <c r="AD1273" s="31">
        <f t="shared" si="315"/>
        <v>150000</v>
      </c>
      <c r="AE1273" s="31">
        <f t="shared" si="315"/>
        <v>0</v>
      </c>
      <c r="AF1273" s="205" t="s">
        <v>751</v>
      </c>
      <c r="AG1273" s="205" t="s">
        <v>751</v>
      </c>
      <c r="AH1273" s="206" t="s">
        <v>751</v>
      </c>
      <c r="AT1273" s="20" t="e">
        <f t="shared" ref="AT1273:AT1290" si="316">VLOOKUP(C1273,AW:AX,2,FALSE)</f>
        <v>#N/A</v>
      </c>
      <c r="BZ1273" s="64">
        <v>4804056</v>
      </c>
    </row>
    <row r="1274" spans="1:78" ht="61.5" x14ac:dyDescent="0.85">
      <c r="A1274" s="20">
        <v>1</v>
      </c>
      <c r="B1274" s="60">
        <f>SUBTOTAL(103,$A$1036:A1274)</f>
        <v>197</v>
      </c>
      <c r="C1274" s="101" t="s">
        <v>226</v>
      </c>
      <c r="D1274" s="31">
        <f>E1274+F1274+G1274+H1274+I1274+J1274+L1274+N1274+P1274+R1274+T1274+U1274+V1274+W1274+X1274+Y1274+Z1274+AA1274+AB1274+AC1274+AD1274+AE1274</f>
        <v>4804056</v>
      </c>
      <c r="E1274" s="31">
        <v>0</v>
      </c>
      <c r="F1274" s="31">
        <v>0</v>
      </c>
      <c r="G1274" s="31">
        <v>0</v>
      </c>
      <c r="H1274" s="31">
        <v>0</v>
      </c>
      <c r="I1274" s="31">
        <v>0</v>
      </c>
      <c r="J1274" s="31">
        <v>0</v>
      </c>
      <c r="K1274" s="67">
        <v>0</v>
      </c>
      <c r="L1274" s="31">
        <v>0</v>
      </c>
      <c r="M1274" s="31">
        <v>925</v>
      </c>
      <c r="N1274" s="31">
        <v>4585276.8499999996</v>
      </c>
      <c r="O1274" s="31">
        <v>0</v>
      </c>
      <c r="P1274" s="31">
        <v>0</v>
      </c>
      <c r="Q1274" s="31">
        <v>0</v>
      </c>
      <c r="R1274" s="31">
        <v>0</v>
      </c>
      <c r="S1274" s="31">
        <v>0</v>
      </c>
      <c r="T1274" s="31">
        <v>0</v>
      </c>
      <c r="U1274" s="31">
        <v>0</v>
      </c>
      <c r="V1274" s="31">
        <v>0</v>
      </c>
      <c r="W1274" s="31">
        <v>0</v>
      </c>
      <c r="X1274" s="31">
        <v>0</v>
      </c>
      <c r="Y1274" s="31">
        <v>0</v>
      </c>
      <c r="Z1274" s="31">
        <v>0</v>
      </c>
      <c r="AA1274" s="31">
        <v>0</v>
      </c>
      <c r="AB1274" s="31">
        <v>0</v>
      </c>
      <c r="AC1274" s="31">
        <f>ROUND(N1274*1.5%,2)</f>
        <v>68779.149999999994</v>
      </c>
      <c r="AD1274" s="31">
        <v>150000</v>
      </c>
      <c r="AE1274" s="31">
        <v>0</v>
      </c>
      <c r="AF1274" s="33">
        <v>2022</v>
      </c>
      <c r="AG1274" s="33">
        <v>2022</v>
      </c>
      <c r="AH1274" s="34">
        <v>2022</v>
      </c>
      <c r="AT1274" s="20" t="e">
        <f t="shared" si="316"/>
        <v>#N/A</v>
      </c>
      <c r="BZ1274" s="64"/>
    </row>
    <row r="1275" spans="1:78" ht="61.5" x14ac:dyDescent="0.85">
      <c r="B1275" s="24" t="s">
        <v>882</v>
      </c>
      <c r="C1275" s="198"/>
      <c r="D1275" s="199">
        <f>D1276</f>
        <v>7297176.4800000004</v>
      </c>
      <c r="E1275" s="31">
        <f t="shared" ref="E1275:AE1275" si="317">E1276</f>
        <v>0</v>
      </c>
      <c r="F1275" s="31">
        <f t="shared" si="317"/>
        <v>0</v>
      </c>
      <c r="G1275" s="31">
        <f t="shared" si="317"/>
        <v>0</v>
      </c>
      <c r="H1275" s="31">
        <f t="shared" si="317"/>
        <v>0</v>
      </c>
      <c r="I1275" s="31">
        <f t="shared" si="317"/>
        <v>0</v>
      </c>
      <c r="J1275" s="31">
        <f t="shared" si="317"/>
        <v>0</v>
      </c>
      <c r="K1275" s="67">
        <f t="shared" si="317"/>
        <v>0</v>
      </c>
      <c r="L1275" s="31">
        <f t="shared" si="317"/>
        <v>0</v>
      </c>
      <c r="M1275" s="31">
        <f t="shared" si="317"/>
        <v>1501.51</v>
      </c>
      <c r="N1275" s="31">
        <f t="shared" si="317"/>
        <v>7011996.5300000003</v>
      </c>
      <c r="O1275" s="31">
        <f t="shared" si="317"/>
        <v>0</v>
      </c>
      <c r="P1275" s="31">
        <f t="shared" si="317"/>
        <v>0</v>
      </c>
      <c r="Q1275" s="31">
        <f t="shared" si="317"/>
        <v>0</v>
      </c>
      <c r="R1275" s="31">
        <f t="shared" si="317"/>
        <v>0</v>
      </c>
      <c r="S1275" s="31">
        <f t="shared" si="317"/>
        <v>0</v>
      </c>
      <c r="T1275" s="31">
        <f t="shared" si="317"/>
        <v>0</v>
      </c>
      <c r="U1275" s="31">
        <f t="shared" si="317"/>
        <v>0</v>
      </c>
      <c r="V1275" s="31">
        <f t="shared" si="317"/>
        <v>0</v>
      </c>
      <c r="W1275" s="31">
        <f t="shared" si="317"/>
        <v>0</v>
      </c>
      <c r="X1275" s="31">
        <f t="shared" si="317"/>
        <v>0</v>
      </c>
      <c r="Y1275" s="31">
        <f t="shared" si="317"/>
        <v>0</v>
      </c>
      <c r="Z1275" s="31">
        <f t="shared" si="317"/>
        <v>0</v>
      </c>
      <c r="AA1275" s="31">
        <f t="shared" si="317"/>
        <v>0</v>
      </c>
      <c r="AB1275" s="31">
        <f t="shared" si="317"/>
        <v>0</v>
      </c>
      <c r="AC1275" s="31">
        <f t="shared" si="317"/>
        <v>105179.95</v>
      </c>
      <c r="AD1275" s="31">
        <f t="shared" si="317"/>
        <v>180000</v>
      </c>
      <c r="AE1275" s="31">
        <f t="shared" si="317"/>
        <v>0</v>
      </c>
      <c r="AF1275" s="205" t="s">
        <v>751</v>
      </c>
      <c r="AG1275" s="205" t="s">
        <v>751</v>
      </c>
      <c r="AH1275" s="206" t="s">
        <v>751</v>
      </c>
      <c r="AT1275" s="20" t="e">
        <f t="shared" si="316"/>
        <v>#N/A</v>
      </c>
      <c r="BZ1275" s="64">
        <v>7284801.9000000004</v>
      </c>
    </row>
    <row r="1276" spans="1:78" ht="61.5" x14ac:dyDescent="0.85">
      <c r="A1276" s="20">
        <v>1</v>
      </c>
      <c r="B1276" s="60">
        <f>SUBTOTAL(103,$A$1036:A1276)</f>
        <v>198</v>
      </c>
      <c r="C1276" s="101" t="s">
        <v>159</v>
      </c>
      <c r="D1276" s="31">
        <f>E1276+F1276+G1276+H1276+I1276+J1276+L1276+N1276+P1276+R1276+T1276+U1276+V1276+W1276+X1276+Y1276+Z1276+AA1276+AB1276+AC1276+AD1276+AE1276</f>
        <v>7297176.4800000004</v>
      </c>
      <c r="E1276" s="31">
        <v>0</v>
      </c>
      <c r="F1276" s="31">
        <v>0</v>
      </c>
      <c r="G1276" s="31">
        <v>0</v>
      </c>
      <c r="H1276" s="31">
        <v>0</v>
      </c>
      <c r="I1276" s="31">
        <v>0</v>
      </c>
      <c r="J1276" s="31">
        <v>0</v>
      </c>
      <c r="K1276" s="67">
        <v>0</v>
      </c>
      <c r="L1276" s="31">
        <v>0</v>
      </c>
      <c r="M1276" s="31">
        <v>1501.51</v>
      </c>
      <c r="N1276" s="31">
        <f>6999804.83+12191.7</f>
        <v>7011996.5300000003</v>
      </c>
      <c r="O1276" s="31">
        <v>0</v>
      </c>
      <c r="P1276" s="31">
        <v>0</v>
      </c>
      <c r="Q1276" s="31">
        <v>0</v>
      </c>
      <c r="R1276" s="31">
        <v>0</v>
      </c>
      <c r="S1276" s="31">
        <v>0</v>
      </c>
      <c r="T1276" s="31">
        <v>0</v>
      </c>
      <c r="U1276" s="31">
        <v>0</v>
      </c>
      <c r="V1276" s="31">
        <v>0</v>
      </c>
      <c r="W1276" s="31">
        <v>0</v>
      </c>
      <c r="X1276" s="31">
        <v>0</v>
      </c>
      <c r="Y1276" s="31">
        <v>0</v>
      </c>
      <c r="Z1276" s="31">
        <v>0</v>
      </c>
      <c r="AA1276" s="31">
        <v>0</v>
      </c>
      <c r="AB1276" s="31">
        <v>0</v>
      </c>
      <c r="AC1276" s="31">
        <f>ROUND(N1276*1.5%,2)</f>
        <v>105179.95</v>
      </c>
      <c r="AD1276" s="31">
        <v>180000</v>
      </c>
      <c r="AE1276" s="31">
        <v>0</v>
      </c>
      <c r="AF1276" s="33">
        <v>2022</v>
      </c>
      <c r="AG1276" s="33">
        <v>2022</v>
      </c>
      <c r="AH1276" s="34">
        <v>2022</v>
      </c>
      <c r="AT1276" s="20" t="e">
        <f t="shared" si="316"/>
        <v>#N/A</v>
      </c>
      <c r="BZ1276" s="64"/>
    </row>
    <row r="1277" spans="1:78" ht="61.5" x14ac:dyDescent="0.85">
      <c r="B1277" s="24" t="s">
        <v>878</v>
      </c>
      <c r="C1277" s="24"/>
      <c r="D1277" s="199">
        <f>D1278+D1279</f>
        <v>4011881.02</v>
      </c>
      <c r="E1277" s="31">
        <f t="shared" ref="E1277:AE1277" si="318">E1278+E1279</f>
        <v>0</v>
      </c>
      <c r="F1277" s="31">
        <f t="shared" si="318"/>
        <v>0</v>
      </c>
      <c r="G1277" s="31">
        <f t="shared" si="318"/>
        <v>0</v>
      </c>
      <c r="H1277" s="31">
        <f t="shared" si="318"/>
        <v>0</v>
      </c>
      <c r="I1277" s="31">
        <f t="shared" si="318"/>
        <v>0</v>
      </c>
      <c r="J1277" s="31">
        <f t="shared" si="318"/>
        <v>0</v>
      </c>
      <c r="K1277" s="67">
        <f t="shared" si="318"/>
        <v>0</v>
      </c>
      <c r="L1277" s="31">
        <f t="shared" si="318"/>
        <v>0</v>
      </c>
      <c r="M1277" s="31">
        <f t="shared" si="318"/>
        <v>771.1</v>
      </c>
      <c r="N1277" s="31">
        <f t="shared" si="318"/>
        <v>3479820.61</v>
      </c>
      <c r="O1277" s="31">
        <f t="shared" si="318"/>
        <v>0</v>
      </c>
      <c r="P1277" s="31">
        <f t="shared" si="318"/>
        <v>0</v>
      </c>
      <c r="Q1277" s="31">
        <f t="shared" si="318"/>
        <v>98</v>
      </c>
      <c r="R1277" s="31">
        <f t="shared" si="318"/>
        <v>206761.67</v>
      </c>
      <c r="S1277" s="31">
        <f t="shared" si="318"/>
        <v>0</v>
      </c>
      <c r="T1277" s="31">
        <f t="shared" si="318"/>
        <v>0</v>
      </c>
      <c r="U1277" s="31">
        <f t="shared" si="318"/>
        <v>0</v>
      </c>
      <c r="V1277" s="31">
        <f t="shared" si="318"/>
        <v>0</v>
      </c>
      <c r="W1277" s="31">
        <f t="shared" si="318"/>
        <v>0</v>
      </c>
      <c r="X1277" s="31">
        <f t="shared" si="318"/>
        <v>0</v>
      </c>
      <c r="Y1277" s="31">
        <f t="shared" si="318"/>
        <v>0</v>
      </c>
      <c r="Z1277" s="31">
        <f t="shared" si="318"/>
        <v>0</v>
      </c>
      <c r="AA1277" s="31">
        <f t="shared" si="318"/>
        <v>0</v>
      </c>
      <c r="AB1277" s="31">
        <f t="shared" si="318"/>
        <v>0</v>
      </c>
      <c r="AC1277" s="31">
        <f t="shared" si="318"/>
        <v>55298.74</v>
      </c>
      <c r="AD1277" s="31">
        <f t="shared" si="318"/>
        <v>270000</v>
      </c>
      <c r="AE1277" s="31">
        <f t="shared" si="318"/>
        <v>0</v>
      </c>
      <c r="AF1277" s="205" t="s">
        <v>751</v>
      </c>
      <c r="AG1277" s="205" t="s">
        <v>751</v>
      </c>
      <c r="AH1277" s="206" t="s">
        <v>751</v>
      </c>
      <c r="AT1277" s="20" t="e">
        <f t="shared" si="316"/>
        <v>#N/A</v>
      </c>
      <c r="BZ1277" s="64">
        <v>4011881.02</v>
      </c>
    </row>
    <row r="1278" spans="1:78" ht="61.5" x14ac:dyDescent="0.85">
      <c r="A1278" s="20">
        <v>1</v>
      </c>
      <c r="B1278" s="60">
        <f>SUBTOTAL(103,$A$1036:A1278)</f>
        <v>199</v>
      </c>
      <c r="C1278" s="101" t="s">
        <v>164</v>
      </c>
      <c r="D1278" s="31">
        <f>E1278+F1278+G1278+H1278+I1278+J1278+L1278+N1278+P1278+R1278+T1278+U1278+V1278+W1278+X1278+Y1278+Z1278+AA1278+AB1278+AC1278+AD1278+AE1278</f>
        <v>329863.09999999998</v>
      </c>
      <c r="E1278" s="31">
        <v>0</v>
      </c>
      <c r="F1278" s="31">
        <v>0</v>
      </c>
      <c r="G1278" s="31">
        <v>0</v>
      </c>
      <c r="H1278" s="31">
        <v>0</v>
      </c>
      <c r="I1278" s="31">
        <v>0</v>
      </c>
      <c r="J1278" s="31">
        <v>0</v>
      </c>
      <c r="K1278" s="67">
        <v>0</v>
      </c>
      <c r="L1278" s="31">
        <v>0</v>
      </c>
      <c r="M1278" s="31">
        <v>0</v>
      </c>
      <c r="N1278" s="31">
        <v>0</v>
      </c>
      <c r="O1278" s="31">
        <v>0</v>
      </c>
      <c r="P1278" s="31">
        <v>0</v>
      </c>
      <c r="Q1278" s="31">
        <v>98</v>
      </c>
      <c r="R1278" s="31">
        <v>206761.67</v>
      </c>
      <c r="S1278" s="31">
        <v>0</v>
      </c>
      <c r="T1278" s="31">
        <v>0</v>
      </c>
      <c r="U1278" s="31">
        <v>0</v>
      </c>
      <c r="V1278" s="31">
        <v>0</v>
      </c>
      <c r="W1278" s="31">
        <v>0</v>
      </c>
      <c r="X1278" s="31">
        <v>0</v>
      </c>
      <c r="Y1278" s="31">
        <v>0</v>
      </c>
      <c r="Z1278" s="31">
        <v>0</v>
      </c>
      <c r="AA1278" s="31">
        <v>0</v>
      </c>
      <c r="AB1278" s="31">
        <v>0</v>
      </c>
      <c r="AC1278" s="31">
        <f>ROUND(R1278*1.5%,2)</f>
        <v>3101.43</v>
      </c>
      <c r="AD1278" s="31">
        <v>120000</v>
      </c>
      <c r="AE1278" s="31">
        <v>0</v>
      </c>
      <c r="AF1278" s="33">
        <v>2022</v>
      </c>
      <c r="AG1278" s="33">
        <v>2022</v>
      </c>
      <c r="AH1278" s="34">
        <v>2022</v>
      </c>
      <c r="AT1278" s="20" t="e">
        <f t="shared" si="316"/>
        <v>#N/A</v>
      </c>
      <c r="BZ1278" s="64"/>
    </row>
    <row r="1279" spans="1:78" ht="61.5" x14ac:dyDescent="0.85">
      <c r="A1279" s="20">
        <v>1</v>
      </c>
      <c r="B1279" s="60">
        <f>SUBTOTAL(103,$A$1036:A1279)</f>
        <v>200</v>
      </c>
      <c r="C1279" s="101" t="s">
        <v>165</v>
      </c>
      <c r="D1279" s="31">
        <f>E1279+F1279+G1279+H1279+I1279+J1279+L1279+N1279+P1279+R1279+T1279+U1279+V1279+W1279+X1279+Y1279+Z1279+AA1279+AB1279+AC1279+AD1279+AE1279</f>
        <v>3682017.92</v>
      </c>
      <c r="E1279" s="31">
        <v>0</v>
      </c>
      <c r="F1279" s="31">
        <v>0</v>
      </c>
      <c r="G1279" s="31">
        <v>0</v>
      </c>
      <c r="H1279" s="31">
        <v>0</v>
      </c>
      <c r="I1279" s="31">
        <v>0</v>
      </c>
      <c r="J1279" s="31">
        <v>0</v>
      </c>
      <c r="K1279" s="67">
        <v>0</v>
      </c>
      <c r="L1279" s="31">
        <v>0</v>
      </c>
      <c r="M1279" s="31">
        <v>771.1</v>
      </c>
      <c r="N1279" s="31">
        <v>3479820.61</v>
      </c>
      <c r="O1279" s="31">
        <v>0</v>
      </c>
      <c r="P1279" s="31">
        <v>0</v>
      </c>
      <c r="Q1279" s="31">
        <v>0</v>
      </c>
      <c r="R1279" s="31">
        <v>0</v>
      </c>
      <c r="S1279" s="31">
        <v>0</v>
      </c>
      <c r="T1279" s="31">
        <v>0</v>
      </c>
      <c r="U1279" s="31">
        <v>0</v>
      </c>
      <c r="V1279" s="31">
        <v>0</v>
      </c>
      <c r="W1279" s="31">
        <v>0</v>
      </c>
      <c r="X1279" s="31">
        <v>0</v>
      </c>
      <c r="Y1279" s="31">
        <v>0</v>
      </c>
      <c r="Z1279" s="31">
        <v>0</v>
      </c>
      <c r="AA1279" s="31">
        <v>0</v>
      </c>
      <c r="AB1279" s="31">
        <v>0</v>
      </c>
      <c r="AC1279" s="31">
        <f>ROUND(N1279*1.5%,2)</f>
        <v>52197.31</v>
      </c>
      <c r="AD1279" s="31">
        <v>150000</v>
      </c>
      <c r="AE1279" s="31">
        <v>0</v>
      </c>
      <c r="AF1279" s="33">
        <v>2022</v>
      </c>
      <c r="AG1279" s="33">
        <v>2022</v>
      </c>
      <c r="AH1279" s="34">
        <v>2022</v>
      </c>
      <c r="AT1279" s="20" t="e">
        <f t="shared" si="316"/>
        <v>#N/A</v>
      </c>
      <c r="BZ1279" s="64"/>
    </row>
    <row r="1280" spans="1:78" ht="61.5" x14ac:dyDescent="0.85">
      <c r="B1280" s="24" t="s">
        <v>851</v>
      </c>
      <c r="C1280" s="24"/>
      <c r="D1280" s="199">
        <f>SUM(D1281:D1283)</f>
        <v>6079528.0199999996</v>
      </c>
      <c r="E1280" s="31">
        <f t="shared" ref="E1280:AE1280" si="319">SUM(E1281:E1283)</f>
        <v>0</v>
      </c>
      <c r="F1280" s="31">
        <f t="shared" si="319"/>
        <v>0</v>
      </c>
      <c r="G1280" s="31">
        <f t="shared" si="319"/>
        <v>0</v>
      </c>
      <c r="H1280" s="31">
        <f t="shared" si="319"/>
        <v>0</v>
      </c>
      <c r="I1280" s="31">
        <f t="shared" si="319"/>
        <v>0</v>
      </c>
      <c r="J1280" s="31">
        <f t="shared" si="319"/>
        <v>0</v>
      </c>
      <c r="K1280" s="67">
        <f t="shared" si="319"/>
        <v>0</v>
      </c>
      <c r="L1280" s="31">
        <f t="shared" si="319"/>
        <v>0</v>
      </c>
      <c r="M1280" s="31">
        <f t="shared" si="319"/>
        <v>1274.46</v>
      </c>
      <c r="N1280" s="31">
        <f t="shared" si="319"/>
        <v>5605446.3300000001</v>
      </c>
      <c r="O1280" s="31">
        <f t="shared" si="319"/>
        <v>0</v>
      </c>
      <c r="P1280" s="31">
        <f t="shared" si="319"/>
        <v>0</v>
      </c>
      <c r="Q1280" s="31">
        <f t="shared" si="319"/>
        <v>0</v>
      </c>
      <c r="R1280" s="31">
        <f t="shared" si="319"/>
        <v>0</v>
      </c>
      <c r="S1280" s="31">
        <f t="shared" si="319"/>
        <v>0</v>
      </c>
      <c r="T1280" s="31">
        <f t="shared" si="319"/>
        <v>0</v>
      </c>
      <c r="U1280" s="31">
        <f t="shared" si="319"/>
        <v>0</v>
      </c>
      <c r="V1280" s="31">
        <f t="shared" si="319"/>
        <v>0</v>
      </c>
      <c r="W1280" s="31">
        <f t="shared" si="319"/>
        <v>0</v>
      </c>
      <c r="X1280" s="31">
        <f t="shared" si="319"/>
        <v>0</v>
      </c>
      <c r="Y1280" s="31">
        <f t="shared" si="319"/>
        <v>0</v>
      </c>
      <c r="Z1280" s="31">
        <f t="shared" si="319"/>
        <v>0</v>
      </c>
      <c r="AA1280" s="31">
        <f t="shared" si="319"/>
        <v>0</v>
      </c>
      <c r="AB1280" s="31">
        <f t="shared" si="319"/>
        <v>0</v>
      </c>
      <c r="AC1280" s="31">
        <f t="shared" si="319"/>
        <v>84081.69</v>
      </c>
      <c r="AD1280" s="31">
        <f t="shared" si="319"/>
        <v>390000</v>
      </c>
      <c r="AE1280" s="31">
        <f t="shared" si="319"/>
        <v>0</v>
      </c>
      <c r="AF1280" s="205" t="s">
        <v>751</v>
      </c>
      <c r="AG1280" s="205" t="s">
        <v>751</v>
      </c>
      <c r="AH1280" s="206" t="s">
        <v>751</v>
      </c>
      <c r="AT1280" s="20" t="e">
        <f t="shared" si="316"/>
        <v>#N/A</v>
      </c>
      <c r="BZ1280" s="64">
        <v>6026117.5699999994</v>
      </c>
    </row>
    <row r="1281" spans="1:82" ht="61.5" x14ac:dyDescent="0.85">
      <c r="A1281" s="20">
        <v>1</v>
      </c>
      <c r="B1281" s="60">
        <f>SUBTOTAL(103,$A$1036:A1281)</f>
        <v>201</v>
      </c>
      <c r="C1281" s="101" t="s">
        <v>1950</v>
      </c>
      <c r="D1281" s="31">
        <f>E1281+F1281+G1281+H1281+I1281+J1281+L1281+N1281+P1281+R1281+T1281+U1281+V1281+W1281+X1281+Y1281+Z1281+AA1281+AB1281+AC1281+AD1281+AE1281</f>
        <v>3274967.59</v>
      </c>
      <c r="E1281" s="31">
        <v>0</v>
      </c>
      <c r="F1281" s="31">
        <v>0</v>
      </c>
      <c r="G1281" s="31">
        <v>0</v>
      </c>
      <c r="H1281" s="31">
        <v>0</v>
      </c>
      <c r="I1281" s="31">
        <v>0</v>
      </c>
      <c r="J1281" s="31">
        <v>0</v>
      </c>
      <c r="K1281" s="67">
        <v>0</v>
      </c>
      <c r="L1281" s="31">
        <v>0</v>
      </c>
      <c r="M1281" s="31">
        <v>767.4</v>
      </c>
      <c r="N1281" s="31">
        <v>3078785.8</v>
      </c>
      <c r="O1281" s="31">
        <v>0</v>
      </c>
      <c r="P1281" s="31">
        <v>0</v>
      </c>
      <c r="Q1281" s="31">
        <v>0</v>
      </c>
      <c r="R1281" s="31">
        <v>0</v>
      </c>
      <c r="S1281" s="31">
        <v>0</v>
      </c>
      <c r="T1281" s="31">
        <v>0</v>
      </c>
      <c r="U1281" s="31">
        <v>0</v>
      </c>
      <c r="V1281" s="31">
        <v>0</v>
      </c>
      <c r="W1281" s="31">
        <v>0</v>
      </c>
      <c r="X1281" s="31">
        <v>0</v>
      </c>
      <c r="Y1281" s="31">
        <v>0</v>
      </c>
      <c r="Z1281" s="31">
        <v>0</v>
      </c>
      <c r="AA1281" s="31">
        <v>0</v>
      </c>
      <c r="AB1281" s="31">
        <v>0</v>
      </c>
      <c r="AC1281" s="31">
        <f>ROUND(N1281*1.5%,2)</f>
        <v>46181.79</v>
      </c>
      <c r="AD1281" s="31">
        <v>150000</v>
      </c>
      <c r="AE1281" s="31">
        <v>0</v>
      </c>
      <c r="AF1281" s="33">
        <v>2022</v>
      </c>
      <c r="AG1281" s="33">
        <v>2022</v>
      </c>
      <c r="AH1281" s="34">
        <v>2022</v>
      </c>
      <c r="AT1281" s="20" t="e">
        <f t="shared" si="316"/>
        <v>#N/A</v>
      </c>
      <c r="BZ1281" s="64"/>
    </row>
    <row r="1282" spans="1:82" ht="61.5" x14ac:dyDescent="0.85">
      <c r="A1282" s="20">
        <v>1</v>
      </c>
      <c r="B1282" s="60">
        <f>SUBTOTAL(103,$A$1036:A1282)</f>
        <v>202</v>
      </c>
      <c r="C1282" s="101" t="s">
        <v>1958</v>
      </c>
      <c r="D1282" s="31">
        <f>E1282+F1282+G1282+H1282+I1282+J1282+L1282+N1282+P1282+R1282+T1282+U1282+V1282+W1282+X1282+Y1282+Z1282+AA1282+AB1282+AC1282+AD1282+AE1282</f>
        <v>1167219.1299999999</v>
      </c>
      <c r="E1282" s="31">
        <v>0</v>
      </c>
      <c r="F1282" s="31">
        <v>0</v>
      </c>
      <c r="G1282" s="31">
        <v>0</v>
      </c>
      <c r="H1282" s="31">
        <v>0</v>
      </c>
      <c r="I1282" s="31">
        <v>0</v>
      </c>
      <c r="J1282" s="31">
        <v>0</v>
      </c>
      <c r="K1282" s="67">
        <v>0</v>
      </c>
      <c r="L1282" s="31">
        <v>0</v>
      </c>
      <c r="M1282" s="31">
        <v>193.5</v>
      </c>
      <c r="N1282" s="31">
        <v>1031742.99</v>
      </c>
      <c r="O1282" s="31">
        <v>0</v>
      </c>
      <c r="P1282" s="31">
        <v>0</v>
      </c>
      <c r="Q1282" s="31">
        <v>0</v>
      </c>
      <c r="R1282" s="31">
        <v>0</v>
      </c>
      <c r="S1282" s="31">
        <v>0</v>
      </c>
      <c r="T1282" s="31">
        <v>0</v>
      </c>
      <c r="U1282" s="31">
        <v>0</v>
      </c>
      <c r="V1282" s="31">
        <v>0</v>
      </c>
      <c r="W1282" s="31">
        <v>0</v>
      </c>
      <c r="X1282" s="31">
        <v>0</v>
      </c>
      <c r="Y1282" s="31">
        <v>0</v>
      </c>
      <c r="Z1282" s="31">
        <v>0</v>
      </c>
      <c r="AA1282" s="31">
        <v>0</v>
      </c>
      <c r="AB1282" s="31">
        <v>0</v>
      </c>
      <c r="AC1282" s="31">
        <f>ROUND(N1282*1.5%,2)</f>
        <v>15476.14</v>
      </c>
      <c r="AD1282" s="31">
        <v>120000</v>
      </c>
      <c r="AE1282" s="31">
        <v>0</v>
      </c>
      <c r="AF1282" s="33">
        <v>2022</v>
      </c>
      <c r="AG1282" s="33">
        <v>2022</v>
      </c>
      <c r="AH1282" s="34">
        <v>2022</v>
      </c>
      <c r="AT1282" s="20" t="e">
        <f t="shared" si="316"/>
        <v>#N/A</v>
      </c>
      <c r="BZ1282" s="64"/>
    </row>
    <row r="1283" spans="1:82" ht="61.5" x14ac:dyDescent="0.85">
      <c r="A1283" s="20">
        <v>1</v>
      </c>
      <c r="B1283" s="60">
        <f>SUBTOTAL(103,$A$1036:A1283)</f>
        <v>203</v>
      </c>
      <c r="C1283" s="101" t="s">
        <v>163</v>
      </c>
      <c r="D1283" s="31">
        <f>E1283+F1283+G1283+H1283+I1283+J1283+L1283+N1283+P1283+R1283+T1283+U1283+V1283+W1283+X1283+Y1283+Z1283+AA1283+AB1283+AC1283+AD1283+AE1283</f>
        <v>1637341.3</v>
      </c>
      <c r="E1283" s="31">
        <v>0</v>
      </c>
      <c r="F1283" s="31">
        <v>0</v>
      </c>
      <c r="G1283" s="31">
        <v>0</v>
      </c>
      <c r="H1283" s="31">
        <v>0</v>
      </c>
      <c r="I1283" s="31">
        <v>0</v>
      </c>
      <c r="J1283" s="31">
        <v>0</v>
      </c>
      <c r="K1283" s="67">
        <v>0</v>
      </c>
      <c r="L1283" s="31">
        <v>0</v>
      </c>
      <c r="M1283" s="31">
        <v>313.56</v>
      </c>
      <c r="N1283" s="31">
        <v>1494917.54</v>
      </c>
      <c r="O1283" s="31">
        <v>0</v>
      </c>
      <c r="P1283" s="31">
        <v>0</v>
      </c>
      <c r="Q1283" s="31">
        <v>0</v>
      </c>
      <c r="R1283" s="31">
        <v>0</v>
      </c>
      <c r="S1283" s="31">
        <v>0</v>
      </c>
      <c r="T1283" s="31">
        <v>0</v>
      </c>
      <c r="U1283" s="31">
        <v>0</v>
      </c>
      <c r="V1283" s="31">
        <v>0</v>
      </c>
      <c r="W1283" s="31">
        <v>0</v>
      </c>
      <c r="X1283" s="31">
        <v>0</v>
      </c>
      <c r="Y1283" s="31">
        <v>0</v>
      </c>
      <c r="Z1283" s="31">
        <v>0</v>
      </c>
      <c r="AA1283" s="31">
        <v>0</v>
      </c>
      <c r="AB1283" s="31">
        <v>0</v>
      </c>
      <c r="AC1283" s="31">
        <f>ROUND(N1283*1.5%,2)</f>
        <v>22423.759999999998</v>
      </c>
      <c r="AD1283" s="31">
        <v>120000</v>
      </c>
      <c r="AE1283" s="31">
        <v>0</v>
      </c>
      <c r="AF1283" s="33">
        <v>2022</v>
      </c>
      <c r="AG1283" s="33">
        <v>2022</v>
      </c>
      <c r="AH1283" s="34">
        <v>2022</v>
      </c>
      <c r="AT1283" s="20" t="e">
        <f t="shared" si="316"/>
        <v>#N/A</v>
      </c>
      <c r="BZ1283" s="64"/>
    </row>
    <row r="1284" spans="1:82" ht="61.5" x14ac:dyDescent="0.85">
      <c r="B1284" s="24" t="s">
        <v>852</v>
      </c>
      <c r="C1284" s="24"/>
      <c r="D1284" s="199">
        <f>SUM(D1285:D1287)</f>
        <v>12459674.15</v>
      </c>
      <c r="E1284" s="31">
        <f t="shared" ref="E1284:AE1284" si="320">SUM(E1285:E1287)</f>
        <v>0</v>
      </c>
      <c r="F1284" s="31">
        <f t="shared" si="320"/>
        <v>0</v>
      </c>
      <c r="G1284" s="31">
        <f t="shared" si="320"/>
        <v>0</v>
      </c>
      <c r="H1284" s="31">
        <f t="shared" si="320"/>
        <v>0</v>
      </c>
      <c r="I1284" s="31">
        <f t="shared" si="320"/>
        <v>0</v>
      </c>
      <c r="J1284" s="31">
        <f t="shared" si="320"/>
        <v>0</v>
      </c>
      <c r="K1284" s="67">
        <f t="shared" si="320"/>
        <v>0</v>
      </c>
      <c r="L1284" s="31">
        <f t="shared" si="320"/>
        <v>0</v>
      </c>
      <c r="M1284" s="31">
        <f t="shared" si="320"/>
        <v>2891.3100000000004</v>
      </c>
      <c r="N1284" s="31">
        <f t="shared" si="320"/>
        <v>11802634.630000001</v>
      </c>
      <c r="O1284" s="31">
        <f t="shared" si="320"/>
        <v>0</v>
      </c>
      <c r="P1284" s="31">
        <f t="shared" si="320"/>
        <v>0</v>
      </c>
      <c r="Q1284" s="31">
        <f t="shared" si="320"/>
        <v>0</v>
      </c>
      <c r="R1284" s="31">
        <f t="shared" si="320"/>
        <v>0</v>
      </c>
      <c r="S1284" s="31">
        <f t="shared" si="320"/>
        <v>0</v>
      </c>
      <c r="T1284" s="31">
        <f t="shared" si="320"/>
        <v>0</v>
      </c>
      <c r="U1284" s="31">
        <f t="shared" si="320"/>
        <v>0</v>
      </c>
      <c r="V1284" s="31">
        <f t="shared" si="320"/>
        <v>0</v>
      </c>
      <c r="W1284" s="31">
        <f t="shared" si="320"/>
        <v>0</v>
      </c>
      <c r="X1284" s="31">
        <f t="shared" si="320"/>
        <v>0</v>
      </c>
      <c r="Y1284" s="31">
        <f t="shared" si="320"/>
        <v>0</v>
      </c>
      <c r="Z1284" s="31">
        <f t="shared" si="320"/>
        <v>0</v>
      </c>
      <c r="AA1284" s="31">
        <f t="shared" si="320"/>
        <v>0</v>
      </c>
      <c r="AB1284" s="31">
        <f t="shared" si="320"/>
        <v>0</v>
      </c>
      <c r="AC1284" s="31">
        <f t="shared" si="320"/>
        <v>177039.52000000002</v>
      </c>
      <c r="AD1284" s="31">
        <f t="shared" si="320"/>
        <v>480000</v>
      </c>
      <c r="AE1284" s="31">
        <f t="shared" si="320"/>
        <v>0</v>
      </c>
      <c r="AF1284" s="205" t="s">
        <v>751</v>
      </c>
      <c r="AG1284" s="205" t="s">
        <v>751</v>
      </c>
      <c r="AH1284" s="206" t="s">
        <v>751</v>
      </c>
      <c r="AT1284" s="20" t="e">
        <f t="shared" si="316"/>
        <v>#N/A</v>
      </c>
      <c r="BZ1284" s="64">
        <v>12459674.15</v>
      </c>
    </row>
    <row r="1285" spans="1:82" ht="61.5" x14ac:dyDescent="0.85">
      <c r="A1285" s="20">
        <v>1</v>
      </c>
      <c r="B1285" s="60">
        <f>SUBTOTAL(103,$A$1036:A1285)</f>
        <v>204</v>
      </c>
      <c r="C1285" s="101" t="s">
        <v>160</v>
      </c>
      <c r="D1285" s="31">
        <f>E1285+F1285+G1285+H1285+I1285+J1285+L1285+N1285+P1285+R1285+T1285+U1285+V1285+W1285+X1285+Y1285+Z1285+AA1285+AB1285+AC1285+AD1285+AE1285</f>
        <v>5095413.53</v>
      </c>
      <c r="E1285" s="31">
        <v>0</v>
      </c>
      <c r="F1285" s="31">
        <v>0</v>
      </c>
      <c r="G1285" s="31">
        <v>0</v>
      </c>
      <c r="H1285" s="31">
        <v>0</v>
      </c>
      <c r="I1285" s="31">
        <v>0</v>
      </c>
      <c r="J1285" s="31">
        <v>0</v>
      </c>
      <c r="K1285" s="67">
        <v>0</v>
      </c>
      <c r="L1285" s="31">
        <v>0</v>
      </c>
      <c r="M1285" s="31">
        <v>1276.79</v>
      </c>
      <c r="N1285" s="31">
        <v>4842771.95</v>
      </c>
      <c r="O1285" s="31">
        <v>0</v>
      </c>
      <c r="P1285" s="31">
        <v>0</v>
      </c>
      <c r="Q1285" s="31">
        <v>0</v>
      </c>
      <c r="R1285" s="31">
        <v>0</v>
      </c>
      <c r="S1285" s="31">
        <v>0</v>
      </c>
      <c r="T1285" s="31">
        <v>0</v>
      </c>
      <c r="U1285" s="31">
        <v>0</v>
      </c>
      <c r="V1285" s="31">
        <v>0</v>
      </c>
      <c r="W1285" s="31">
        <v>0</v>
      </c>
      <c r="X1285" s="31">
        <v>0</v>
      </c>
      <c r="Y1285" s="31">
        <v>0</v>
      </c>
      <c r="Z1285" s="31">
        <v>0</v>
      </c>
      <c r="AA1285" s="31">
        <v>0</v>
      </c>
      <c r="AB1285" s="31">
        <v>0</v>
      </c>
      <c r="AC1285" s="31">
        <f>ROUND(N1285*1.5%,2)</f>
        <v>72641.58</v>
      </c>
      <c r="AD1285" s="31">
        <v>180000</v>
      </c>
      <c r="AE1285" s="31">
        <v>0</v>
      </c>
      <c r="AF1285" s="33">
        <v>2022</v>
      </c>
      <c r="AG1285" s="33">
        <v>2022</v>
      </c>
      <c r="AH1285" s="34">
        <v>2022</v>
      </c>
      <c r="AT1285" s="20" t="e">
        <f t="shared" si="316"/>
        <v>#N/A</v>
      </c>
      <c r="BZ1285" s="64"/>
    </row>
    <row r="1286" spans="1:82" ht="61.5" x14ac:dyDescent="0.85">
      <c r="A1286" s="20">
        <v>1</v>
      </c>
      <c r="B1286" s="60">
        <f>SUBTOTAL(103,$A$1036:A1286)</f>
        <v>205</v>
      </c>
      <c r="C1286" s="101" t="s">
        <v>161</v>
      </c>
      <c r="D1286" s="31">
        <f>E1286+F1286+G1286+H1286+I1286+J1286+L1286+N1286+P1286+R1286+T1286+U1286+V1286+W1286+X1286+Y1286+Z1286+AA1286+AB1286+AC1286+AD1286+AE1286</f>
        <v>3457309.86</v>
      </c>
      <c r="E1286" s="31">
        <v>0</v>
      </c>
      <c r="F1286" s="31">
        <v>0</v>
      </c>
      <c r="G1286" s="31">
        <v>0</v>
      </c>
      <c r="H1286" s="31">
        <v>0</v>
      </c>
      <c r="I1286" s="31">
        <v>0</v>
      </c>
      <c r="J1286" s="31">
        <v>0</v>
      </c>
      <c r="K1286" s="67">
        <v>0</v>
      </c>
      <c r="L1286" s="31">
        <v>0</v>
      </c>
      <c r="M1286" s="31">
        <v>866.32</v>
      </c>
      <c r="N1286" s="31">
        <v>3258433.36</v>
      </c>
      <c r="O1286" s="31">
        <v>0</v>
      </c>
      <c r="P1286" s="31">
        <v>0</v>
      </c>
      <c r="Q1286" s="31">
        <v>0</v>
      </c>
      <c r="R1286" s="31">
        <v>0</v>
      </c>
      <c r="S1286" s="31">
        <v>0</v>
      </c>
      <c r="T1286" s="31">
        <v>0</v>
      </c>
      <c r="U1286" s="31">
        <v>0</v>
      </c>
      <c r="V1286" s="31">
        <v>0</v>
      </c>
      <c r="W1286" s="31">
        <v>0</v>
      </c>
      <c r="X1286" s="31">
        <v>0</v>
      </c>
      <c r="Y1286" s="31">
        <v>0</v>
      </c>
      <c r="Z1286" s="31">
        <v>0</v>
      </c>
      <c r="AA1286" s="31">
        <v>0</v>
      </c>
      <c r="AB1286" s="31">
        <v>0</v>
      </c>
      <c r="AC1286" s="31">
        <f>ROUND(N1286*1.5%,2)</f>
        <v>48876.5</v>
      </c>
      <c r="AD1286" s="31">
        <v>150000</v>
      </c>
      <c r="AE1286" s="31">
        <v>0</v>
      </c>
      <c r="AF1286" s="33">
        <v>2022</v>
      </c>
      <c r="AG1286" s="33">
        <v>2022</v>
      </c>
      <c r="AH1286" s="34">
        <v>2022</v>
      </c>
      <c r="AT1286" s="20" t="e">
        <f t="shared" si="316"/>
        <v>#N/A</v>
      </c>
      <c r="BZ1286" s="64"/>
    </row>
    <row r="1287" spans="1:82" ht="61.5" x14ac:dyDescent="0.85">
      <c r="A1287" s="20">
        <v>1</v>
      </c>
      <c r="B1287" s="60">
        <f>SUBTOTAL(103,$A$1036:A1287)</f>
        <v>206</v>
      </c>
      <c r="C1287" s="101" t="s">
        <v>162</v>
      </c>
      <c r="D1287" s="31">
        <f>E1287+F1287+G1287+H1287+I1287+J1287+L1287+N1287+P1287+R1287+T1287+U1287+V1287+W1287+X1287+Y1287+Z1287+AA1287+AB1287+AC1287+AD1287+AE1287</f>
        <v>3906950.76</v>
      </c>
      <c r="E1287" s="31">
        <v>0</v>
      </c>
      <c r="F1287" s="31">
        <v>0</v>
      </c>
      <c r="G1287" s="31">
        <v>0</v>
      </c>
      <c r="H1287" s="31">
        <v>0</v>
      </c>
      <c r="I1287" s="31">
        <v>0</v>
      </c>
      <c r="J1287" s="31">
        <v>0</v>
      </c>
      <c r="K1287" s="67">
        <v>0</v>
      </c>
      <c r="L1287" s="31">
        <v>0</v>
      </c>
      <c r="M1287" s="31">
        <v>748.2</v>
      </c>
      <c r="N1287" s="31">
        <v>3701429.32</v>
      </c>
      <c r="O1287" s="31">
        <v>0</v>
      </c>
      <c r="P1287" s="31">
        <v>0</v>
      </c>
      <c r="Q1287" s="31">
        <v>0</v>
      </c>
      <c r="R1287" s="31">
        <v>0</v>
      </c>
      <c r="S1287" s="31">
        <v>0</v>
      </c>
      <c r="T1287" s="31">
        <v>0</v>
      </c>
      <c r="U1287" s="31">
        <v>0</v>
      </c>
      <c r="V1287" s="31">
        <v>0</v>
      </c>
      <c r="W1287" s="31">
        <v>0</v>
      </c>
      <c r="X1287" s="31">
        <v>0</v>
      </c>
      <c r="Y1287" s="31">
        <v>0</v>
      </c>
      <c r="Z1287" s="31">
        <v>0</v>
      </c>
      <c r="AA1287" s="31">
        <v>0</v>
      </c>
      <c r="AB1287" s="31">
        <v>0</v>
      </c>
      <c r="AC1287" s="31">
        <f>ROUND(N1287*1.5%,2)</f>
        <v>55521.440000000002</v>
      </c>
      <c r="AD1287" s="31">
        <v>150000</v>
      </c>
      <c r="AE1287" s="31">
        <v>0</v>
      </c>
      <c r="AF1287" s="33">
        <v>2022</v>
      </c>
      <c r="AG1287" s="33">
        <v>2022</v>
      </c>
      <c r="AH1287" s="34">
        <v>2022</v>
      </c>
      <c r="AT1287" s="20" t="e">
        <f t="shared" si="316"/>
        <v>#N/A</v>
      </c>
      <c r="BZ1287" s="64"/>
    </row>
    <row r="1288" spans="1:82" ht="61.5" x14ac:dyDescent="0.85">
      <c r="B1288" s="24" t="s">
        <v>853</v>
      </c>
      <c r="C1288" s="24"/>
      <c r="D1288" s="199">
        <f t="shared" ref="D1288:AE1288" si="321">SUM(D1289:D1291)</f>
        <v>8976986.379999999</v>
      </c>
      <c r="E1288" s="31">
        <f t="shared" si="321"/>
        <v>0</v>
      </c>
      <c r="F1288" s="31">
        <f t="shared" si="321"/>
        <v>0</v>
      </c>
      <c r="G1288" s="31">
        <f t="shared" si="321"/>
        <v>0</v>
      </c>
      <c r="H1288" s="31">
        <f t="shared" si="321"/>
        <v>0</v>
      </c>
      <c r="I1288" s="31">
        <f t="shared" si="321"/>
        <v>2399014.7799999998</v>
      </c>
      <c r="J1288" s="31">
        <f t="shared" si="321"/>
        <v>0</v>
      </c>
      <c r="K1288" s="67">
        <f t="shared" si="321"/>
        <v>0</v>
      </c>
      <c r="L1288" s="31">
        <f t="shared" si="321"/>
        <v>0</v>
      </c>
      <c r="M1288" s="31">
        <f t="shared" si="321"/>
        <v>274.83999999999997</v>
      </c>
      <c r="N1288" s="31">
        <f t="shared" si="321"/>
        <v>1375297.54</v>
      </c>
      <c r="O1288" s="31">
        <f t="shared" si="321"/>
        <v>146</v>
      </c>
      <c r="P1288" s="31">
        <f t="shared" si="321"/>
        <v>365939.61</v>
      </c>
      <c r="Q1288" s="31">
        <f t="shared" si="321"/>
        <v>1414.36</v>
      </c>
      <c r="R1288" s="31">
        <f t="shared" si="321"/>
        <v>4221311</v>
      </c>
      <c r="S1288" s="31">
        <f t="shared" si="321"/>
        <v>0</v>
      </c>
      <c r="T1288" s="31">
        <f t="shared" si="321"/>
        <v>0</v>
      </c>
      <c r="U1288" s="31">
        <f t="shared" si="321"/>
        <v>0</v>
      </c>
      <c r="V1288" s="31">
        <f t="shared" si="321"/>
        <v>0</v>
      </c>
      <c r="W1288" s="31">
        <f t="shared" si="321"/>
        <v>0</v>
      </c>
      <c r="X1288" s="31">
        <f t="shared" si="321"/>
        <v>0</v>
      </c>
      <c r="Y1288" s="31">
        <f t="shared" si="321"/>
        <v>0</v>
      </c>
      <c r="Z1288" s="31">
        <f t="shared" si="321"/>
        <v>0</v>
      </c>
      <c r="AA1288" s="31">
        <f t="shared" si="321"/>
        <v>0</v>
      </c>
      <c r="AB1288" s="31">
        <f t="shared" si="321"/>
        <v>0</v>
      </c>
      <c r="AC1288" s="31">
        <f t="shared" si="321"/>
        <v>125423.44999999998</v>
      </c>
      <c r="AD1288" s="31">
        <f t="shared" si="321"/>
        <v>490000</v>
      </c>
      <c r="AE1288" s="31">
        <f t="shared" si="321"/>
        <v>0</v>
      </c>
      <c r="AF1288" s="205" t="s">
        <v>751</v>
      </c>
      <c r="AG1288" s="205" t="s">
        <v>751</v>
      </c>
      <c r="AH1288" s="206" t="s">
        <v>751</v>
      </c>
      <c r="AT1288" s="20" t="e">
        <f t="shared" si="316"/>
        <v>#N/A</v>
      </c>
      <c r="BZ1288" s="64">
        <v>11707868.220000001</v>
      </c>
    </row>
    <row r="1289" spans="1:82" ht="61.5" x14ac:dyDescent="0.85">
      <c r="A1289" s="20">
        <v>1</v>
      </c>
      <c r="B1289" s="60">
        <f>SUBTOTAL(103,$A$1036:A1289)</f>
        <v>207</v>
      </c>
      <c r="C1289" s="101" t="s">
        <v>156</v>
      </c>
      <c r="D1289" s="31">
        <f>E1289+F1289+G1289+H1289+I1289+J1289+L1289+N1289+P1289+R1289+T1289+U1289+V1289+W1289+X1289+Y1289+Z1289+AA1289+AB1289+AC1289+AD1289+AE1289</f>
        <v>3026428.7099999995</v>
      </c>
      <c r="E1289" s="31">
        <v>0</v>
      </c>
      <c r="F1289" s="31">
        <v>0</v>
      </c>
      <c r="G1289" s="31">
        <v>0</v>
      </c>
      <c r="H1289" s="31">
        <v>0</v>
      </c>
      <c r="I1289" s="31">
        <v>2399014.7799999998</v>
      </c>
      <c r="J1289" s="31">
        <v>0</v>
      </c>
      <c r="K1289" s="67">
        <v>0</v>
      </c>
      <c r="L1289" s="31">
        <v>0</v>
      </c>
      <c r="M1289" s="31">
        <v>0</v>
      </c>
      <c r="N1289" s="31">
        <v>0</v>
      </c>
      <c r="O1289" s="31">
        <v>146</v>
      </c>
      <c r="P1289" s="31">
        <f>365939.61</f>
        <v>365939.61</v>
      </c>
      <c r="Q1289" s="31">
        <v>0</v>
      </c>
      <c r="R1289" s="31">
        <v>0</v>
      </c>
      <c r="S1289" s="31">
        <v>0</v>
      </c>
      <c r="T1289" s="31">
        <v>0</v>
      </c>
      <c r="U1289" s="31">
        <v>0</v>
      </c>
      <c r="V1289" s="31">
        <v>0</v>
      </c>
      <c r="W1289" s="31">
        <v>0</v>
      </c>
      <c r="X1289" s="31">
        <v>0</v>
      </c>
      <c r="Y1289" s="31">
        <v>0</v>
      </c>
      <c r="Z1289" s="31">
        <v>0</v>
      </c>
      <c r="AA1289" s="31">
        <v>0</v>
      </c>
      <c r="AB1289" s="31">
        <v>0</v>
      </c>
      <c r="AC1289" s="31">
        <f>ROUND((P1289+I1289)*1.5%,2)</f>
        <v>41474.32</v>
      </c>
      <c r="AD1289" s="31">
        <v>220000</v>
      </c>
      <c r="AE1289" s="31">
        <v>0</v>
      </c>
      <c r="AF1289" s="33">
        <v>2022</v>
      </c>
      <c r="AG1289" s="33">
        <v>2022</v>
      </c>
      <c r="AH1289" s="34">
        <v>2022</v>
      </c>
      <c r="AT1289" s="20" t="e">
        <f t="shared" si="316"/>
        <v>#N/A</v>
      </c>
      <c r="BZ1289" s="64"/>
    </row>
    <row r="1290" spans="1:82" ht="61.5" x14ac:dyDescent="0.85">
      <c r="A1290" s="20">
        <v>1</v>
      </c>
      <c r="B1290" s="60">
        <f>SUBTOTAL(103,$A$1036:A1290)</f>
        <v>208</v>
      </c>
      <c r="C1290" s="24" t="s">
        <v>148</v>
      </c>
      <c r="D1290" s="31">
        <f>E1290+F1290+G1290+H1290+I1290+J1290+L1290+N1290+P1290+R1290+T1290+U1290+V1290+W1290+X1290+Y1290+Z1290+AA1290+AB1290+AC1290+AD1290+AE1290</f>
        <v>4434630.67</v>
      </c>
      <c r="E1290" s="31">
        <v>0</v>
      </c>
      <c r="F1290" s="31">
        <v>0</v>
      </c>
      <c r="G1290" s="31">
        <v>0</v>
      </c>
      <c r="H1290" s="31">
        <v>0</v>
      </c>
      <c r="I1290" s="31">
        <v>0</v>
      </c>
      <c r="J1290" s="31">
        <v>0</v>
      </c>
      <c r="K1290" s="67">
        <v>0</v>
      </c>
      <c r="L1290" s="31">
        <v>0</v>
      </c>
      <c r="M1290" s="31">
        <v>0</v>
      </c>
      <c r="N1290" s="31">
        <v>0</v>
      </c>
      <c r="O1290" s="31">
        <v>0</v>
      </c>
      <c r="P1290" s="31">
        <v>0</v>
      </c>
      <c r="Q1290" s="31">
        <v>1414.36</v>
      </c>
      <c r="R1290" s="31">
        <f>4221311</f>
        <v>4221311</v>
      </c>
      <c r="S1290" s="31">
        <v>0</v>
      </c>
      <c r="T1290" s="31">
        <v>0</v>
      </c>
      <c r="U1290" s="31">
        <v>0</v>
      </c>
      <c r="V1290" s="31">
        <v>0</v>
      </c>
      <c r="W1290" s="31">
        <v>0</v>
      </c>
      <c r="X1290" s="31">
        <v>0</v>
      </c>
      <c r="Y1290" s="31">
        <v>0</v>
      </c>
      <c r="Z1290" s="31">
        <v>0</v>
      </c>
      <c r="AA1290" s="31">
        <v>0</v>
      </c>
      <c r="AB1290" s="31">
        <v>0</v>
      </c>
      <c r="AC1290" s="31">
        <f>ROUND(R1290*1.5%,2)</f>
        <v>63319.67</v>
      </c>
      <c r="AD1290" s="31">
        <v>150000</v>
      </c>
      <c r="AE1290" s="31">
        <v>0</v>
      </c>
      <c r="AF1290" s="33">
        <v>2022</v>
      </c>
      <c r="AG1290" s="33">
        <v>2022</v>
      </c>
      <c r="AH1290" s="34">
        <v>2022</v>
      </c>
      <c r="AT1290" s="20" t="e">
        <f t="shared" si="316"/>
        <v>#N/A</v>
      </c>
      <c r="BZ1290" s="64"/>
      <c r="CD1290" s="20" t="e">
        <f>VLOOKUP(C1290,CE:CF,2,FALSE)</f>
        <v>#N/A</v>
      </c>
    </row>
    <row r="1291" spans="1:82" ht="61.5" x14ac:dyDescent="0.85">
      <c r="A1291" s="20">
        <v>1</v>
      </c>
      <c r="B1291" s="60">
        <f>SUBTOTAL(103,$A$1036:A1291)</f>
        <v>209</v>
      </c>
      <c r="C1291" s="101" t="s">
        <v>2299</v>
      </c>
      <c r="D1291" s="31">
        <f>E1291+F1291+G1291+H1291+I1291+J1291+L1291+N1291+P1291+R1291+T1291+U1291+V1291+W1291+X1291+Y1291+Z1291+AA1291+AB1291+AC1291+AD1291+AE1291</f>
        <v>1515927</v>
      </c>
      <c r="E1291" s="31">
        <v>0</v>
      </c>
      <c r="F1291" s="31">
        <v>0</v>
      </c>
      <c r="G1291" s="31">
        <v>0</v>
      </c>
      <c r="H1291" s="31">
        <v>0</v>
      </c>
      <c r="I1291" s="31">
        <v>0</v>
      </c>
      <c r="J1291" s="31">
        <v>0</v>
      </c>
      <c r="K1291" s="67">
        <v>0</v>
      </c>
      <c r="L1291" s="31">
        <v>0</v>
      </c>
      <c r="M1291" s="31">
        <v>274.83999999999997</v>
      </c>
      <c r="N1291" s="31">
        <v>1375297.54</v>
      </c>
      <c r="O1291" s="31">
        <v>0</v>
      </c>
      <c r="P1291" s="31">
        <v>0</v>
      </c>
      <c r="Q1291" s="31">
        <v>0</v>
      </c>
      <c r="R1291" s="31">
        <v>0</v>
      </c>
      <c r="S1291" s="31">
        <v>0</v>
      </c>
      <c r="T1291" s="31">
        <v>0</v>
      </c>
      <c r="U1291" s="31">
        <v>0</v>
      </c>
      <c r="V1291" s="31">
        <v>0</v>
      </c>
      <c r="W1291" s="31">
        <v>0</v>
      </c>
      <c r="X1291" s="31">
        <v>0</v>
      </c>
      <c r="Y1291" s="31">
        <v>0</v>
      </c>
      <c r="Z1291" s="31">
        <v>0</v>
      </c>
      <c r="AA1291" s="31">
        <v>0</v>
      </c>
      <c r="AB1291" s="31">
        <v>0</v>
      </c>
      <c r="AC1291" s="31">
        <f>ROUND(N1291*1.5%,2)</f>
        <v>20629.46</v>
      </c>
      <c r="AD1291" s="31">
        <v>120000</v>
      </c>
      <c r="AE1291" s="31">
        <v>0</v>
      </c>
      <c r="AF1291" s="33">
        <v>2022</v>
      </c>
      <c r="AG1291" s="33">
        <v>2022</v>
      </c>
      <c r="AH1291" s="34">
        <v>2022</v>
      </c>
      <c r="AT1291" s="20" t="e">
        <f>VLOOKUP(C1291,AW$1291:AX$1291,2,FALSE)</f>
        <v>#N/A</v>
      </c>
      <c r="BZ1291" s="64"/>
    </row>
    <row r="1292" spans="1:82" ht="61.5" x14ac:dyDescent="0.85">
      <c r="B1292" s="24" t="s">
        <v>854</v>
      </c>
      <c r="C1292" s="198"/>
      <c r="D1292" s="199">
        <f>D1293+D1294</f>
        <v>9221698.8000000007</v>
      </c>
      <c r="E1292" s="31">
        <f t="shared" ref="E1292:AE1292" si="322">E1293+E1294</f>
        <v>0</v>
      </c>
      <c r="F1292" s="31">
        <f t="shared" si="322"/>
        <v>0</v>
      </c>
      <c r="G1292" s="31">
        <f t="shared" si="322"/>
        <v>0</v>
      </c>
      <c r="H1292" s="31">
        <f t="shared" si="322"/>
        <v>0</v>
      </c>
      <c r="I1292" s="31">
        <f t="shared" si="322"/>
        <v>0</v>
      </c>
      <c r="J1292" s="31">
        <f t="shared" si="322"/>
        <v>0</v>
      </c>
      <c r="K1292" s="67">
        <f t="shared" si="322"/>
        <v>0</v>
      </c>
      <c r="L1292" s="31">
        <f t="shared" si="322"/>
        <v>0</v>
      </c>
      <c r="M1292" s="31">
        <f t="shared" si="322"/>
        <v>1766</v>
      </c>
      <c r="N1292" s="31">
        <f t="shared" si="322"/>
        <v>8789851.0299999993</v>
      </c>
      <c r="O1292" s="31">
        <f t="shared" si="322"/>
        <v>0</v>
      </c>
      <c r="P1292" s="31">
        <f t="shared" si="322"/>
        <v>0</v>
      </c>
      <c r="Q1292" s="31">
        <f t="shared" si="322"/>
        <v>0</v>
      </c>
      <c r="R1292" s="31">
        <f t="shared" si="322"/>
        <v>0</v>
      </c>
      <c r="S1292" s="31">
        <f t="shared" si="322"/>
        <v>0</v>
      </c>
      <c r="T1292" s="31">
        <f t="shared" si="322"/>
        <v>0</v>
      </c>
      <c r="U1292" s="31">
        <f t="shared" si="322"/>
        <v>0</v>
      </c>
      <c r="V1292" s="31">
        <f t="shared" si="322"/>
        <v>0</v>
      </c>
      <c r="W1292" s="31">
        <f t="shared" si="322"/>
        <v>0</v>
      </c>
      <c r="X1292" s="31">
        <f t="shared" si="322"/>
        <v>0</v>
      </c>
      <c r="Y1292" s="31">
        <f t="shared" si="322"/>
        <v>0</v>
      </c>
      <c r="Z1292" s="31">
        <f t="shared" si="322"/>
        <v>0</v>
      </c>
      <c r="AA1292" s="31">
        <f t="shared" si="322"/>
        <v>0</v>
      </c>
      <c r="AB1292" s="31">
        <f t="shared" si="322"/>
        <v>0</v>
      </c>
      <c r="AC1292" s="31">
        <f t="shared" si="322"/>
        <v>131847.76999999999</v>
      </c>
      <c r="AD1292" s="31">
        <f t="shared" si="322"/>
        <v>300000</v>
      </c>
      <c r="AE1292" s="31">
        <f t="shared" si="322"/>
        <v>0</v>
      </c>
      <c r="AF1292" s="205" t="s">
        <v>751</v>
      </c>
      <c r="AG1292" s="205" t="s">
        <v>751</v>
      </c>
      <c r="AH1292" s="206" t="s">
        <v>751</v>
      </c>
      <c r="AT1292" s="20" t="e">
        <f t="shared" ref="AT1292:AT1317" si="323">VLOOKUP(C1292,AW:AX,2,FALSE)</f>
        <v>#N/A</v>
      </c>
      <c r="BZ1292" s="64">
        <v>9221698.8000000007</v>
      </c>
    </row>
    <row r="1293" spans="1:82" ht="61.5" x14ac:dyDescent="0.85">
      <c r="A1293" s="20">
        <v>1</v>
      </c>
      <c r="B1293" s="60">
        <f>SUBTOTAL(103,$A$1036:A1293)</f>
        <v>210</v>
      </c>
      <c r="C1293" s="101" t="s">
        <v>100</v>
      </c>
      <c r="D1293" s="31">
        <f>E1293+F1293+G1293+H1293+I1293+J1293+L1293+N1293+P1293+R1293+T1293+U1293+V1293+W1293+X1293+Y1293+Z1293+AA1293+AB1293+AC1293+AD1293+AE1293</f>
        <v>4177440</v>
      </c>
      <c r="E1293" s="31">
        <v>0</v>
      </c>
      <c r="F1293" s="31">
        <v>0</v>
      </c>
      <c r="G1293" s="31">
        <v>0</v>
      </c>
      <c r="H1293" s="31">
        <v>0</v>
      </c>
      <c r="I1293" s="31">
        <v>0</v>
      </c>
      <c r="J1293" s="31">
        <v>0</v>
      </c>
      <c r="K1293" s="67">
        <v>0</v>
      </c>
      <c r="L1293" s="31">
        <v>0</v>
      </c>
      <c r="M1293" s="31">
        <v>800</v>
      </c>
      <c r="N1293" s="31">
        <v>3967921.18</v>
      </c>
      <c r="O1293" s="31">
        <v>0</v>
      </c>
      <c r="P1293" s="31">
        <v>0</v>
      </c>
      <c r="Q1293" s="31">
        <v>0</v>
      </c>
      <c r="R1293" s="31">
        <v>0</v>
      </c>
      <c r="S1293" s="31">
        <v>0</v>
      </c>
      <c r="T1293" s="31">
        <v>0</v>
      </c>
      <c r="U1293" s="31">
        <v>0</v>
      </c>
      <c r="V1293" s="31">
        <v>0</v>
      </c>
      <c r="W1293" s="31">
        <v>0</v>
      </c>
      <c r="X1293" s="31">
        <v>0</v>
      </c>
      <c r="Y1293" s="31">
        <v>0</v>
      </c>
      <c r="Z1293" s="31">
        <v>0</v>
      </c>
      <c r="AA1293" s="31">
        <v>0</v>
      </c>
      <c r="AB1293" s="31">
        <v>0</v>
      </c>
      <c r="AC1293" s="31">
        <f>ROUND(N1293*1.5%,2)</f>
        <v>59518.82</v>
      </c>
      <c r="AD1293" s="31">
        <v>150000</v>
      </c>
      <c r="AE1293" s="31">
        <v>0</v>
      </c>
      <c r="AF1293" s="33">
        <v>2022</v>
      </c>
      <c r="AG1293" s="33">
        <v>2022</v>
      </c>
      <c r="AH1293" s="34">
        <v>2022</v>
      </c>
      <c r="AT1293" s="20" t="e">
        <f t="shared" si="323"/>
        <v>#N/A</v>
      </c>
      <c r="BZ1293" s="64"/>
    </row>
    <row r="1294" spans="1:82" ht="61.5" x14ac:dyDescent="0.85">
      <c r="A1294" s="20">
        <v>1</v>
      </c>
      <c r="B1294" s="60">
        <f>SUBTOTAL(103,$A$1036:A1294)</f>
        <v>211</v>
      </c>
      <c r="C1294" s="101" t="s">
        <v>101</v>
      </c>
      <c r="D1294" s="31">
        <f>E1294+F1294+G1294+H1294+I1294+J1294+L1294+N1294+P1294+R1294+T1294+U1294+V1294+W1294+X1294+Y1294+Z1294+AA1294+AB1294+AC1294+AD1294+AE1294</f>
        <v>5044258.8</v>
      </c>
      <c r="E1294" s="31">
        <v>0</v>
      </c>
      <c r="F1294" s="31">
        <v>0</v>
      </c>
      <c r="G1294" s="31">
        <v>0</v>
      </c>
      <c r="H1294" s="31">
        <v>0</v>
      </c>
      <c r="I1294" s="31">
        <v>0</v>
      </c>
      <c r="J1294" s="31">
        <v>0</v>
      </c>
      <c r="K1294" s="67">
        <v>0</v>
      </c>
      <c r="L1294" s="31">
        <v>0</v>
      </c>
      <c r="M1294" s="31">
        <v>966</v>
      </c>
      <c r="N1294" s="31">
        <v>4821929.8499999996</v>
      </c>
      <c r="O1294" s="31">
        <v>0</v>
      </c>
      <c r="P1294" s="31">
        <v>0</v>
      </c>
      <c r="Q1294" s="31">
        <v>0</v>
      </c>
      <c r="R1294" s="31">
        <v>0</v>
      </c>
      <c r="S1294" s="31">
        <v>0</v>
      </c>
      <c r="T1294" s="31">
        <v>0</v>
      </c>
      <c r="U1294" s="31">
        <v>0</v>
      </c>
      <c r="V1294" s="31">
        <v>0</v>
      </c>
      <c r="W1294" s="31">
        <v>0</v>
      </c>
      <c r="X1294" s="31">
        <v>0</v>
      </c>
      <c r="Y1294" s="31">
        <v>0</v>
      </c>
      <c r="Z1294" s="31">
        <v>0</v>
      </c>
      <c r="AA1294" s="31">
        <v>0</v>
      </c>
      <c r="AB1294" s="31">
        <v>0</v>
      </c>
      <c r="AC1294" s="31">
        <f>ROUND(N1294*1.5%,2)</f>
        <v>72328.95</v>
      </c>
      <c r="AD1294" s="31">
        <v>150000</v>
      </c>
      <c r="AE1294" s="31">
        <v>0</v>
      </c>
      <c r="AF1294" s="33">
        <v>2022</v>
      </c>
      <c r="AG1294" s="33">
        <v>2022</v>
      </c>
      <c r="AH1294" s="34">
        <v>2022</v>
      </c>
      <c r="AT1294" s="20" t="e">
        <f t="shared" si="323"/>
        <v>#N/A</v>
      </c>
      <c r="BZ1294" s="64"/>
    </row>
    <row r="1295" spans="1:82" ht="61.5" x14ac:dyDescent="0.85">
      <c r="B1295" s="24" t="s">
        <v>881</v>
      </c>
      <c r="C1295" s="24"/>
      <c r="D1295" s="199">
        <f>D1296</f>
        <v>3623929.1999999997</v>
      </c>
      <c r="E1295" s="31">
        <f t="shared" ref="E1295:AE1295" si="324">E1296</f>
        <v>0</v>
      </c>
      <c r="F1295" s="31">
        <f t="shared" si="324"/>
        <v>0</v>
      </c>
      <c r="G1295" s="31">
        <f t="shared" si="324"/>
        <v>0</v>
      </c>
      <c r="H1295" s="31">
        <f t="shared" si="324"/>
        <v>0</v>
      </c>
      <c r="I1295" s="31">
        <f t="shared" si="324"/>
        <v>0</v>
      </c>
      <c r="J1295" s="31">
        <f t="shared" si="324"/>
        <v>0</v>
      </c>
      <c r="K1295" s="67">
        <f t="shared" si="324"/>
        <v>0</v>
      </c>
      <c r="L1295" s="31">
        <f t="shared" si="324"/>
        <v>0</v>
      </c>
      <c r="M1295" s="31">
        <f t="shared" si="324"/>
        <v>694</v>
      </c>
      <c r="N1295" s="31">
        <f t="shared" si="324"/>
        <v>3422590.34</v>
      </c>
      <c r="O1295" s="31">
        <f t="shared" si="324"/>
        <v>0</v>
      </c>
      <c r="P1295" s="31">
        <f t="shared" si="324"/>
        <v>0</v>
      </c>
      <c r="Q1295" s="31">
        <f t="shared" si="324"/>
        <v>0</v>
      </c>
      <c r="R1295" s="31">
        <f t="shared" si="324"/>
        <v>0</v>
      </c>
      <c r="S1295" s="31">
        <f t="shared" si="324"/>
        <v>0</v>
      </c>
      <c r="T1295" s="31">
        <f t="shared" si="324"/>
        <v>0</v>
      </c>
      <c r="U1295" s="31">
        <f t="shared" si="324"/>
        <v>0</v>
      </c>
      <c r="V1295" s="31">
        <f t="shared" si="324"/>
        <v>0</v>
      </c>
      <c r="W1295" s="31">
        <f t="shared" si="324"/>
        <v>0</v>
      </c>
      <c r="X1295" s="31">
        <f t="shared" si="324"/>
        <v>0</v>
      </c>
      <c r="Y1295" s="31">
        <f t="shared" si="324"/>
        <v>0</v>
      </c>
      <c r="Z1295" s="31">
        <f t="shared" si="324"/>
        <v>0</v>
      </c>
      <c r="AA1295" s="31">
        <f t="shared" si="324"/>
        <v>0</v>
      </c>
      <c r="AB1295" s="31">
        <f t="shared" si="324"/>
        <v>0</v>
      </c>
      <c r="AC1295" s="31">
        <f t="shared" si="324"/>
        <v>51338.86</v>
      </c>
      <c r="AD1295" s="31">
        <f t="shared" si="324"/>
        <v>150000</v>
      </c>
      <c r="AE1295" s="31">
        <f t="shared" si="324"/>
        <v>0</v>
      </c>
      <c r="AF1295" s="205" t="s">
        <v>751</v>
      </c>
      <c r="AG1295" s="205" t="s">
        <v>751</v>
      </c>
      <c r="AH1295" s="206" t="s">
        <v>751</v>
      </c>
      <c r="AT1295" s="20" t="e">
        <f t="shared" si="323"/>
        <v>#N/A</v>
      </c>
      <c r="BZ1295" s="64">
        <v>3623929.1999999997</v>
      </c>
    </row>
    <row r="1296" spans="1:82" ht="61.5" x14ac:dyDescent="0.85">
      <c r="A1296" s="20">
        <v>1</v>
      </c>
      <c r="B1296" s="60">
        <f>SUBTOTAL(103,$A$1036:A1296)</f>
        <v>212</v>
      </c>
      <c r="C1296" s="101" t="s">
        <v>105</v>
      </c>
      <c r="D1296" s="31">
        <f>E1296+F1296+G1296+H1296+I1296+J1296+L1296+N1296+P1296+R1296+T1296+U1296+V1296+W1296+X1296+Y1296+Z1296+AA1296+AB1296+AC1296+AD1296+AE1296</f>
        <v>3623929.1999999997</v>
      </c>
      <c r="E1296" s="31">
        <v>0</v>
      </c>
      <c r="F1296" s="31">
        <v>0</v>
      </c>
      <c r="G1296" s="31">
        <v>0</v>
      </c>
      <c r="H1296" s="31">
        <v>0</v>
      </c>
      <c r="I1296" s="31">
        <v>0</v>
      </c>
      <c r="J1296" s="31">
        <v>0</v>
      </c>
      <c r="K1296" s="67">
        <v>0</v>
      </c>
      <c r="L1296" s="31">
        <v>0</v>
      </c>
      <c r="M1296" s="31">
        <v>694</v>
      </c>
      <c r="N1296" s="31">
        <v>3422590.34</v>
      </c>
      <c r="O1296" s="31">
        <v>0</v>
      </c>
      <c r="P1296" s="31">
        <v>0</v>
      </c>
      <c r="Q1296" s="31">
        <v>0</v>
      </c>
      <c r="R1296" s="31">
        <v>0</v>
      </c>
      <c r="S1296" s="31">
        <v>0</v>
      </c>
      <c r="T1296" s="31">
        <v>0</v>
      </c>
      <c r="U1296" s="31">
        <v>0</v>
      </c>
      <c r="V1296" s="31">
        <v>0</v>
      </c>
      <c r="W1296" s="31">
        <v>0</v>
      </c>
      <c r="X1296" s="31">
        <v>0</v>
      </c>
      <c r="Y1296" s="31">
        <v>0</v>
      </c>
      <c r="Z1296" s="31">
        <v>0</v>
      </c>
      <c r="AA1296" s="31">
        <v>0</v>
      </c>
      <c r="AB1296" s="31">
        <v>0</v>
      </c>
      <c r="AC1296" s="31">
        <f>ROUND(N1296*1.5%,2)</f>
        <v>51338.86</v>
      </c>
      <c r="AD1296" s="31">
        <v>150000</v>
      </c>
      <c r="AE1296" s="31">
        <v>0</v>
      </c>
      <c r="AF1296" s="33">
        <v>2022</v>
      </c>
      <c r="AG1296" s="33">
        <v>2022</v>
      </c>
      <c r="AH1296" s="34">
        <v>2022</v>
      </c>
      <c r="AT1296" s="20" t="e">
        <f t="shared" si="323"/>
        <v>#N/A</v>
      </c>
      <c r="BZ1296" s="64"/>
    </row>
    <row r="1297" spans="1:78" ht="61.5" x14ac:dyDescent="0.85">
      <c r="B1297" s="24" t="s">
        <v>855</v>
      </c>
      <c r="C1297" s="24"/>
      <c r="D1297" s="199">
        <f>D1298</f>
        <v>3080862</v>
      </c>
      <c r="E1297" s="31">
        <f t="shared" ref="E1297:AE1297" si="325">E1298</f>
        <v>0</v>
      </c>
      <c r="F1297" s="31">
        <f t="shared" si="325"/>
        <v>0</v>
      </c>
      <c r="G1297" s="31">
        <f t="shared" si="325"/>
        <v>0</v>
      </c>
      <c r="H1297" s="31">
        <f t="shared" si="325"/>
        <v>0</v>
      </c>
      <c r="I1297" s="31">
        <f t="shared" si="325"/>
        <v>0</v>
      </c>
      <c r="J1297" s="31">
        <f t="shared" si="325"/>
        <v>0</v>
      </c>
      <c r="K1297" s="67">
        <f t="shared" si="325"/>
        <v>0</v>
      </c>
      <c r="L1297" s="31">
        <f t="shared" si="325"/>
        <v>0</v>
      </c>
      <c r="M1297" s="31">
        <f t="shared" si="325"/>
        <v>590</v>
      </c>
      <c r="N1297" s="31">
        <f t="shared" si="325"/>
        <v>2887548.77</v>
      </c>
      <c r="O1297" s="31">
        <f t="shared" si="325"/>
        <v>0</v>
      </c>
      <c r="P1297" s="31">
        <f t="shared" si="325"/>
        <v>0</v>
      </c>
      <c r="Q1297" s="31">
        <f t="shared" si="325"/>
        <v>0</v>
      </c>
      <c r="R1297" s="31">
        <f t="shared" si="325"/>
        <v>0</v>
      </c>
      <c r="S1297" s="31">
        <f t="shared" si="325"/>
        <v>0</v>
      </c>
      <c r="T1297" s="31">
        <f t="shared" si="325"/>
        <v>0</v>
      </c>
      <c r="U1297" s="31">
        <f t="shared" si="325"/>
        <v>0</v>
      </c>
      <c r="V1297" s="31">
        <f t="shared" si="325"/>
        <v>0</v>
      </c>
      <c r="W1297" s="31">
        <f t="shared" si="325"/>
        <v>0</v>
      </c>
      <c r="X1297" s="31">
        <f t="shared" si="325"/>
        <v>0</v>
      </c>
      <c r="Y1297" s="31">
        <f t="shared" si="325"/>
        <v>0</v>
      </c>
      <c r="Z1297" s="31">
        <f t="shared" si="325"/>
        <v>0</v>
      </c>
      <c r="AA1297" s="31">
        <f t="shared" si="325"/>
        <v>0</v>
      </c>
      <c r="AB1297" s="31">
        <f t="shared" si="325"/>
        <v>0</v>
      </c>
      <c r="AC1297" s="31">
        <f t="shared" si="325"/>
        <v>43313.23</v>
      </c>
      <c r="AD1297" s="31">
        <f t="shared" si="325"/>
        <v>150000</v>
      </c>
      <c r="AE1297" s="31">
        <f t="shared" si="325"/>
        <v>0</v>
      </c>
      <c r="AF1297" s="205" t="s">
        <v>751</v>
      </c>
      <c r="AG1297" s="205" t="s">
        <v>751</v>
      </c>
      <c r="AH1297" s="206" t="s">
        <v>751</v>
      </c>
      <c r="AT1297" s="20" t="e">
        <f t="shared" si="323"/>
        <v>#N/A</v>
      </c>
      <c r="BZ1297" s="64">
        <v>3080862</v>
      </c>
    </row>
    <row r="1298" spans="1:78" ht="61.5" x14ac:dyDescent="0.85">
      <c r="A1298" s="20">
        <v>1</v>
      </c>
      <c r="B1298" s="60">
        <f>SUBTOTAL(103,$A$1036:A1298)</f>
        <v>213</v>
      </c>
      <c r="C1298" s="101" t="s">
        <v>102</v>
      </c>
      <c r="D1298" s="31">
        <f>E1298+F1298+G1298+H1298+I1298+J1298+L1298+N1298+P1298+R1298+T1298+U1298+V1298+W1298+X1298+Y1298+Z1298+AA1298+AB1298+AC1298+AD1298+AE1298</f>
        <v>3080862</v>
      </c>
      <c r="E1298" s="31">
        <v>0</v>
      </c>
      <c r="F1298" s="31">
        <v>0</v>
      </c>
      <c r="G1298" s="31">
        <v>0</v>
      </c>
      <c r="H1298" s="31">
        <v>0</v>
      </c>
      <c r="I1298" s="31">
        <v>0</v>
      </c>
      <c r="J1298" s="31">
        <v>0</v>
      </c>
      <c r="K1298" s="67">
        <v>0</v>
      </c>
      <c r="L1298" s="31">
        <v>0</v>
      </c>
      <c r="M1298" s="31">
        <v>590</v>
      </c>
      <c r="N1298" s="31">
        <v>2887548.77</v>
      </c>
      <c r="O1298" s="31">
        <v>0</v>
      </c>
      <c r="P1298" s="31">
        <v>0</v>
      </c>
      <c r="Q1298" s="31">
        <v>0</v>
      </c>
      <c r="R1298" s="31">
        <v>0</v>
      </c>
      <c r="S1298" s="31">
        <v>0</v>
      </c>
      <c r="T1298" s="31">
        <v>0</v>
      </c>
      <c r="U1298" s="31">
        <v>0</v>
      </c>
      <c r="V1298" s="31">
        <v>0</v>
      </c>
      <c r="W1298" s="31">
        <v>0</v>
      </c>
      <c r="X1298" s="31">
        <v>0</v>
      </c>
      <c r="Y1298" s="31">
        <v>0</v>
      </c>
      <c r="Z1298" s="31">
        <v>0</v>
      </c>
      <c r="AA1298" s="31">
        <v>0</v>
      </c>
      <c r="AB1298" s="31">
        <v>0</v>
      </c>
      <c r="AC1298" s="31">
        <f>ROUND(N1298*1.5%,2)</f>
        <v>43313.23</v>
      </c>
      <c r="AD1298" s="31">
        <v>150000</v>
      </c>
      <c r="AE1298" s="31">
        <v>0</v>
      </c>
      <c r="AF1298" s="33">
        <v>2022</v>
      </c>
      <c r="AG1298" s="33">
        <v>2022</v>
      </c>
      <c r="AH1298" s="34">
        <v>2022</v>
      </c>
      <c r="AT1298" s="20" t="e">
        <f t="shared" si="323"/>
        <v>#N/A</v>
      </c>
      <c r="BZ1298" s="64"/>
    </row>
    <row r="1299" spans="1:78" ht="61.5" x14ac:dyDescent="0.85">
      <c r="B1299" s="24" t="s">
        <v>856</v>
      </c>
      <c r="C1299" s="24"/>
      <c r="D1299" s="199">
        <f>D1300+D1301</f>
        <v>2610892.59</v>
      </c>
      <c r="E1299" s="31">
        <f t="shared" ref="E1299:AE1299" si="326">E1300+E1301</f>
        <v>0</v>
      </c>
      <c r="F1299" s="31">
        <f t="shared" si="326"/>
        <v>0</v>
      </c>
      <c r="G1299" s="31">
        <f t="shared" si="326"/>
        <v>0</v>
      </c>
      <c r="H1299" s="31">
        <f t="shared" si="326"/>
        <v>0</v>
      </c>
      <c r="I1299" s="31">
        <f t="shared" si="326"/>
        <v>0</v>
      </c>
      <c r="J1299" s="31">
        <f t="shared" si="326"/>
        <v>0</v>
      </c>
      <c r="K1299" s="67">
        <f t="shared" si="326"/>
        <v>0</v>
      </c>
      <c r="L1299" s="31">
        <f t="shared" si="326"/>
        <v>0</v>
      </c>
      <c r="M1299" s="31">
        <f t="shared" si="326"/>
        <v>500</v>
      </c>
      <c r="N1299" s="31">
        <f t="shared" si="326"/>
        <v>2335854.77</v>
      </c>
      <c r="O1299" s="31">
        <f t="shared" si="326"/>
        <v>0</v>
      </c>
      <c r="P1299" s="31">
        <f t="shared" si="326"/>
        <v>0</v>
      </c>
      <c r="Q1299" s="31">
        <f t="shared" si="326"/>
        <v>0</v>
      </c>
      <c r="R1299" s="31">
        <f t="shared" si="326"/>
        <v>0</v>
      </c>
      <c r="S1299" s="31">
        <f t="shared" si="326"/>
        <v>0</v>
      </c>
      <c r="T1299" s="31">
        <f t="shared" si="326"/>
        <v>0</v>
      </c>
      <c r="U1299" s="31">
        <f t="shared" si="326"/>
        <v>0</v>
      </c>
      <c r="V1299" s="31">
        <f t="shared" si="326"/>
        <v>0</v>
      </c>
      <c r="W1299" s="31">
        <f t="shared" si="326"/>
        <v>0</v>
      </c>
      <c r="X1299" s="31">
        <f t="shared" si="326"/>
        <v>0</v>
      </c>
      <c r="Y1299" s="31">
        <f t="shared" si="326"/>
        <v>0</v>
      </c>
      <c r="Z1299" s="31">
        <f t="shared" si="326"/>
        <v>0</v>
      </c>
      <c r="AA1299" s="31">
        <f t="shared" si="326"/>
        <v>0</v>
      </c>
      <c r="AB1299" s="31">
        <f t="shared" si="326"/>
        <v>0</v>
      </c>
      <c r="AC1299" s="31">
        <f t="shared" si="326"/>
        <v>35037.82</v>
      </c>
      <c r="AD1299" s="31">
        <f t="shared" si="326"/>
        <v>240000</v>
      </c>
      <c r="AE1299" s="31">
        <f t="shared" si="326"/>
        <v>0</v>
      </c>
      <c r="AF1299" s="205" t="s">
        <v>751</v>
      </c>
      <c r="AG1299" s="205" t="s">
        <v>751</v>
      </c>
      <c r="AH1299" s="206" t="s">
        <v>751</v>
      </c>
      <c r="AT1299" s="20" t="e">
        <f t="shared" si="323"/>
        <v>#N/A</v>
      </c>
      <c r="BZ1299" s="64">
        <v>2610892.59</v>
      </c>
    </row>
    <row r="1300" spans="1:78" ht="61.5" x14ac:dyDescent="0.85">
      <c r="A1300" s="20">
        <v>1</v>
      </c>
      <c r="B1300" s="60">
        <f>SUBTOTAL(103,$A$1036:A1300)</f>
        <v>214</v>
      </c>
      <c r="C1300" s="101" t="s">
        <v>103</v>
      </c>
      <c r="D1300" s="31">
        <f>E1300+F1300+G1300+H1300+I1300+J1300+L1300+N1300+P1300+R1300+T1300+U1300+V1300+W1300+X1300+Y1300+Z1300+AA1300+AB1300+AC1300+AD1300+AE1300</f>
        <v>1321115.3999999999</v>
      </c>
      <c r="E1300" s="31">
        <v>0</v>
      </c>
      <c r="F1300" s="31">
        <v>0</v>
      </c>
      <c r="G1300" s="31">
        <v>0</v>
      </c>
      <c r="H1300" s="31">
        <v>0</v>
      </c>
      <c r="I1300" s="31">
        <v>0</v>
      </c>
      <c r="J1300" s="31">
        <v>0</v>
      </c>
      <c r="K1300" s="67">
        <v>0</v>
      </c>
      <c r="L1300" s="31">
        <v>0</v>
      </c>
      <c r="M1300" s="31">
        <v>253</v>
      </c>
      <c r="N1300" s="31">
        <v>1183364.93</v>
      </c>
      <c r="O1300" s="31">
        <v>0</v>
      </c>
      <c r="P1300" s="31">
        <v>0</v>
      </c>
      <c r="Q1300" s="31">
        <v>0</v>
      </c>
      <c r="R1300" s="31">
        <v>0</v>
      </c>
      <c r="S1300" s="31">
        <v>0</v>
      </c>
      <c r="T1300" s="31">
        <v>0</v>
      </c>
      <c r="U1300" s="31">
        <v>0</v>
      </c>
      <c r="V1300" s="31">
        <v>0</v>
      </c>
      <c r="W1300" s="31">
        <v>0</v>
      </c>
      <c r="X1300" s="31">
        <v>0</v>
      </c>
      <c r="Y1300" s="31">
        <v>0</v>
      </c>
      <c r="Z1300" s="31">
        <v>0</v>
      </c>
      <c r="AA1300" s="31">
        <v>0</v>
      </c>
      <c r="AB1300" s="31">
        <v>0</v>
      </c>
      <c r="AC1300" s="31">
        <f>ROUND(N1300*1.5%,2)</f>
        <v>17750.47</v>
      </c>
      <c r="AD1300" s="31">
        <v>120000</v>
      </c>
      <c r="AE1300" s="31">
        <v>0</v>
      </c>
      <c r="AF1300" s="33">
        <v>2022</v>
      </c>
      <c r="AG1300" s="33">
        <v>2022</v>
      </c>
      <c r="AH1300" s="34">
        <v>2022</v>
      </c>
      <c r="AT1300" s="20" t="e">
        <f t="shared" si="323"/>
        <v>#N/A</v>
      </c>
      <c r="BZ1300" s="64"/>
    </row>
    <row r="1301" spans="1:78" ht="61.5" x14ac:dyDescent="0.85">
      <c r="A1301" s="20">
        <v>1</v>
      </c>
      <c r="B1301" s="60">
        <f>SUBTOTAL(103,$A$1036:A1301)</f>
        <v>215</v>
      </c>
      <c r="C1301" s="101" t="s">
        <v>104</v>
      </c>
      <c r="D1301" s="31">
        <f>E1301+F1301+G1301+H1301+I1301+J1301+L1301+N1301+P1301+R1301+T1301+U1301+V1301+W1301+X1301+Y1301+Z1301+AA1301+AB1301+AC1301+AD1301+AE1301</f>
        <v>1289777.1900000002</v>
      </c>
      <c r="E1301" s="31">
        <v>0</v>
      </c>
      <c r="F1301" s="31">
        <v>0</v>
      </c>
      <c r="G1301" s="31">
        <v>0</v>
      </c>
      <c r="H1301" s="31">
        <v>0</v>
      </c>
      <c r="I1301" s="31">
        <v>0</v>
      </c>
      <c r="J1301" s="31">
        <v>0</v>
      </c>
      <c r="K1301" s="67">
        <v>0</v>
      </c>
      <c r="L1301" s="31">
        <v>0</v>
      </c>
      <c r="M1301" s="31">
        <v>247</v>
      </c>
      <c r="N1301" s="31">
        <v>1152489.8400000001</v>
      </c>
      <c r="O1301" s="31">
        <v>0</v>
      </c>
      <c r="P1301" s="31">
        <v>0</v>
      </c>
      <c r="Q1301" s="31">
        <v>0</v>
      </c>
      <c r="R1301" s="31">
        <v>0</v>
      </c>
      <c r="S1301" s="31">
        <v>0</v>
      </c>
      <c r="T1301" s="31">
        <v>0</v>
      </c>
      <c r="U1301" s="31">
        <v>0</v>
      </c>
      <c r="V1301" s="31">
        <v>0</v>
      </c>
      <c r="W1301" s="31">
        <v>0</v>
      </c>
      <c r="X1301" s="31">
        <v>0</v>
      </c>
      <c r="Y1301" s="31">
        <v>0</v>
      </c>
      <c r="Z1301" s="31">
        <v>0</v>
      </c>
      <c r="AA1301" s="31">
        <v>0</v>
      </c>
      <c r="AB1301" s="31">
        <v>0</v>
      </c>
      <c r="AC1301" s="31">
        <f>ROUND(N1301*1.5%,2)</f>
        <v>17287.349999999999</v>
      </c>
      <c r="AD1301" s="31">
        <v>120000</v>
      </c>
      <c r="AE1301" s="31">
        <v>0</v>
      </c>
      <c r="AF1301" s="33">
        <v>2022</v>
      </c>
      <c r="AG1301" s="33">
        <v>2022</v>
      </c>
      <c r="AH1301" s="34">
        <v>2022</v>
      </c>
      <c r="AT1301" s="20" t="e">
        <f t="shared" si="323"/>
        <v>#N/A</v>
      </c>
      <c r="BZ1301" s="64"/>
    </row>
    <row r="1302" spans="1:78" ht="61.5" x14ac:dyDescent="0.85">
      <c r="B1302" s="24" t="s">
        <v>858</v>
      </c>
      <c r="C1302" s="198"/>
      <c r="D1302" s="199">
        <f>D1303+D1304+D1305</f>
        <v>6332416.4000000004</v>
      </c>
      <c r="E1302" s="31">
        <f t="shared" ref="E1302:AE1302" si="327">E1303+E1304+E1305</f>
        <v>0</v>
      </c>
      <c r="F1302" s="31">
        <f t="shared" si="327"/>
        <v>0</v>
      </c>
      <c r="G1302" s="31">
        <f t="shared" si="327"/>
        <v>0</v>
      </c>
      <c r="H1302" s="31">
        <f t="shared" si="327"/>
        <v>0</v>
      </c>
      <c r="I1302" s="31">
        <f t="shared" si="327"/>
        <v>0</v>
      </c>
      <c r="J1302" s="31">
        <f t="shared" si="327"/>
        <v>0</v>
      </c>
      <c r="K1302" s="67">
        <f t="shared" si="327"/>
        <v>0</v>
      </c>
      <c r="L1302" s="31">
        <f t="shared" si="327"/>
        <v>0</v>
      </c>
      <c r="M1302" s="31">
        <f t="shared" si="327"/>
        <v>696</v>
      </c>
      <c r="N1302" s="31">
        <f t="shared" si="327"/>
        <v>3349359.61</v>
      </c>
      <c r="O1302" s="31">
        <f t="shared" si="327"/>
        <v>0</v>
      </c>
      <c r="P1302" s="31">
        <f t="shared" si="327"/>
        <v>0</v>
      </c>
      <c r="Q1302" s="31">
        <f t="shared" si="327"/>
        <v>910</v>
      </c>
      <c r="R1302" s="31">
        <f t="shared" si="327"/>
        <v>2485533.4</v>
      </c>
      <c r="S1302" s="31">
        <f t="shared" si="327"/>
        <v>0</v>
      </c>
      <c r="T1302" s="31">
        <f t="shared" si="327"/>
        <v>0</v>
      </c>
      <c r="U1302" s="31">
        <f t="shared" si="327"/>
        <v>0</v>
      </c>
      <c r="V1302" s="31">
        <f t="shared" si="327"/>
        <v>0</v>
      </c>
      <c r="W1302" s="31">
        <f t="shared" si="327"/>
        <v>0</v>
      </c>
      <c r="X1302" s="31">
        <f t="shared" si="327"/>
        <v>0</v>
      </c>
      <c r="Y1302" s="31">
        <f t="shared" si="327"/>
        <v>0</v>
      </c>
      <c r="Z1302" s="31">
        <f t="shared" si="327"/>
        <v>0</v>
      </c>
      <c r="AA1302" s="31">
        <f t="shared" si="327"/>
        <v>0</v>
      </c>
      <c r="AB1302" s="31">
        <f t="shared" si="327"/>
        <v>0</v>
      </c>
      <c r="AC1302" s="31">
        <f t="shared" si="327"/>
        <v>87523.39</v>
      </c>
      <c r="AD1302" s="31">
        <f t="shared" si="327"/>
        <v>410000</v>
      </c>
      <c r="AE1302" s="31">
        <f t="shared" si="327"/>
        <v>0</v>
      </c>
      <c r="AF1302" s="205" t="s">
        <v>751</v>
      </c>
      <c r="AG1302" s="205" t="s">
        <v>751</v>
      </c>
      <c r="AH1302" s="206" t="s">
        <v>751</v>
      </c>
      <c r="AT1302" s="20" t="e">
        <f t="shared" si="323"/>
        <v>#N/A</v>
      </c>
      <c r="BZ1302" s="64">
        <v>6332416.4000000004</v>
      </c>
    </row>
    <row r="1303" spans="1:78" ht="61.5" x14ac:dyDescent="0.85">
      <c r="A1303" s="20">
        <v>1</v>
      </c>
      <c r="B1303" s="60">
        <f>SUBTOTAL(103,$A$1036:A1303)</f>
        <v>216</v>
      </c>
      <c r="C1303" s="101" t="s">
        <v>193</v>
      </c>
      <c r="D1303" s="31">
        <f>E1303+F1303+G1303+H1303+I1303+J1303+L1303+N1303+P1303+R1303+T1303+U1303+V1303+W1303+X1303+Y1303+Z1303+AA1303+AB1303+AC1303+AD1303+AE1303</f>
        <v>3549600</v>
      </c>
      <c r="E1303" s="31">
        <v>0</v>
      </c>
      <c r="F1303" s="31">
        <v>0</v>
      </c>
      <c r="G1303" s="31">
        <v>0</v>
      </c>
      <c r="H1303" s="31">
        <v>0</v>
      </c>
      <c r="I1303" s="31">
        <v>0</v>
      </c>
      <c r="J1303" s="31">
        <v>0</v>
      </c>
      <c r="K1303" s="67">
        <v>0</v>
      </c>
      <c r="L1303" s="31">
        <v>0</v>
      </c>
      <c r="M1303" s="31">
        <v>696</v>
      </c>
      <c r="N1303" s="31">
        <v>3349359.61</v>
      </c>
      <c r="O1303" s="31">
        <v>0</v>
      </c>
      <c r="P1303" s="31">
        <v>0</v>
      </c>
      <c r="Q1303" s="31">
        <v>0</v>
      </c>
      <c r="R1303" s="31">
        <v>0</v>
      </c>
      <c r="S1303" s="31">
        <v>0</v>
      </c>
      <c r="T1303" s="31">
        <v>0</v>
      </c>
      <c r="U1303" s="31">
        <v>0</v>
      </c>
      <c r="V1303" s="31">
        <v>0</v>
      </c>
      <c r="W1303" s="31">
        <v>0</v>
      </c>
      <c r="X1303" s="31">
        <v>0</v>
      </c>
      <c r="Y1303" s="31">
        <v>0</v>
      </c>
      <c r="Z1303" s="31">
        <v>0</v>
      </c>
      <c r="AA1303" s="31">
        <v>0</v>
      </c>
      <c r="AB1303" s="31">
        <v>0</v>
      </c>
      <c r="AC1303" s="31">
        <f>ROUND(N1303*1.5%,2)</f>
        <v>50240.39</v>
      </c>
      <c r="AD1303" s="31">
        <v>150000</v>
      </c>
      <c r="AE1303" s="31">
        <v>0</v>
      </c>
      <c r="AF1303" s="33">
        <v>2022</v>
      </c>
      <c r="AG1303" s="33">
        <v>2022</v>
      </c>
      <c r="AH1303" s="34">
        <v>2022</v>
      </c>
      <c r="AT1303" s="20" t="e">
        <f t="shared" si="323"/>
        <v>#N/A</v>
      </c>
      <c r="BZ1303" s="64"/>
    </row>
    <row r="1304" spans="1:78" ht="61.5" x14ac:dyDescent="0.85">
      <c r="A1304" s="20">
        <v>1</v>
      </c>
      <c r="B1304" s="60">
        <f>SUBTOTAL(103,$A$1036:A1304)</f>
        <v>217</v>
      </c>
      <c r="C1304" s="101" t="s">
        <v>194</v>
      </c>
      <c r="D1304" s="31">
        <f>E1304+F1304+G1304+H1304+I1304+J1304+L1304+N1304+P1304+R1304+T1304+U1304+V1304+W1304+X1304+Y1304+Z1304+AA1304+AB1304+AC1304+AD1304+AE1304</f>
        <v>1391408.2</v>
      </c>
      <c r="E1304" s="31">
        <v>0</v>
      </c>
      <c r="F1304" s="31">
        <v>0</v>
      </c>
      <c r="G1304" s="31">
        <v>0</v>
      </c>
      <c r="H1304" s="31">
        <v>0</v>
      </c>
      <c r="I1304" s="31">
        <v>0</v>
      </c>
      <c r="J1304" s="31">
        <v>0</v>
      </c>
      <c r="K1304" s="67">
        <v>0</v>
      </c>
      <c r="L1304" s="31">
        <v>0</v>
      </c>
      <c r="M1304" s="31">
        <v>0</v>
      </c>
      <c r="N1304" s="31">
        <v>0</v>
      </c>
      <c r="O1304" s="31">
        <v>0</v>
      </c>
      <c r="P1304" s="31">
        <v>0</v>
      </c>
      <c r="Q1304" s="31">
        <v>455</v>
      </c>
      <c r="R1304" s="31">
        <v>1242766.7</v>
      </c>
      <c r="S1304" s="31">
        <v>0</v>
      </c>
      <c r="T1304" s="31">
        <v>0</v>
      </c>
      <c r="U1304" s="31">
        <v>0</v>
      </c>
      <c r="V1304" s="31">
        <v>0</v>
      </c>
      <c r="W1304" s="31">
        <v>0</v>
      </c>
      <c r="X1304" s="31">
        <v>0</v>
      </c>
      <c r="Y1304" s="31">
        <v>0</v>
      </c>
      <c r="Z1304" s="31">
        <v>0</v>
      </c>
      <c r="AA1304" s="31">
        <v>0</v>
      </c>
      <c r="AB1304" s="31">
        <v>0</v>
      </c>
      <c r="AC1304" s="31">
        <f>ROUND(R1304*1.5%,2)</f>
        <v>18641.5</v>
      </c>
      <c r="AD1304" s="31">
        <v>130000</v>
      </c>
      <c r="AE1304" s="31">
        <v>0</v>
      </c>
      <c r="AF1304" s="33">
        <v>2022</v>
      </c>
      <c r="AG1304" s="33">
        <v>2022</v>
      </c>
      <c r="AH1304" s="34">
        <v>2022</v>
      </c>
      <c r="AT1304" s="20" t="e">
        <f t="shared" si="323"/>
        <v>#N/A</v>
      </c>
      <c r="BZ1304" s="64"/>
    </row>
    <row r="1305" spans="1:78" ht="61.5" x14ac:dyDescent="0.85">
      <c r="A1305" s="20">
        <v>1</v>
      </c>
      <c r="B1305" s="60">
        <f>SUBTOTAL(103,$A$1036:A1305)</f>
        <v>218</v>
      </c>
      <c r="C1305" s="101" t="s">
        <v>195</v>
      </c>
      <c r="D1305" s="31">
        <f>E1305+F1305+G1305+H1305+I1305+J1305+L1305+N1305+P1305+R1305+T1305+U1305+V1305+W1305+X1305+Y1305+Z1305+AA1305+AB1305+AC1305+AD1305+AE1305</f>
        <v>1391408.2</v>
      </c>
      <c r="E1305" s="31">
        <v>0</v>
      </c>
      <c r="F1305" s="31">
        <v>0</v>
      </c>
      <c r="G1305" s="31">
        <v>0</v>
      </c>
      <c r="H1305" s="31">
        <v>0</v>
      </c>
      <c r="I1305" s="31">
        <v>0</v>
      </c>
      <c r="J1305" s="31">
        <v>0</v>
      </c>
      <c r="K1305" s="67">
        <v>0</v>
      </c>
      <c r="L1305" s="31">
        <v>0</v>
      </c>
      <c r="M1305" s="31">
        <v>0</v>
      </c>
      <c r="N1305" s="31">
        <v>0</v>
      </c>
      <c r="O1305" s="31">
        <v>0</v>
      </c>
      <c r="P1305" s="31">
        <v>0</v>
      </c>
      <c r="Q1305" s="31">
        <v>455</v>
      </c>
      <c r="R1305" s="31">
        <v>1242766.7</v>
      </c>
      <c r="S1305" s="31">
        <v>0</v>
      </c>
      <c r="T1305" s="31">
        <v>0</v>
      </c>
      <c r="U1305" s="31">
        <v>0</v>
      </c>
      <c r="V1305" s="31">
        <v>0</v>
      </c>
      <c r="W1305" s="31">
        <v>0</v>
      </c>
      <c r="X1305" s="31">
        <v>0</v>
      </c>
      <c r="Y1305" s="31">
        <v>0</v>
      </c>
      <c r="Z1305" s="31">
        <v>0</v>
      </c>
      <c r="AA1305" s="31">
        <v>0</v>
      </c>
      <c r="AB1305" s="31">
        <v>0</v>
      </c>
      <c r="AC1305" s="31">
        <f>ROUND(R1305*1.5%,2)</f>
        <v>18641.5</v>
      </c>
      <c r="AD1305" s="31">
        <v>130000</v>
      </c>
      <c r="AE1305" s="31">
        <v>0</v>
      </c>
      <c r="AF1305" s="33">
        <v>2022</v>
      </c>
      <c r="AG1305" s="33">
        <v>2022</v>
      </c>
      <c r="AH1305" s="34">
        <v>2022</v>
      </c>
      <c r="AT1305" s="20" t="e">
        <f t="shared" si="323"/>
        <v>#N/A</v>
      </c>
      <c r="BZ1305" s="64"/>
    </row>
    <row r="1306" spans="1:78" ht="61.5" x14ac:dyDescent="0.85">
      <c r="B1306" s="24" t="s">
        <v>859</v>
      </c>
      <c r="C1306" s="24"/>
      <c r="D1306" s="199">
        <f>D1307</f>
        <v>3434659.7399999998</v>
      </c>
      <c r="E1306" s="31">
        <f t="shared" ref="E1306:AE1306" si="328">E1307</f>
        <v>0</v>
      </c>
      <c r="F1306" s="31">
        <f t="shared" si="328"/>
        <v>0</v>
      </c>
      <c r="G1306" s="31">
        <f t="shared" si="328"/>
        <v>0</v>
      </c>
      <c r="H1306" s="31">
        <f t="shared" si="328"/>
        <v>0</v>
      </c>
      <c r="I1306" s="31">
        <f t="shared" si="328"/>
        <v>0</v>
      </c>
      <c r="J1306" s="31">
        <f t="shared" si="328"/>
        <v>0</v>
      </c>
      <c r="K1306" s="67">
        <f t="shared" si="328"/>
        <v>0</v>
      </c>
      <c r="L1306" s="31">
        <f t="shared" si="328"/>
        <v>0</v>
      </c>
      <c r="M1306" s="31">
        <f t="shared" si="328"/>
        <v>720</v>
      </c>
      <c r="N1306" s="31">
        <f t="shared" si="328"/>
        <v>3255822.4</v>
      </c>
      <c r="O1306" s="31">
        <f t="shared" si="328"/>
        <v>0</v>
      </c>
      <c r="P1306" s="31">
        <f t="shared" si="328"/>
        <v>0</v>
      </c>
      <c r="Q1306" s="31">
        <f t="shared" si="328"/>
        <v>0</v>
      </c>
      <c r="R1306" s="31">
        <f t="shared" si="328"/>
        <v>0</v>
      </c>
      <c r="S1306" s="31">
        <f t="shared" si="328"/>
        <v>0</v>
      </c>
      <c r="T1306" s="31">
        <f t="shared" si="328"/>
        <v>0</v>
      </c>
      <c r="U1306" s="31">
        <f t="shared" si="328"/>
        <v>0</v>
      </c>
      <c r="V1306" s="31">
        <f t="shared" si="328"/>
        <v>0</v>
      </c>
      <c r="W1306" s="31">
        <f t="shared" si="328"/>
        <v>0</v>
      </c>
      <c r="X1306" s="31">
        <f t="shared" si="328"/>
        <v>0</v>
      </c>
      <c r="Y1306" s="31">
        <f t="shared" si="328"/>
        <v>0</v>
      </c>
      <c r="Z1306" s="31">
        <f t="shared" si="328"/>
        <v>0</v>
      </c>
      <c r="AA1306" s="31">
        <f t="shared" si="328"/>
        <v>0</v>
      </c>
      <c r="AB1306" s="31">
        <f t="shared" si="328"/>
        <v>0</v>
      </c>
      <c r="AC1306" s="31">
        <f t="shared" si="328"/>
        <v>48837.34</v>
      </c>
      <c r="AD1306" s="31">
        <f t="shared" si="328"/>
        <v>130000</v>
      </c>
      <c r="AE1306" s="31">
        <f t="shared" si="328"/>
        <v>0</v>
      </c>
      <c r="AF1306" s="205" t="s">
        <v>751</v>
      </c>
      <c r="AG1306" s="205" t="s">
        <v>751</v>
      </c>
      <c r="AH1306" s="206" t="s">
        <v>751</v>
      </c>
      <c r="AT1306" s="20" t="e">
        <f t="shared" si="323"/>
        <v>#N/A</v>
      </c>
      <c r="BZ1306" s="64">
        <v>4686244.08</v>
      </c>
    </row>
    <row r="1307" spans="1:78" ht="61.5" x14ac:dyDescent="0.85">
      <c r="A1307" s="20">
        <v>1</v>
      </c>
      <c r="B1307" s="60">
        <f>SUBTOTAL(103,$A$1036:A1307)</f>
        <v>219</v>
      </c>
      <c r="C1307" s="101" t="s">
        <v>1367</v>
      </c>
      <c r="D1307" s="31">
        <f>E1307+F1307+G1307+H1307+I1307+J1307+L1307+N1307+P1307+R1307+T1307+U1307+V1307+W1307+X1307+Y1307+Z1307+AA1307+AB1307+AC1307+AD1307+AE1307</f>
        <v>3434659.7399999998</v>
      </c>
      <c r="E1307" s="31">
        <v>0</v>
      </c>
      <c r="F1307" s="31">
        <v>0</v>
      </c>
      <c r="G1307" s="31">
        <v>0</v>
      </c>
      <c r="H1307" s="31">
        <v>0</v>
      </c>
      <c r="I1307" s="31">
        <v>0</v>
      </c>
      <c r="J1307" s="31">
        <v>0</v>
      </c>
      <c r="K1307" s="67">
        <v>0</v>
      </c>
      <c r="L1307" s="31">
        <v>0</v>
      </c>
      <c r="M1307" s="31">
        <v>720</v>
      </c>
      <c r="N1307" s="31">
        <f>2853393.18+1635517.24+885138.58-2118226.6</f>
        <v>3255822.4</v>
      </c>
      <c r="O1307" s="31">
        <v>0</v>
      </c>
      <c r="P1307" s="31">
        <v>0</v>
      </c>
      <c r="Q1307" s="31">
        <v>0</v>
      </c>
      <c r="R1307" s="31">
        <v>0</v>
      </c>
      <c r="S1307" s="31">
        <v>0</v>
      </c>
      <c r="T1307" s="31">
        <v>0</v>
      </c>
      <c r="U1307" s="31">
        <v>0</v>
      </c>
      <c r="V1307" s="31">
        <v>0</v>
      </c>
      <c r="W1307" s="31">
        <v>0</v>
      </c>
      <c r="X1307" s="31">
        <v>0</v>
      </c>
      <c r="Y1307" s="31">
        <v>0</v>
      </c>
      <c r="Z1307" s="31">
        <v>0</v>
      </c>
      <c r="AA1307" s="31">
        <v>0</v>
      </c>
      <c r="AB1307" s="31">
        <v>0</v>
      </c>
      <c r="AC1307" s="31">
        <f>ROUND(N1307*1.5%,2)</f>
        <v>48837.34</v>
      </c>
      <c r="AD1307" s="31">
        <v>130000</v>
      </c>
      <c r="AE1307" s="31">
        <v>0</v>
      </c>
      <c r="AF1307" s="33">
        <v>2022</v>
      </c>
      <c r="AG1307" s="33">
        <v>2022</v>
      </c>
      <c r="AH1307" s="34">
        <v>2022</v>
      </c>
      <c r="AT1307" s="20" t="e">
        <f t="shared" si="323"/>
        <v>#N/A</v>
      </c>
      <c r="BZ1307" s="64"/>
    </row>
    <row r="1308" spans="1:78" ht="61.5" x14ac:dyDescent="0.85">
      <c r="B1308" s="24" t="s">
        <v>861</v>
      </c>
      <c r="C1308" s="24"/>
      <c r="D1308" s="199">
        <f>D1309</f>
        <v>3600600</v>
      </c>
      <c r="E1308" s="31">
        <f t="shared" ref="E1308:AE1308" si="329">E1309</f>
        <v>0</v>
      </c>
      <c r="F1308" s="31">
        <f t="shared" si="329"/>
        <v>0</v>
      </c>
      <c r="G1308" s="31">
        <f t="shared" si="329"/>
        <v>0</v>
      </c>
      <c r="H1308" s="31">
        <f t="shared" si="329"/>
        <v>0</v>
      </c>
      <c r="I1308" s="31">
        <f t="shared" si="329"/>
        <v>0</v>
      </c>
      <c r="J1308" s="31">
        <f t="shared" si="329"/>
        <v>0</v>
      </c>
      <c r="K1308" s="67">
        <f t="shared" si="329"/>
        <v>0</v>
      </c>
      <c r="L1308" s="31">
        <f t="shared" si="329"/>
        <v>0</v>
      </c>
      <c r="M1308" s="31">
        <f t="shared" si="329"/>
        <v>724</v>
      </c>
      <c r="N1308" s="31">
        <f t="shared" si="329"/>
        <v>3399605.91</v>
      </c>
      <c r="O1308" s="31">
        <f t="shared" si="329"/>
        <v>0</v>
      </c>
      <c r="P1308" s="31">
        <f t="shared" si="329"/>
        <v>0</v>
      </c>
      <c r="Q1308" s="31">
        <f t="shared" si="329"/>
        <v>0</v>
      </c>
      <c r="R1308" s="31">
        <f t="shared" si="329"/>
        <v>0</v>
      </c>
      <c r="S1308" s="31">
        <f t="shared" si="329"/>
        <v>0</v>
      </c>
      <c r="T1308" s="31">
        <f t="shared" si="329"/>
        <v>0</v>
      </c>
      <c r="U1308" s="31">
        <f t="shared" si="329"/>
        <v>0</v>
      </c>
      <c r="V1308" s="31">
        <f t="shared" si="329"/>
        <v>0</v>
      </c>
      <c r="W1308" s="31">
        <f t="shared" si="329"/>
        <v>0</v>
      </c>
      <c r="X1308" s="31">
        <f t="shared" si="329"/>
        <v>0</v>
      </c>
      <c r="Y1308" s="31">
        <f t="shared" si="329"/>
        <v>0</v>
      </c>
      <c r="Z1308" s="31">
        <f t="shared" si="329"/>
        <v>0</v>
      </c>
      <c r="AA1308" s="31">
        <f t="shared" si="329"/>
        <v>0</v>
      </c>
      <c r="AB1308" s="31">
        <f t="shared" si="329"/>
        <v>0</v>
      </c>
      <c r="AC1308" s="31">
        <f t="shared" si="329"/>
        <v>50994.09</v>
      </c>
      <c r="AD1308" s="31">
        <f t="shared" si="329"/>
        <v>150000</v>
      </c>
      <c r="AE1308" s="31">
        <f t="shared" si="329"/>
        <v>0</v>
      </c>
      <c r="AF1308" s="205" t="s">
        <v>751</v>
      </c>
      <c r="AG1308" s="205" t="s">
        <v>751</v>
      </c>
      <c r="AH1308" s="206" t="s">
        <v>751</v>
      </c>
      <c r="AT1308" s="20" t="e">
        <f t="shared" si="323"/>
        <v>#N/A</v>
      </c>
      <c r="BZ1308" s="64">
        <v>3600600</v>
      </c>
    </row>
    <row r="1309" spans="1:78" ht="61.5" x14ac:dyDescent="0.85">
      <c r="A1309" s="20">
        <v>1</v>
      </c>
      <c r="B1309" s="60">
        <f>SUBTOTAL(103,$A$1036:A1309)</f>
        <v>220</v>
      </c>
      <c r="C1309" s="101" t="s">
        <v>2288</v>
      </c>
      <c r="D1309" s="31">
        <f>E1309+F1309+G1309+H1309+I1309+J1309+L1309+N1309+P1309+R1309+T1309+U1309+V1309+W1309+X1309+Y1309+Z1309+AA1309+AB1309+AC1309+AD1309+AE1309</f>
        <v>3600600</v>
      </c>
      <c r="E1309" s="31">
        <v>0</v>
      </c>
      <c r="F1309" s="31">
        <v>0</v>
      </c>
      <c r="G1309" s="31">
        <v>0</v>
      </c>
      <c r="H1309" s="31">
        <v>0</v>
      </c>
      <c r="I1309" s="31">
        <v>0</v>
      </c>
      <c r="J1309" s="31">
        <v>0</v>
      </c>
      <c r="K1309" s="67">
        <v>0</v>
      </c>
      <c r="L1309" s="31">
        <v>0</v>
      </c>
      <c r="M1309" s="31">
        <v>724</v>
      </c>
      <c r="N1309" s="31">
        <v>3399605.91</v>
      </c>
      <c r="O1309" s="31">
        <v>0</v>
      </c>
      <c r="P1309" s="31">
        <v>0</v>
      </c>
      <c r="Q1309" s="31">
        <v>0</v>
      </c>
      <c r="R1309" s="31">
        <v>0</v>
      </c>
      <c r="S1309" s="31">
        <v>0</v>
      </c>
      <c r="T1309" s="31">
        <v>0</v>
      </c>
      <c r="U1309" s="31">
        <v>0</v>
      </c>
      <c r="V1309" s="31">
        <v>0</v>
      </c>
      <c r="W1309" s="31">
        <v>0</v>
      </c>
      <c r="X1309" s="31">
        <v>0</v>
      </c>
      <c r="Y1309" s="31">
        <v>0</v>
      </c>
      <c r="Z1309" s="31">
        <v>0</v>
      </c>
      <c r="AA1309" s="31">
        <v>0</v>
      </c>
      <c r="AB1309" s="31">
        <v>0</v>
      </c>
      <c r="AC1309" s="31">
        <f>ROUND((N1309+R1309)*1.5%,2)</f>
        <v>50994.09</v>
      </c>
      <c r="AD1309" s="31">
        <v>150000</v>
      </c>
      <c r="AE1309" s="31">
        <v>0</v>
      </c>
      <c r="AF1309" s="33">
        <v>2022</v>
      </c>
      <c r="AG1309" s="33">
        <v>2022</v>
      </c>
      <c r="AH1309" s="34">
        <v>2022</v>
      </c>
      <c r="AT1309" s="20" t="e">
        <f t="shared" si="323"/>
        <v>#N/A</v>
      </c>
      <c r="BZ1309" s="64"/>
    </row>
    <row r="1310" spans="1:78" ht="61.5" x14ac:dyDescent="0.85">
      <c r="B1310" s="24" t="s">
        <v>880</v>
      </c>
      <c r="C1310" s="24"/>
      <c r="D1310" s="199">
        <f>D1311</f>
        <v>2233993.96</v>
      </c>
      <c r="E1310" s="31">
        <f t="shared" ref="E1310:AE1310" si="330">E1311</f>
        <v>0</v>
      </c>
      <c r="F1310" s="31">
        <f t="shared" si="330"/>
        <v>0</v>
      </c>
      <c r="G1310" s="31">
        <f t="shared" si="330"/>
        <v>0</v>
      </c>
      <c r="H1310" s="31">
        <f t="shared" si="330"/>
        <v>0</v>
      </c>
      <c r="I1310" s="31">
        <f t="shared" si="330"/>
        <v>0</v>
      </c>
      <c r="J1310" s="31">
        <f t="shared" si="330"/>
        <v>0</v>
      </c>
      <c r="K1310" s="67">
        <f t="shared" si="330"/>
        <v>0</v>
      </c>
      <c r="L1310" s="31">
        <f t="shared" si="330"/>
        <v>0</v>
      </c>
      <c r="M1310" s="31">
        <f t="shared" si="330"/>
        <v>376</v>
      </c>
      <c r="N1310" s="31">
        <f t="shared" si="330"/>
        <v>2082752.67</v>
      </c>
      <c r="O1310" s="31">
        <f t="shared" si="330"/>
        <v>0</v>
      </c>
      <c r="P1310" s="31">
        <f t="shared" si="330"/>
        <v>0</v>
      </c>
      <c r="Q1310" s="31">
        <f t="shared" si="330"/>
        <v>0</v>
      </c>
      <c r="R1310" s="31">
        <f t="shared" si="330"/>
        <v>0</v>
      </c>
      <c r="S1310" s="31">
        <f t="shared" si="330"/>
        <v>0</v>
      </c>
      <c r="T1310" s="31">
        <f t="shared" si="330"/>
        <v>0</v>
      </c>
      <c r="U1310" s="31">
        <f t="shared" si="330"/>
        <v>0</v>
      </c>
      <c r="V1310" s="31">
        <f t="shared" si="330"/>
        <v>0</v>
      </c>
      <c r="W1310" s="31">
        <f t="shared" si="330"/>
        <v>0</v>
      </c>
      <c r="X1310" s="31">
        <f t="shared" si="330"/>
        <v>0</v>
      </c>
      <c r="Y1310" s="31">
        <f t="shared" si="330"/>
        <v>0</v>
      </c>
      <c r="Z1310" s="31">
        <f t="shared" si="330"/>
        <v>0</v>
      </c>
      <c r="AA1310" s="31">
        <f t="shared" si="330"/>
        <v>0</v>
      </c>
      <c r="AB1310" s="31">
        <f t="shared" si="330"/>
        <v>0</v>
      </c>
      <c r="AC1310" s="31">
        <f t="shared" si="330"/>
        <v>31241.29</v>
      </c>
      <c r="AD1310" s="31">
        <f t="shared" si="330"/>
        <v>120000</v>
      </c>
      <c r="AE1310" s="31">
        <f t="shared" si="330"/>
        <v>0</v>
      </c>
      <c r="AF1310" s="205" t="s">
        <v>751</v>
      </c>
      <c r="AG1310" s="205" t="s">
        <v>751</v>
      </c>
      <c r="AH1310" s="206" t="s">
        <v>751</v>
      </c>
      <c r="AT1310" s="20" t="e">
        <f t="shared" si="323"/>
        <v>#N/A</v>
      </c>
      <c r="BZ1310" s="64">
        <v>2233993.96</v>
      </c>
    </row>
    <row r="1311" spans="1:78" ht="61.5" x14ac:dyDescent="0.85">
      <c r="A1311" s="20">
        <v>1</v>
      </c>
      <c r="B1311" s="60">
        <f>SUBTOTAL(103,$A$1036:A1311)</f>
        <v>221</v>
      </c>
      <c r="C1311" s="101" t="s">
        <v>196</v>
      </c>
      <c r="D1311" s="31">
        <f>E1311+F1311+G1311+H1311+I1311+J1311+L1311+N1311+P1311+R1311+T1311+U1311+V1311+W1311+X1311+Y1311+Z1311+AA1311+AB1311+AC1311+AD1311+AE1311</f>
        <v>2233993.96</v>
      </c>
      <c r="E1311" s="31">
        <v>0</v>
      </c>
      <c r="F1311" s="31">
        <v>0</v>
      </c>
      <c r="G1311" s="31">
        <v>0</v>
      </c>
      <c r="H1311" s="31">
        <v>0</v>
      </c>
      <c r="I1311" s="31">
        <v>0</v>
      </c>
      <c r="J1311" s="31">
        <v>0</v>
      </c>
      <c r="K1311" s="67">
        <v>0</v>
      </c>
      <c r="L1311" s="31">
        <v>0</v>
      </c>
      <c r="M1311" s="31">
        <v>376</v>
      </c>
      <c r="N1311" s="31">
        <f>1771034.48+311718.19</f>
        <v>2082752.67</v>
      </c>
      <c r="O1311" s="31">
        <v>0</v>
      </c>
      <c r="P1311" s="31">
        <v>0</v>
      </c>
      <c r="Q1311" s="31">
        <v>0</v>
      </c>
      <c r="R1311" s="31">
        <v>0</v>
      </c>
      <c r="S1311" s="31">
        <v>0</v>
      </c>
      <c r="T1311" s="31">
        <v>0</v>
      </c>
      <c r="U1311" s="31">
        <v>0</v>
      </c>
      <c r="V1311" s="31">
        <v>0</v>
      </c>
      <c r="W1311" s="31">
        <v>0</v>
      </c>
      <c r="X1311" s="31">
        <v>0</v>
      </c>
      <c r="Y1311" s="31">
        <v>0</v>
      </c>
      <c r="Z1311" s="31">
        <v>0</v>
      </c>
      <c r="AA1311" s="31">
        <v>0</v>
      </c>
      <c r="AB1311" s="31">
        <v>0</v>
      </c>
      <c r="AC1311" s="31">
        <f>ROUND(N1311*1.5%,2)</f>
        <v>31241.29</v>
      </c>
      <c r="AD1311" s="31">
        <v>120000</v>
      </c>
      <c r="AE1311" s="31">
        <v>0</v>
      </c>
      <c r="AF1311" s="33">
        <v>2022</v>
      </c>
      <c r="AG1311" s="33">
        <v>2022</v>
      </c>
      <c r="AH1311" s="34">
        <v>2022</v>
      </c>
      <c r="AT1311" s="20" t="e">
        <f t="shared" si="323"/>
        <v>#N/A</v>
      </c>
      <c r="BZ1311" s="64"/>
    </row>
    <row r="1312" spans="1:78" ht="61.5" x14ac:dyDescent="0.85">
      <c r="B1312" s="24" t="s">
        <v>862</v>
      </c>
      <c r="C1312" s="198"/>
      <c r="D1312" s="199">
        <f>SUM(D1313:D1315)</f>
        <v>14392200</v>
      </c>
      <c r="E1312" s="31">
        <f t="shared" ref="E1312:AE1312" si="331">SUM(E1313:E1315)</f>
        <v>0</v>
      </c>
      <c r="F1312" s="31">
        <f t="shared" si="331"/>
        <v>0</v>
      </c>
      <c r="G1312" s="31">
        <f t="shared" si="331"/>
        <v>0</v>
      </c>
      <c r="H1312" s="31">
        <f t="shared" si="331"/>
        <v>0</v>
      </c>
      <c r="I1312" s="31">
        <f t="shared" si="331"/>
        <v>0</v>
      </c>
      <c r="J1312" s="31">
        <f t="shared" si="331"/>
        <v>0</v>
      </c>
      <c r="K1312" s="67">
        <f t="shared" si="331"/>
        <v>0</v>
      </c>
      <c r="L1312" s="31">
        <f t="shared" si="331"/>
        <v>0</v>
      </c>
      <c r="M1312" s="31">
        <f t="shared" si="331"/>
        <v>2822</v>
      </c>
      <c r="N1312" s="31">
        <f t="shared" si="331"/>
        <v>13706600.99</v>
      </c>
      <c r="O1312" s="31">
        <f t="shared" si="331"/>
        <v>0</v>
      </c>
      <c r="P1312" s="31">
        <f t="shared" si="331"/>
        <v>0</v>
      </c>
      <c r="Q1312" s="31">
        <f t="shared" si="331"/>
        <v>0</v>
      </c>
      <c r="R1312" s="31">
        <f t="shared" si="331"/>
        <v>0</v>
      </c>
      <c r="S1312" s="31">
        <f t="shared" si="331"/>
        <v>0</v>
      </c>
      <c r="T1312" s="31">
        <f t="shared" si="331"/>
        <v>0</v>
      </c>
      <c r="U1312" s="31">
        <f t="shared" si="331"/>
        <v>0</v>
      </c>
      <c r="V1312" s="31">
        <f t="shared" si="331"/>
        <v>0</v>
      </c>
      <c r="W1312" s="31">
        <f t="shared" si="331"/>
        <v>0</v>
      </c>
      <c r="X1312" s="31">
        <f t="shared" si="331"/>
        <v>0</v>
      </c>
      <c r="Y1312" s="31">
        <f t="shared" si="331"/>
        <v>0</v>
      </c>
      <c r="Z1312" s="31">
        <f t="shared" si="331"/>
        <v>0</v>
      </c>
      <c r="AA1312" s="31">
        <f t="shared" si="331"/>
        <v>0</v>
      </c>
      <c r="AB1312" s="31">
        <f t="shared" si="331"/>
        <v>0</v>
      </c>
      <c r="AC1312" s="31">
        <f t="shared" si="331"/>
        <v>205599.01</v>
      </c>
      <c r="AD1312" s="31">
        <f t="shared" si="331"/>
        <v>480000</v>
      </c>
      <c r="AE1312" s="31">
        <f t="shared" si="331"/>
        <v>0</v>
      </c>
      <c r="AF1312" s="205" t="s">
        <v>751</v>
      </c>
      <c r="AG1312" s="205" t="s">
        <v>751</v>
      </c>
      <c r="AH1312" s="206" t="s">
        <v>751</v>
      </c>
      <c r="AT1312" s="20" t="e">
        <f t="shared" si="323"/>
        <v>#N/A</v>
      </c>
      <c r="BZ1312" s="64">
        <v>14392200</v>
      </c>
    </row>
    <row r="1313" spans="1:224" ht="61.5" x14ac:dyDescent="0.85">
      <c r="A1313" s="20">
        <v>1</v>
      </c>
      <c r="B1313" s="60">
        <f>SUBTOTAL(103,$A$1036:A1313)</f>
        <v>222</v>
      </c>
      <c r="C1313" s="101" t="s">
        <v>213</v>
      </c>
      <c r="D1313" s="31">
        <f>E1313+F1313+G1313+H1313+I1313+J1313+L1313+N1313+P1313+R1313+T1313+U1313+V1313+W1313+X1313+Y1313+Z1313+AA1313+AB1313+AC1313+AD1313+AE1313</f>
        <v>6002700</v>
      </c>
      <c r="E1313" s="31">
        <v>0</v>
      </c>
      <c r="F1313" s="31">
        <v>0</v>
      </c>
      <c r="G1313" s="31">
        <v>0</v>
      </c>
      <c r="H1313" s="31">
        <v>0</v>
      </c>
      <c r="I1313" s="31">
        <v>0</v>
      </c>
      <c r="J1313" s="31">
        <v>0</v>
      </c>
      <c r="K1313" s="67">
        <v>0</v>
      </c>
      <c r="L1313" s="31">
        <v>0</v>
      </c>
      <c r="M1313" s="31">
        <v>1177</v>
      </c>
      <c r="N1313" s="31">
        <v>5736650.25</v>
      </c>
      <c r="O1313" s="31">
        <v>0</v>
      </c>
      <c r="P1313" s="31">
        <v>0</v>
      </c>
      <c r="Q1313" s="31">
        <v>0</v>
      </c>
      <c r="R1313" s="31">
        <v>0</v>
      </c>
      <c r="S1313" s="31">
        <v>0</v>
      </c>
      <c r="T1313" s="31">
        <v>0</v>
      </c>
      <c r="U1313" s="31">
        <v>0</v>
      </c>
      <c r="V1313" s="31">
        <v>0</v>
      </c>
      <c r="W1313" s="31">
        <v>0</v>
      </c>
      <c r="X1313" s="31">
        <v>0</v>
      </c>
      <c r="Y1313" s="31">
        <v>0</v>
      </c>
      <c r="Z1313" s="31">
        <v>0</v>
      </c>
      <c r="AA1313" s="31">
        <v>0</v>
      </c>
      <c r="AB1313" s="31">
        <v>0</v>
      </c>
      <c r="AC1313" s="31">
        <f>ROUND(N1313*1.5%,2)</f>
        <v>86049.75</v>
      </c>
      <c r="AD1313" s="31">
        <v>180000</v>
      </c>
      <c r="AE1313" s="31">
        <v>0</v>
      </c>
      <c r="AF1313" s="33">
        <v>2022</v>
      </c>
      <c r="AG1313" s="33">
        <v>2022</v>
      </c>
      <c r="AH1313" s="34">
        <v>2022</v>
      </c>
      <c r="AT1313" s="20" t="e">
        <f t="shared" si="323"/>
        <v>#N/A</v>
      </c>
      <c r="BZ1313" s="64"/>
    </row>
    <row r="1314" spans="1:224" ht="61.5" x14ac:dyDescent="0.85">
      <c r="A1314" s="20">
        <v>1</v>
      </c>
      <c r="B1314" s="60">
        <f>SUBTOTAL(103,$A$1036:A1314)</f>
        <v>223</v>
      </c>
      <c r="C1314" s="101" t="s">
        <v>214</v>
      </c>
      <c r="D1314" s="31">
        <f>E1314+F1314+G1314+H1314+I1314+J1314+L1314+N1314+P1314+R1314+T1314+U1314+V1314+W1314+X1314+Y1314+Z1314+AA1314+AB1314+AC1314+AD1314+AE1314</f>
        <v>4059600</v>
      </c>
      <c r="E1314" s="31">
        <v>0</v>
      </c>
      <c r="F1314" s="31">
        <v>0</v>
      </c>
      <c r="G1314" s="31">
        <v>0</v>
      </c>
      <c r="H1314" s="31">
        <v>0</v>
      </c>
      <c r="I1314" s="31">
        <v>0</v>
      </c>
      <c r="J1314" s="31">
        <v>0</v>
      </c>
      <c r="K1314" s="67">
        <v>0</v>
      </c>
      <c r="L1314" s="31">
        <v>0</v>
      </c>
      <c r="M1314" s="31">
        <v>796</v>
      </c>
      <c r="N1314" s="31">
        <v>3851822.66</v>
      </c>
      <c r="O1314" s="31">
        <v>0</v>
      </c>
      <c r="P1314" s="31">
        <v>0</v>
      </c>
      <c r="Q1314" s="31">
        <v>0</v>
      </c>
      <c r="R1314" s="31">
        <v>0</v>
      </c>
      <c r="S1314" s="31">
        <v>0</v>
      </c>
      <c r="T1314" s="31">
        <v>0</v>
      </c>
      <c r="U1314" s="31">
        <v>0</v>
      </c>
      <c r="V1314" s="31">
        <v>0</v>
      </c>
      <c r="W1314" s="31">
        <v>0</v>
      </c>
      <c r="X1314" s="31">
        <v>0</v>
      </c>
      <c r="Y1314" s="31">
        <v>0</v>
      </c>
      <c r="Z1314" s="31">
        <v>0</v>
      </c>
      <c r="AA1314" s="31">
        <v>0</v>
      </c>
      <c r="AB1314" s="31">
        <v>0</v>
      </c>
      <c r="AC1314" s="31">
        <f>ROUND(N1314*1.5%,2)</f>
        <v>57777.34</v>
      </c>
      <c r="AD1314" s="31">
        <v>150000</v>
      </c>
      <c r="AE1314" s="31">
        <v>0</v>
      </c>
      <c r="AF1314" s="33">
        <v>2022</v>
      </c>
      <c r="AG1314" s="33">
        <v>2022</v>
      </c>
      <c r="AH1314" s="34">
        <v>2022</v>
      </c>
      <c r="AT1314" s="20" t="e">
        <f t="shared" si="323"/>
        <v>#N/A</v>
      </c>
      <c r="BZ1314" s="64"/>
    </row>
    <row r="1315" spans="1:224" ht="61.5" x14ac:dyDescent="0.85">
      <c r="A1315" s="20">
        <v>1</v>
      </c>
      <c r="B1315" s="60">
        <f>SUBTOTAL(103,$A$1036:A1315)</f>
        <v>224</v>
      </c>
      <c r="C1315" s="101" t="s">
        <v>215</v>
      </c>
      <c r="D1315" s="31">
        <f>E1315+F1315+G1315+H1315+I1315+J1315+L1315+N1315+P1315+R1315+T1315+U1315+V1315+W1315+X1315+Y1315+Z1315+AA1315+AB1315+AC1315+AD1315+AE1315</f>
        <v>4329900</v>
      </c>
      <c r="E1315" s="31">
        <v>0</v>
      </c>
      <c r="F1315" s="31">
        <v>0</v>
      </c>
      <c r="G1315" s="31">
        <v>0</v>
      </c>
      <c r="H1315" s="31">
        <v>0</v>
      </c>
      <c r="I1315" s="31">
        <v>0</v>
      </c>
      <c r="J1315" s="31">
        <v>0</v>
      </c>
      <c r="K1315" s="67">
        <v>0</v>
      </c>
      <c r="L1315" s="31">
        <v>0</v>
      </c>
      <c r="M1315" s="31">
        <v>849</v>
      </c>
      <c r="N1315" s="31">
        <v>4118128.08</v>
      </c>
      <c r="O1315" s="31">
        <v>0</v>
      </c>
      <c r="P1315" s="31">
        <v>0</v>
      </c>
      <c r="Q1315" s="31">
        <v>0</v>
      </c>
      <c r="R1315" s="31">
        <v>0</v>
      </c>
      <c r="S1315" s="31">
        <v>0</v>
      </c>
      <c r="T1315" s="31">
        <v>0</v>
      </c>
      <c r="U1315" s="31">
        <v>0</v>
      </c>
      <c r="V1315" s="31">
        <v>0</v>
      </c>
      <c r="W1315" s="31">
        <v>0</v>
      </c>
      <c r="X1315" s="31">
        <v>0</v>
      </c>
      <c r="Y1315" s="31">
        <v>0</v>
      </c>
      <c r="Z1315" s="31">
        <v>0</v>
      </c>
      <c r="AA1315" s="31">
        <v>0</v>
      </c>
      <c r="AB1315" s="31">
        <v>0</v>
      </c>
      <c r="AC1315" s="31">
        <f>ROUND(N1315*1.5%,2)</f>
        <v>61771.92</v>
      </c>
      <c r="AD1315" s="31">
        <v>150000</v>
      </c>
      <c r="AE1315" s="31">
        <v>0</v>
      </c>
      <c r="AF1315" s="33">
        <v>2022</v>
      </c>
      <c r="AG1315" s="33">
        <v>2022</v>
      </c>
      <c r="AH1315" s="34">
        <v>2022</v>
      </c>
      <c r="AT1315" s="20" t="e">
        <f t="shared" si="323"/>
        <v>#N/A</v>
      </c>
      <c r="BZ1315" s="64"/>
    </row>
    <row r="1316" spans="1:224" ht="61.5" x14ac:dyDescent="0.85">
      <c r="B1316" s="24" t="s">
        <v>863</v>
      </c>
      <c r="C1316" s="24"/>
      <c r="D1316" s="199">
        <f>D1317</f>
        <v>3396600</v>
      </c>
      <c r="E1316" s="31">
        <f t="shared" ref="E1316:AE1316" si="332">E1317</f>
        <v>0</v>
      </c>
      <c r="F1316" s="31">
        <f t="shared" si="332"/>
        <v>0</v>
      </c>
      <c r="G1316" s="31">
        <f t="shared" si="332"/>
        <v>0</v>
      </c>
      <c r="H1316" s="31">
        <f t="shared" si="332"/>
        <v>0</v>
      </c>
      <c r="I1316" s="31">
        <f t="shared" si="332"/>
        <v>0</v>
      </c>
      <c r="J1316" s="31">
        <f t="shared" si="332"/>
        <v>0</v>
      </c>
      <c r="K1316" s="67">
        <f t="shared" si="332"/>
        <v>0</v>
      </c>
      <c r="L1316" s="31">
        <f t="shared" si="332"/>
        <v>0</v>
      </c>
      <c r="M1316" s="31">
        <f t="shared" si="332"/>
        <v>666</v>
      </c>
      <c r="N1316" s="31">
        <f t="shared" si="332"/>
        <v>3198620.69</v>
      </c>
      <c r="O1316" s="31">
        <f t="shared" si="332"/>
        <v>0</v>
      </c>
      <c r="P1316" s="31">
        <f t="shared" si="332"/>
        <v>0</v>
      </c>
      <c r="Q1316" s="31">
        <f t="shared" si="332"/>
        <v>0</v>
      </c>
      <c r="R1316" s="31">
        <f t="shared" si="332"/>
        <v>0</v>
      </c>
      <c r="S1316" s="31">
        <f t="shared" si="332"/>
        <v>0</v>
      </c>
      <c r="T1316" s="31">
        <f t="shared" si="332"/>
        <v>0</v>
      </c>
      <c r="U1316" s="31">
        <f t="shared" si="332"/>
        <v>0</v>
      </c>
      <c r="V1316" s="31">
        <f t="shared" si="332"/>
        <v>0</v>
      </c>
      <c r="W1316" s="31">
        <f t="shared" si="332"/>
        <v>0</v>
      </c>
      <c r="X1316" s="31">
        <f t="shared" si="332"/>
        <v>0</v>
      </c>
      <c r="Y1316" s="31">
        <f t="shared" si="332"/>
        <v>0</v>
      </c>
      <c r="Z1316" s="31">
        <f t="shared" si="332"/>
        <v>0</v>
      </c>
      <c r="AA1316" s="31">
        <f t="shared" si="332"/>
        <v>0</v>
      </c>
      <c r="AB1316" s="31">
        <f t="shared" si="332"/>
        <v>0</v>
      </c>
      <c r="AC1316" s="31">
        <f t="shared" si="332"/>
        <v>47979.31</v>
      </c>
      <c r="AD1316" s="31">
        <f t="shared" si="332"/>
        <v>150000</v>
      </c>
      <c r="AE1316" s="31">
        <f t="shared" si="332"/>
        <v>0</v>
      </c>
      <c r="AF1316" s="205" t="s">
        <v>751</v>
      </c>
      <c r="AG1316" s="205" t="s">
        <v>751</v>
      </c>
      <c r="AH1316" s="206" t="s">
        <v>751</v>
      </c>
      <c r="AT1316" s="20" t="e">
        <f t="shared" si="323"/>
        <v>#N/A</v>
      </c>
      <c r="BZ1316" s="64">
        <v>3396600</v>
      </c>
    </row>
    <row r="1317" spans="1:224" ht="61.5" x14ac:dyDescent="0.85">
      <c r="A1317" s="20">
        <v>1</v>
      </c>
      <c r="B1317" s="60">
        <f>SUBTOTAL(103,$A$1036:A1317)</f>
        <v>225</v>
      </c>
      <c r="C1317" s="101" t="s">
        <v>221</v>
      </c>
      <c r="D1317" s="31">
        <f>E1317+F1317+G1317+H1317+I1317+J1317+L1317+N1317+P1317+R1317+T1317+U1317+V1317+W1317+X1317+Y1317+Z1317+AA1317+AB1317+AC1317+AD1317+AE1317</f>
        <v>3396600</v>
      </c>
      <c r="E1317" s="31">
        <v>0</v>
      </c>
      <c r="F1317" s="31">
        <v>0</v>
      </c>
      <c r="G1317" s="31">
        <v>0</v>
      </c>
      <c r="H1317" s="31">
        <v>0</v>
      </c>
      <c r="I1317" s="31">
        <v>0</v>
      </c>
      <c r="J1317" s="31">
        <v>0</v>
      </c>
      <c r="K1317" s="67">
        <v>0</v>
      </c>
      <c r="L1317" s="31">
        <v>0</v>
      </c>
      <c r="M1317" s="31">
        <v>666</v>
      </c>
      <c r="N1317" s="31">
        <v>3198620.69</v>
      </c>
      <c r="O1317" s="31">
        <v>0</v>
      </c>
      <c r="P1317" s="31">
        <v>0</v>
      </c>
      <c r="Q1317" s="31">
        <v>0</v>
      </c>
      <c r="R1317" s="31">
        <v>0</v>
      </c>
      <c r="S1317" s="31">
        <v>0</v>
      </c>
      <c r="T1317" s="31">
        <v>0</v>
      </c>
      <c r="U1317" s="31">
        <v>0</v>
      </c>
      <c r="V1317" s="31">
        <v>0</v>
      </c>
      <c r="W1317" s="31">
        <v>0</v>
      </c>
      <c r="X1317" s="31">
        <v>0</v>
      </c>
      <c r="Y1317" s="31">
        <v>0</v>
      </c>
      <c r="Z1317" s="31">
        <v>0</v>
      </c>
      <c r="AA1317" s="31">
        <v>0</v>
      </c>
      <c r="AB1317" s="31">
        <v>0</v>
      </c>
      <c r="AC1317" s="31">
        <f>ROUND(N1317*1.5%,2)</f>
        <v>47979.31</v>
      </c>
      <c r="AD1317" s="31">
        <v>150000</v>
      </c>
      <c r="AE1317" s="31">
        <v>0</v>
      </c>
      <c r="AF1317" s="33">
        <v>2022</v>
      </c>
      <c r="AG1317" s="33">
        <v>2022</v>
      </c>
      <c r="AH1317" s="34">
        <v>2022</v>
      </c>
      <c r="AT1317" s="20">
        <f t="shared" si="323"/>
        <v>1</v>
      </c>
      <c r="BZ1317" s="64"/>
    </row>
    <row r="1318" spans="1:224" s="207" customFormat="1" ht="189" customHeight="1" x14ac:dyDescent="0.3">
      <c r="B1318" s="300" t="s">
        <v>1659</v>
      </c>
      <c r="C1318" s="301"/>
      <c r="D1318" s="301"/>
      <c r="E1318" s="301"/>
      <c r="F1318" s="301"/>
      <c r="G1318" s="301"/>
      <c r="H1318" s="301"/>
      <c r="I1318" s="301"/>
      <c r="J1318" s="301"/>
      <c r="K1318" s="301"/>
      <c r="L1318" s="301"/>
      <c r="M1318" s="301"/>
      <c r="N1318" s="301"/>
      <c r="O1318" s="301"/>
      <c r="P1318" s="301"/>
      <c r="Q1318" s="301"/>
      <c r="R1318" s="301"/>
      <c r="S1318" s="301"/>
      <c r="T1318" s="301"/>
      <c r="U1318" s="301"/>
      <c r="V1318" s="301"/>
      <c r="W1318" s="301"/>
      <c r="X1318" s="301"/>
      <c r="Y1318" s="301"/>
      <c r="Z1318" s="301"/>
      <c r="AA1318" s="301"/>
      <c r="AB1318" s="301"/>
      <c r="AC1318" s="301"/>
      <c r="AD1318" s="301"/>
      <c r="AE1318" s="301"/>
      <c r="AF1318" s="301"/>
      <c r="AG1318" s="301"/>
      <c r="AH1318" s="302"/>
      <c r="AI1318" s="104"/>
      <c r="AJ1318" s="105"/>
      <c r="AK1318" s="104"/>
      <c r="AL1318" s="104"/>
      <c r="AM1318" s="104"/>
      <c r="BR1318" s="208"/>
      <c r="CH1318" s="208" t="e">
        <f>VLOOKUP(C1318,CJ:CK,2,FALSE)</f>
        <v>#N/A</v>
      </c>
      <c r="CK1318" s="208" t="e">
        <f>VLOOKUP(C1318,CM:CN,2,FALSE)</f>
        <v>#N/A</v>
      </c>
      <c r="EU1318" s="208" t="e">
        <f>VLOOKUP(C1318,EY:EZ,2,FALSE)</f>
        <v>#N/A</v>
      </c>
      <c r="HO1318" s="207" t="s">
        <v>1653</v>
      </c>
      <c r="HP1318" s="207">
        <v>50864.91</v>
      </c>
    </row>
    <row r="1319" spans="1:224" s="207" customFormat="1" ht="189" customHeight="1" x14ac:dyDescent="0.3">
      <c r="B1319" s="303" t="s">
        <v>1667</v>
      </c>
      <c r="C1319" s="304"/>
      <c r="D1319" s="304"/>
      <c r="E1319" s="304"/>
      <c r="F1319" s="304"/>
      <c r="G1319" s="304"/>
      <c r="H1319" s="304"/>
      <c r="I1319" s="304"/>
      <c r="J1319" s="304"/>
      <c r="K1319" s="304"/>
      <c r="L1319" s="304"/>
      <c r="M1319" s="304"/>
      <c r="N1319" s="304"/>
      <c r="O1319" s="304"/>
      <c r="P1319" s="304"/>
      <c r="Q1319" s="304"/>
      <c r="R1319" s="304"/>
      <c r="S1319" s="304"/>
      <c r="T1319" s="304"/>
      <c r="U1319" s="304"/>
      <c r="V1319" s="304"/>
      <c r="W1319" s="304"/>
      <c r="X1319" s="304"/>
      <c r="Y1319" s="304"/>
      <c r="Z1319" s="304"/>
      <c r="AA1319" s="304"/>
      <c r="AB1319" s="304"/>
      <c r="AC1319" s="304"/>
      <c r="AD1319" s="304"/>
      <c r="AE1319" s="304"/>
      <c r="AF1319" s="304"/>
      <c r="AG1319" s="304"/>
      <c r="AH1319" s="305"/>
      <c r="AI1319" s="106"/>
      <c r="AJ1319" s="107"/>
      <c r="AK1319" s="106"/>
      <c r="AL1319" s="106"/>
      <c r="AM1319" s="106"/>
      <c r="HO1319" s="207" t="s">
        <v>1654</v>
      </c>
      <c r="HP1319" s="207">
        <v>47587.5</v>
      </c>
    </row>
    <row r="1320" spans="1:224" s="209" customFormat="1" ht="76.5" x14ac:dyDescent="0.25">
      <c r="B1320" s="298" t="s">
        <v>2449</v>
      </c>
      <c r="C1320" s="299"/>
      <c r="D1320" s="116">
        <f>D1321+D1328</f>
        <v>13564009.73</v>
      </c>
      <c r="E1320" s="108">
        <f t="shared" ref="E1320:AE1320" si="333">E1321+E1328</f>
        <v>0</v>
      </c>
      <c r="F1320" s="108">
        <f t="shared" si="333"/>
        <v>0</v>
      </c>
      <c r="G1320" s="108">
        <f t="shared" si="333"/>
        <v>0</v>
      </c>
      <c r="H1320" s="108">
        <f t="shared" si="333"/>
        <v>0</v>
      </c>
      <c r="I1320" s="108">
        <f t="shared" si="333"/>
        <v>0</v>
      </c>
      <c r="J1320" s="108">
        <f t="shared" si="333"/>
        <v>0</v>
      </c>
      <c r="K1320" s="109">
        <f t="shared" si="333"/>
        <v>0</v>
      </c>
      <c r="L1320" s="108">
        <f t="shared" si="333"/>
        <v>0</v>
      </c>
      <c r="M1320" s="108">
        <f t="shared" si="333"/>
        <v>3392.8999999999996</v>
      </c>
      <c r="N1320" s="108">
        <f t="shared" si="333"/>
        <v>13424873.35</v>
      </c>
      <c r="O1320" s="108">
        <f t="shared" si="333"/>
        <v>0</v>
      </c>
      <c r="P1320" s="108">
        <f t="shared" si="333"/>
        <v>0</v>
      </c>
      <c r="Q1320" s="108">
        <f t="shared" si="333"/>
        <v>0</v>
      </c>
      <c r="R1320" s="108">
        <f t="shared" si="333"/>
        <v>0</v>
      </c>
      <c r="S1320" s="108">
        <f t="shared" si="333"/>
        <v>0</v>
      </c>
      <c r="T1320" s="108">
        <f t="shared" si="333"/>
        <v>0</v>
      </c>
      <c r="U1320" s="108">
        <f t="shared" si="333"/>
        <v>0</v>
      </c>
      <c r="V1320" s="108">
        <f t="shared" si="333"/>
        <v>0</v>
      </c>
      <c r="W1320" s="108">
        <f t="shared" si="333"/>
        <v>0</v>
      </c>
      <c r="X1320" s="108">
        <f t="shared" si="333"/>
        <v>0</v>
      </c>
      <c r="Y1320" s="108">
        <f t="shared" si="333"/>
        <v>0</v>
      </c>
      <c r="Z1320" s="108">
        <f t="shared" si="333"/>
        <v>0</v>
      </c>
      <c r="AA1320" s="108">
        <f t="shared" si="333"/>
        <v>0</v>
      </c>
      <c r="AB1320" s="108">
        <f t="shared" si="333"/>
        <v>0</v>
      </c>
      <c r="AC1320" s="108">
        <f t="shared" si="333"/>
        <v>139136.38</v>
      </c>
      <c r="AD1320" s="108">
        <f t="shared" si="333"/>
        <v>0</v>
      </c>
      <c r="AE1320" s="108">
        <f t="shared" si="333"/>
        <v>0</v>
      </c>
      <c r="AF1320" s="110" t="s">
        <v>1655</v>
      </c>
      <c r="AG1320" s="110" t="s">
        <v>1655</v>
      </c>
      <c r="AH1320" s="110" t="s">
        <v>1655</v>
      </c>
      <c r="AI1320" s="111"/>
      <c r="AJ1320" s="105"/>
      <c r="AK1320" s="111"/>
      <c r="AL1320" s="111"/>
      <c r="AM1320" s="111"/>
      <c r="HO1320" s="209" t="s">
        <v>1656</v>
      </c>
      <c r="HP1320" s="209">
        <v>53254.36</v>
      </c>
    </row>
    <row r="1321" spans="1:224" s="209" customFormat="1" ht="76.5" x14ac:dyDescent="0.25">
      <c r="B1321" s="298" t="s">
        <v>1660</v>
      </c>
      <c r="C1321" s="299"/>
      <c r="D1321" s="116">
        <f>D1322+D1324+D1326</f>
        <v>7034201.7300000004</v>
      </c>
      <c r="E1321" s="108">
        <f t="shared" ref="E1321:AE1321" si="334">E1322+E1326+E1324</f>
        <v>0</v>
      </c>
      <c r="F1321" s="108">
        <f t="shared" si="334"/>
        <v>0</v>
      </c>
      <c r="G1321" s="108">
        <f t="shared" si="334"/>
        <v>0</v>
      </c>
      <c r="H1321" s="108">
        <f t="shared" si="334"/>
        <v>0</v>
      </c>
      <c r="I1321" s="108">
        <f t="shared" si="334"/>
        <v>0</v>
      </c>
      <c r="J1321" s="108">
        <f t="shared" si="334"/>
        <v>0</v>
      </c>
      <c r="K1321" s="109">
        <f t="shared" si="334"/>
        <v>0</v>
      </c>
      <c r="L1321" s="108">
        <f t="shared" si="334"/>
        <v>0</v>
      </c>
      <c r="M1321" s="108">
        <f t="shared" si="334"/>
        <v>1981.3</v>
      </c>
      <c r="N1321" s="108">
        <f t="shared" si="334"/>
        <v>6992437.3499999996</v>
      </c>
      <c r="O1321" s="108">
        <f t="shared" si="334"/>
        <v>0</v>
      </c>
      <c r="P1321" s="108">
        <f t="shared" si="334"/>
        <v>0</v>
      </c>
      <c r="Q1321" s="108">
        <f t="shared" si="334"/>
        <v>0</v>
      </c>
      <c r="R1321" s="108">
        <f t="shared" si="334"/>
        <v>0</v>
      </c>
      <c r="S1321" s="108">
        <f t="shared" si="334"/>
        <v>0</v>
      </c>
      <c r="T1321" s="108">
        <f t="shared" si="334"/>
        <v>0</v>
      </c>
      <c r="U1321" s="108">
        <f t="shared" si="334"/>
        <v>0</v>
      </c>
      <c r="V1321" s="108">
        <f t="shared" si="334"/>
        <v>0</v>
      </c>
      <c r="W1321" s="108">
        <f t="shared" si="334"/>
        <v>0</v>
      </c>
      <c r="X1321" s="108">
        <f t="shared" si="334"/>
        <v>0</v>
      </c>
      <c r="Y1321" s="108">
        <f t="shared" si="334"/>
        <v>0</v>
      </c>
      <c r="Z1321" s="108">
        <f t="shared" si="334"/>
        <v>0</v>
      </c>
      <c r="AA1321" s="108">
        <f t="shared" si="334"/>
        <v>0</v>
      </c>
      <c r="AB1321" s="108">
        <f t="shared" si="334"/>
        <v>0</v>
      </c>
      <c r="AC1321" s="108">
        <f t="shared" si="334"/>
        <v>41764.380000000005</v>
      </c>
      <c r="AD1321" s="108">
        <f t="shared" si="334"/>
        <v>0</v>
      </c>
      <c r="AE1321" s="108">
        <f t="shared" si="334"/>
        <v>0</v>
      </c>
      <c r="AF1321" s="110" t="s">
        <v>1655</v>
      </c>
      <c r="AG1321" s="110" t="s">
        <v>1655</v>
      </c>
      <c r="AH1321" s="110" t="s">
        <v>1655</v>
      </c>
      <c r="AI1321" s="111"/>
      <c r="AJ1321" s="105"/>
      <c r="AK1321" s="111"/>
      <c r="AL1321" s="111"/>
      <c r="AM1321" s="111"/>
      <c r="HO1321" s="209" t="s">
        <v>1656</v>
      </c>
      <c r="HP1321" s="209">
        <v>53254.36</v>
      </c>
    </row>
    <row r="1322" spans="1:224" s="209" customFormat="1" ht="76.5" x14ac:dyDescent="0.25">
      <c r="B1322" s="112" t="s">
        <v>862</v>
      </c>
      <c r="C1322" s="25"/>
      <c r="D1322" s="116">
        <f t="shared" ref="D1322:D1327" si="335">E1322+F1322+G1322+H1322+I1322+J1322+L1322+N1322+P1322+R1322+T1322+U1322+V1322+W1322+X1322+Y1322+Z1322+AA1322+AB1322+AC1322+AD1322+AE1322</f>
        <v>1836114.4000000001</v>
      </c>
      <c r="E1322" s="108">
        <f t="shared" ref="E1322:AE1324" si="336">SUM(E1323:E1323)</f>
        <v>0</v>
      </c>
      <c r="F1322" s="108">
        <f t="shared" si="336"/>
        <v>0</v>
      </c>
      <c r="G1322" s="108">
        <f t="shared" si="336"/>
        <v>0</v>
      </c>
      <c r="H1322" s="108">
        <f t="shared" si="336"/>
        <v>0</v>
      </c>
      <c r="I1322" s="108">
        <f t="shared" si="336"/>
        <v>0</v>
      </c>
      <c r="J1322" s="108">
        <f t="shared" si="336"/>
        <v>0</v>
      </c>
      <c r="K1322" s="109">
        <f t="shared" si="336"/>
        <v>0</v>
      </c>
      <c r="L1322" s="108">
        <f t="shared" si="336"/>
        <v>0</v>
      </c>
      <c r="M1322" s="108">
        <f t="shared" si="336"/>
        <v>454</v>
      </c>
      <c r="N1322" s="108">
        <f t="shared" si="336"/>
        <v>1810719.07</v>
      </c>
      <c r="O1322" s="108">
        <f t="shared" si="336"/>
        <v>0</v>
      </c>
      <c r="P1322" s="108">
        <f t="shared" si="336"/>
        <v>0</v>
      </c>
      <c r="Q1322" s="108">
        <f t="shared" si="336"/>
        <v>0</v>
      </c>
      <c r="R1322" s="108">
        <f t="shared" si="336"/>
        <v>0</v>
      </c>
      <c r="S1322" s="108">
        <f t="shared" si="336"/>
        <v>0</v>
      </c>
      <c r="T1322" s="108">
        <f t="shared" si="336"/>
        <v>0</v>
      </c>
      <c r="U1322" s="108">
        <f t="shared" si="336"/>
        <v>0</v>
      </c>
      <c r="V1322" s="108">
        <f t="shared" si="336"/>
        <v>0</v>
      </c>
      <c r="W1322" s="108">
        <f t="shared" si="336"/>
        <v>0</v>
      </c>
      <c r="X1322" s="108">
        <f t="shared" si="336"/>
        <v>0</v>
      </c>
      <c r="Y1322" s="108">
        <f t="shared" si="336"/>
        <v>0</v>
      </c>
      <c r="Z1322" s="108">
        <f t="shared" si="336"/>
        <v>0</v>
      </c>
      <c r="AA1322" s="108">
        <f t="shared" si="336"/>
        <v>0</v>
      </c>
      <c r="AB1322" s="108">
        <f t="shared" si="336"/>
        <v>0</v>
      </c>
      <c r="AC1322" s="108">
        <f t="shared" si="336"/>
        <v>25395.33</v>
      </c>
      <c r="AD1322" s="108">
        <f t="shared" si="336"/>
        <v>0</v>
      </c>
      <c r="AE1322" s="108">
        <f t="shared" si="336"/>
        <v>0</v>
      </c>
      <c r="AF1322" s="110" t="s">
        <v>1655</v>
      </c>
      <c r="AG1322" s="110" t="s">
        <v>1655</v>
      </c>
      <c r="AH1322" s="110" t="s">
        <v>1655</v>
      </c>
      <c r="AI1322" s="105"/>
      <c r="AJ1322" s="107"/>
      <c r="AK1322" s="113"/>
      <c r="AL1322" s="105"/>
      <c r="AM1322" s="105"/>
      <c r="AR1322" s="210"/>
      <c r="AS1322" s="158"/>
      <c r="BF1322" s="208"/>
      <c r="BR1322" s="208"/>
      <c r="BU1322" s="158"/>
      <c r="CH1322" s="208"/>
      <c r="CK1322" s="208"/>
      <c r="EJ1322" s="158"/>
      <c r="EL1322" s="158"/>
      <c r="EU1322" s="208"/>
      <c r="FI1322" s="158"/>
      <c r="FL1322" s="211"/>
      <c r="FM1322" s="158"/>
      <c r="FV1322" s="208"/>
      <c r="GN1322" s="212"/>
      <c r="GX1322" s="208"/>
      <c r="GZ1322" s="158"/>
      <c r="HB1322" s="208"/>
      <c r="HO1322" s="209" t="s">
        <v>1657</v>
      </c>
      <c r="HP1322" s="209">
        <v>44890.35</v>
      </c>
    </row>
    <row r="1323" spans="1:224" s="209" customFormat="1" ht="63" x14ac:dyDescent="0.25">
      <c r="A1323" s="208"/>
      <c r="B1323" s="114">
        <v>1</v>
      </c>
      <c r="C1323" s="25" t="s">
        <v>1661</v>
      </c>
      <c r="D1323" s="116">
        <f t="shared" si="335"/>
        <v>1836114.4000000001</v>
      </c>
      <c r="E1323" s="115">
        <v>0</v>
      </c>
      <c r="F1323" s="116">
        <v>0</v>
      </c>
      <c r="G1323" s="116">
        <v>0</v>
      </c>
      <c r="H1323" s="116">
        <v>0</v>
      </c>
      <c r="I1323" s="116">
        <v>0</v>
      </c>
      <c r="J1323" s="116">
        <v>0</v>
      </c>
      <c r="K1323" s="109">
        <v>0</v>
      </c>
      <c r="L1323" s="116">
        <v>0</v>
      </c>
      <c r="M1323" s="213">
        <v>454</v>
      </c>
      <c r="N1323" s="213">
        <v>1810719.07</v>
      </c>
      <c r="O1323" s="116">
        <v>0</v>
      </c>
      <c r="P1323" s="116">
        <v>0</v>
      </c>
      <c r="Q1323" s="116">
        <v>0</v>
      </c>
      <c r="R1323" s="116">
        <v>0</v>
      </c>
      <c r="S1323" s="116">
        <v>0</v>
      </c>
      <c r="T1323" s="116">
        <v>0</v>
      </c>
      <c r="U1323" s="116">
        <v>0</v>
      </c>
      <c r="V1323" s="116">
        <v>0</v>
      </c>
      <c r="W1323" s="116">
        <v>0</v>
      </c>
      <c r="X1323" s="116">
        <v>0</v>
      </c>
      <c r="Y1323" s="116">
        <v>0</v>
      </c>
      <c r="Z1323" s="116">
        <v>0</v>
      </c>
      <c r="AA1323" s="116">
        <v>0</v>
      </c>
      <c r="AB1323" s="116">
        <v>0</v>
      </c>
      <c r="AC1323" s="213">
        <v>25395.33</v>
      </c>
      <c r="AD1323" s="116">
        <v>0</v>
      </c>
      <c r="AE1323" s="116">
        <v>0</v>
      </c>
      <c r="AF1323" s="189" t="s">
        <v>268</v>
      </c>
      <c r="AG1323" s="189">
        <v>2020</v>
      </c>
      <c r="AH1323" s="189">
        <v>2020</v>
      </c>
      <c r="AI1323" s="105"/>
      <c r="AJ1323" s="105"/>
      <c r="AK1323" s="113"/>
      <c r="AL1323" s="105"/>
      <c r="AM1323" s="105"/>
      <c r="AR1323" s="210"/>
      <c r="AS1323" s="158"/>
      <c r="BF1323" s="208"/>
      <c r="BR1323" s="208"/>
      <c r="BU1323" s="158"/>
      <c r="CH1323" s="208"/>
      <c r="CK1323" s="208"/>
      <c r="EJ1323" s="158"/>
      <c r="EL1323" s="158"/>
      <c r="EU1323" s="208"/>
      <c r="FI1323" s="158"/>
      <c r="FL1323" s="158"/>
      <c r="FM1323" s="158"/>
      <c r="FV1323" s="208"/>
      <c r="GN1323" s="212"/>
      <c r="GX1323" s="208"/>
      <c r="GZ1323" s="158"/>
      <c r="HO1323" s="209" t="s">
        <v>1658</v>
      </c>
      <c r="HP1323" s="209">
        <v>52429.26</v>
      </c>
    </row>
    <row r="1324" spans="1:224" s="209" customFormat="1" ht="76.5" x14ac:dyDescent="0.25">
      <c r="B1324" s="112" t="s">
        <v>815</v>
      </c>
      <c r="C1324" s="25"/>
      <c r="D1324" s="116">
        <f t="shared" si="335"/>
        <v>2643881</v>
      </c>
      <c r="E1324" s="108">
        <f t="shared" si="336"/>
        <v>0</v>
      </c>
      <c r="F1324" s="108">
        <f t="shared" si="336"/>
        <v>0</v>
      </c>
      <c r="G1324" s="108">
        <f t="shared" si="336"/>
        <v>0</v>
      </c>
      <c r="H1324" s="108">
        <f t="shared" si="336"/>
        <v>0</v>
      </c>
      <c r="I1324" s="108">
        <f t="shared" si="336"/>
        <v>0</v>
      </c>
      <c r="J1324" s="108">
        <f t="shared" si="336"/>
        <v>0</v>
      </c>
      <c r="K1324" s="109">
        <f t="shared" si="336"/>
        <v>0</v>
      </c>
      <c r="L1324" s="108">
        <f t="shared" si="336"/>
        <v>0</v>
      </c>
      <c r="M1324" s="108">
        <f t="shared" si="336"/>
        <v>720</v>
      </c>
      <c r="N1324" s="108">
        <f t="shared" si="336"/>
        <v>2643881</v>
      </c>
      <c r="O1324" s="108">
        <f t="shared" si="336"/>
        <v>0</v>
      </c>
      <c r="P1324" s="108">
        <f t="shared" si="336"/>
        <v>0</v>
      </c>
      <c r="Q1324" s="108">
        <f t="shared" si="336"/>
        <v>0</v>
      </c>
      <c r="R1324" s="108">
        <f t="shared" si="336"/>
        <v>0</v>
      </c>
      <c r="S1324" s="108">
        <f t="shared" si="336"/>
        <v>0</v>
      </c>
      <c r="T1324" s="108">
        <f t="shared" si="336"/>
        <v>0</v>
      </c>
      <c r="U1324" s="108">
        <f t="shared" si="336"/>
        <v>0</v>
      </c>
      <c r="V1324" s="108">
        <f t="shared" si="336"/>
        <v>0</v>
      </c>
      <c r="W1324" s="108">
        <f t="shared" si="336"/>
        <v>0</v>
      </c>
      <c r="X1324" s="108">
        <f t="shared" si="336"/>
        <v>0</v>
      </c>
      <c r="Y1324" s="108">
        <f t="shared" si="336"/>
        <v>0</v>
      </c>
      <c r="Z1324" s="108">
        <f t="shared" si="336"/>
        <v>0</v>
      </c>
      <c r="AA1324" s="108">
        <f t="shared" si="336"/>
        <v>0</v>
      </c>
      <c r="AB1324" s="108">
        <f t="shared" si="336"/>
        <v>0</v>
      </c>
      <c r="AC1324" s="108">
        <f t="shared" si="336"/>
        <v>0</v>
      </c>
      <c r="AD1324" s="108">
        <f t="shared" si="336"/>
        <v>0</v>
      </c>
      <c r="AE1324" s="108">
        <f t="shared" si="336"/>
        <v>0</v>
      </c>
      <c r="AF1324" s="110" t="s">
        <v>1655</v>
      </c>
      <c r="AG1324" s="110" t="s">
        <v>1655</v>
      </c>
      <c r="AH1324" s="110" t="s">
        <v>1655</v>
      </c>
      <c r="AI1324" s="105"/>
      <c r="AJ1324" s="107"/>
      <c r="AK1324" s="113"/>
      <c r="AL1324" s="105"/>
      <c r="AM1324" s="105"/>
      <c r="AR1324" s="210"/>
      <c r="AS1324" s="158"/>
      <c r="BF1324" s="208"/>
      <c r="BR1324" s="208"/>
      <c r="BU1324" s="158"/>
      <c r="CH1324" s="208"/>
      <c r="CK1324" s="208"/>
      <c r="EJ1324" s="158"/>
      <c r="EL1324" s="158"/>
      <c r="EU1324" s="208"/>
      <c r="FI1324" s="158"/>
      <c r="FL1324" s="211"/>
      <c r="FM1324" s="158"/>
      <c r="FV1324" s="208"/>
      <c r="GN1324" s="212"/>
      <c r="GX1324" s="208"/>
      <c r="GZ1324" s="158"/>
      <c r="HB1324" s="208"/>
      <c r="HO1324" s="209" t="s">
        <v>1657</v>
      </c>
      <c r="HP1324" s="209">
        <v>44890.35</v>
      </c>
    </row>
    <row r="1325" spans="1:224" s="208" customFormat="1" ht="76.5" customHeight="1" x14ac:dyDescent="0.25">
      <c r="B1325" s="114">
        <v>2</v>
      </c>
      <c r="C1325" s="101" t="s">
        <v>1686</v>
      </c>
      <c r="D1325" s="116">
        <f t="shared" si="335"/>
        <v>2643881</v>
      </c>
      <c r="E1325" s="115">
        <v>0</v>
      </c>
      <c r="F1325" s="116">
        <v>0</v>
      </c>
      <c r="G1325" s="116">
        <v>0</v>
      </c>
      <c r="H1325" s="116">
        <v>0</v>
      </c>
      <c r="I1325" s="116">
        <v>0</v>
      </c>
      <c r="J1325" s="116">
        <v>0</v>
      </c>
      <c r="K1325" s="109">
        <v>0</v>
      </c>
      <c r="L1325" s="116">
        <v>0</v>
      </c>
      <c r="M1325" s="213">
        <v>720</v>
      </c>
      <c r="N1325" s="213">
        <v>2643881</v>
      </c>
      <c r="O1325" s="116">
        <v>0</v>
      </c>
      <c r="P1325" s="116">
        <v>0</v>
      </c>
      <c r="Q1325" s="116">
        <v>0</v>
      </c>
      <c r="R1325" s="116">
        <v>0</v>
      </c>
      <c r="S1325" s="116">
        <v>0</v>
      </c>
      <c r="T1325" s="116">
        <v>0</v>
      </c>
      <c r="U1325" s="116">
        <v>0</v>
      </c>
      <c r="V1325" s="116">
        <v>0</v>
      </c>
      <c r="W1325" s="116">
        <v>0</v>
      </c>
      <c r="X1325" s="116">
        <v>0</v>
      </c>
      <c r="Y1325" s="116">
        <v>0</v>
      </c>
      <c r="Z1325" s="116">
        <v>0</v>
      </c>
      <c r="AA1325" s="116">
        <v>0</v>
      </c>
      <c r="AB1325" s="116">
        <v>0</v>
      </c>
      <c r="AC1325" s="116">
        <v>0</v>
      </c>
      <c r="AD1325" s="116">
        <v>0</v>
      </c>
      <c r="AE1325" s="116">
        <v>0</v>
      </c>
      <c r="AF1325" s="189" t="s">
        <v>268</v>
      </c>
      <c r="AG1325" s="189">
        <v>2020</v>
      </c>
      <c r="AH1325" s="189" t="s">
        <v>268</v>
      </c>
      <c r="AI1325" s="105"/>
      <c r="AJ1325" s="105"/>
      <c r="AK1325" s="113"/>
      <c r="AL1325" s="105"/>
      <c r="AM1325" s="105"/>
      <c r="AR1325" s="116"/>
      <c r="AS1325" s="158"/>
      <c r="BU1325" s="158"/>
      <c r="EJ1325" s="158"/>
      <c r="EL1325" s="158"/>
      <c r="FI1325" s="158"/>
      <c r="FL1325" s="158"/>
      <c r="FM1325" s="158"/>
      <c r="GN1325" s="212"/>
      <c r="GZ1325" s="158"/>
      <c r="HO1325" s="208" t="s">
        <v>1658</v>
      </c>
      <c r="HP1325" s="208">
        <v>52429.26</v>
      </c>
    </row>
    <row r="1326" spans="1:224" s="209" customFormat="1" ht="76.5" x14ac:dyDescent="0.25">
      <c r="B1326" s="112" t="s">
        <v>886</v>
      </c>
      <c r="C1326" s="25"/>
      <c r="D1326" s="116">
        <f t="shared" si="335"/>
        <v>2554206.3299999996</v>
      </c>
      <c r="E1326" s="108">
        <f t="shared" ref="E1326:AE1326" si="337">SUM(E1327:E1327)</f>
        <v>0</v>
      </c>
      <c r="F1326" s="108">
        <f t="shared" si="337"/>
        <v>0</v>
      </c>
      <c r="G1326" s="108">
        <f t="shared" si="337"/>
        <v>0</v>
      </c>
      <c r="H1326" s="108">
        <f t="shared" si="337"/>
        <v>0</v>
      </c>
      <c r="I1326" s="108">
        <f t="shared" si="337"/>
        <v>0</v>
      </c>
      <c r="J1326" s="108">
        <f t="shared" si="337"/>
        <v>0</v>
      </c>
      <c r="K1326" s="109">
        <f t="shared" si="337"/>
        <v>0</v>
      </c>
      <c r="L1326" s="108">
        <f t="shared" si="337"/>
        <v>0</v>
      </c>
      <c r="M1326" s="108">
        <f t="shared" si="337"/>
        <v>807.3</v>
      </c>
      <c r="N1326" s="108">
        <f t="shared" si="337"/>
        <v>2537837.2799999998</v>
      </c>
      <c r="O1326" s="108">
        <f t="shared" si="337"/>
        <v>0</v>
      </c>
      <c r="P1326" s="108">
        <f t="shared" si="337"/>
        <v>0</v>
      </c>
      <c r="Q1326" s="108">
        <f t="shared" si="337"/>
        <v>0</v>
      </c>
      <c r="R1326" s="108">
        <f t="shared" si="337"/>
        <v>0</v>
      </c>
      <c r="S1326" s="108">
        <f t="shared" si="337"/>
        <v>0</v>
      </c>
      <c r="T1326" s="108">
        <f t="shared" si="337"/>
        <v>0</v>
      </c>
      <c r="U1326" s="108">
        <f t="shared" si="337"/>
        <v>0</v>
      </c>
      <c r="V1326" s="108">
        <f t="shared" si="337"/>
        <v>0</v>
      </c>
      <c r="W1326" s="108">
        <f t="shared" si="337"/>
        <v>0</v>
      </c>
      <c r="X1326" s="108">
        <f t="shared" si="337"/>
        <v>0</v>
      </c>
      <c r="Y1326" s="108">
        <f t="shared" si="337"/>
        <v>0</v>
      </c>
      <c r="Z1326" s="108">
        <f t="shared" si="337"/>
        <v>0</v>
      </c>
      <c r="AA1326" s="108">
        <f t="shared" si="337"/>
        <v>0</v>
      </c>
      <c r="AB1326" s="108">
        <f t="shared" si="337"/>
        <v>0</v>
      </c>
      <c r="AC1326" s="116">
        <f t="shared" si="337"/>
        <v>16369.05</v>
      </c>
      <c r="AD1326" s="108">
        <f t="shared" si="337"/>
        <v>0</v>
      </c>
      <c r="AE1326" s="108">
        <f t="shared" si="337"/>
        <v>0</v>
      </c>
      <c r="AF1326" s="110" t="s">
        <v>1655</v>
      </c>
      <c r="AG1326" s="110" t="s">
        <v>1655</v>
      </c>
      <c r="AH1326" s="110" t="s">
        <v>1655</v>
      </c>
      <c r="AI1326" s="105"/>
      <c r="AJ1326" s="107"/>
      <c r="AK1326" s="113"/>
      <c r="AL1326" s="105"/>
      <c r="AM1326" s="105"/>
      <c r="AR1326" s="210"/>
      <c r="AS1326" s="158"/>
      <c r="BF1326" s="208"/>
      <c r="BR1326" s="208"/>
      <c r="BU1326" s="158"/>
      <c r="CH1326" s="208"/>
      <c r="CK1326" s="208"/>
      <c r="EJ1326" s="158"/>
      <c r="EL1326" s="158"/>
      <c r="EU1326" s="208"/>
      <c r="FI1326" s="158"/>
      <c r="FL1326" s="211"/>
      <c r="FM1326" s="158"/>
      <c r="FV1326" s="208"/>
      <c r="GN1326" s="212"/>
      <c r="GX1326" s="208"/>
      <c r="GZ1326" s="158"/>
      <c r="HB1326" s="208"/>
      <c r="HO1326" s="209" t="s">
        <v>1657</v>
      </c>
      <c r="HP1326" s="209">
        <v>44890.35</v>
      </c>
    </row>
    <row r="1327" spans="1:224" s="208" customFormat="1" ht="76.5" customHeight="1" x14ac:dyDescent="0.25">
      <c r="B1327" s="114">
        <v>3</v>
      </c>
      <c r="C1327" s="101" t="s">
        <v>3</v>
      </c>
      <c r="D1327" s="116">
        <f t="shared" si="335"/>
        <v>2554206.3299999996</v>
      </c>
      <c r="E1327" s="115">
        <v>0</v>
      </c>
      <c r="F1327" s="116">
        <v>0</v>
      </c>
      <c r="G1327" s="116">
        <v>0</v>
      </c>
      <c r="H1327" s="116">
        <v>0</v>
      </c>
      <c r="I1327" s="116">
        <v>0</v>
      </c>
      <c r="J1327" s="116">
        <v>0</v>
      </c>
      <c r="K1327" s="109">
        <v>0</v>
      </c>
      <c r="L1327" s="116">
        <v>0</v>
      </c>
      <c r="M1327" s="213">
        <v>807.3</v>
      </c>
      <c r="N1327" s="213">
        <v>2537837.2799999998</v>
      </c>
      <c r="O1327" s="116">
        <v>0</v>
      </c>
      <c r="P1327" s="116">
        <v>0</v>
      </c>
      <c r="Q1327" s="116">
        <v>0</v>
      </c>
      <c r="R1327" s="116">
        <v>0</v>
      </c>
      <c r="S1327" s="116">
        <v>0</v>
      </c>
      <c r="T1327" s="116">
        <v>0</v>
      </c>
      <c r="U1327" s="116">
        <v>0</v>
      </c>
      <c r="V1327" s="116">
        <v>0</v>
      </c>
      <c r="W1327" s="116">
        <v>0</v>
      </c>
      <c r="X1327" s="116">
        <v>0</v>
      </c>
      <c r="Y1327" s="116">
        <v>0</v>
      </c>
      <c r="Z1327" s="116">
        <v>0</v>
      </c>
      <c r="AA1327" s="116">
        <v>0</v>
      </c>
      <c r="AB1327" s="116">
        <v>0</v>
      </c>
      <c r="AC1327" s="116">
        <v>16369.05</v>
      </c>
      <c r="AD1327" s="116">
        <v>0</v>
      </c>
      <c r="AE1327" s="116">
        <v>0</v>
      </c>
      <c r="AF1327" s="189" t="s">
        <v>268</v>
      </c>
      <c r="AG1327" s="189">
        <v>2020</v>
      </c>
      <c r="AH1327" s="189">
        <v>2020</v>
      </c>
      <c r="AI1327" s="105"/>
      <c r="AJ1327" s="105"/>
      <c r="AK1327" s="113"/>
      <c r="AL1327" s="105"/>
      <c r="AM1327" s="105"/>
      <c r="AR1327" s="116"/>
      <c r="AS1327" s="158"/>
      <c r="BU1327" s="158"/>
      <c r="EJ1327" s="158"/>
      <c r="EL1327" s="158"/>
      <c r="FI1327" s="158"/>
      <c r="FL1327" s="158"/>
      <c r="FM1327" s="158"/>
      <c r="GN1327" s="212"/>
      <c r="GZ1327" s="158"/>
      <c r="HO1327" s="208" t="s">
        <v>1658</v>
      </c>
      <c r="HP1327" s="208">
        <v>52429.26</v>
      </c>
    </row>
    <row r="1328" spans="1:224" s="209" customFormat="1" ht="76.5" x14ac:dyDescent="0.25">
      <c r="B1328" s="298" t="s">
        <v>2443</v>
      </c>
      <c r="C1328" s="299"/>
      <c r="D1328" s="116">
        <f>D1329+D1331</f>
        <v>6529808</v>
      </c>
      <c r="E1328" s="108">
        <f t="shared" ref="E1328:AE1328" si="338">E1329+E1331</f>
        <v>0</v>
      </c>
      <c r="F1328" s="108">
        <f t="shared" si="338"/>
        <v>0</v>
      </c>
      <c r="G1328" s="108">
        <f t="shared" si="338"/>
        <v>0</v>
      </c>
      <c r="H1328" s="108">
        <f t="shared" si="338"/>
        <v>0</v>
      </c>
      <c r="I1328" s="108">
        <f t="shared" si="338"/>
        <v>0</v>
      </c>
      <c r="J1328" s="108">
        <f t="shared" si="338"/>
        <v>0</v>
      </c>
      <c r="K1328" s="109">
        <f t="shared" si="338"/>
        <v>0</v>
      </c>
      <c r="L1328" s="108">
        <f t="shared" si="338"/>
        <v>0</v>
      </c>
      <c r="M1328" s="108">
        <f t="shared" si="338"/>
        <v>1411.6</v>
      </c>
      <c r="N1328" s="108">
        <f t="shared" si="338"/>
        <v>6432436</v>
      </c>
      <c r="O1328" s="108">
        <f t="shared" si="338"/>
        <v>0</v>
      </c>
      <c r="P1328" s="108">
        <f t="shared" si="338"/>
        <v>0</v>
      </c>
      <c r="Q1328" s="108">
        <f t="shared" si="338"/>
        <v>0</v>
      </c>
      <c r="R1328" s="108">
        <f t="shared" si="338"/>
        <v>0</v>
      </c>
      <c r="S1328" s="108">
        <f t="shared" si="338"/>
        <v>0</v>
      </c>
      <c r="T1328" s="108">
        <f t="shared" si="338"/>
        <v>0</v>
      </c>
      <c r="U1328" s="108">
        <f t="shared" si="338"/>
        <v>0</v>
      </c>
      <c r="V1328" s="108">
        <f t="shared" si="338"/>
        <v>0</v>
      </c>
      <c r="W1328" s="108">
        <f t="shared" si="338"/>
        <v>0</v>
      </c>
      <c r="X1328" s="108">
        <f t="shared" si="338"/>
        <v>0</v>
      </c>
      <c r="Y1328" s="108">
        <f t="shared" si="338"/>
        <v>0</v>
      </c>
      <c r="Z1328" s="108">
        <f t="shared" si="338"/>
        <v>0</v>
      </c>
      <c r="AA1328" s="108">
        <f t="shared" si="338"/>
        <v>0</v>
      </c>
      <c r="AB1328" s="108">
        <f t="shared" si="338"/>
        <v>0</v>
      </c>
      <c r="AC1328" s="108">
        <f t="shared" si="338"/>
        <v>97372</v>
      </c>
      <c r="AD1328" s="108">
        <f t="shared" si="338"/>
        <v>0</v>
      </c>
      <c r="AE1328" s="108">
        <f t="shared" si="338"/>
        <v>0</v>
      </c>
      <c r="AF1328" s="110" t="s">
        <v>1655</v>
      </c>
      <c r="AG1328" s="110" t="s">
        <v>1655</v>
      </c>
      <c r="AH1328" s="110" t="s">
        <v>1655</v>
      </c>
      <c r="AI1328" s="111"/>
      <c r="AJ1328" s="105"/>
      <c r="AK1328" s="111"/>
      <c r="AL1328" s="111"/>
      <c r="AM1328" s="111"/>
      <c r="HO1328" s="209" t="s">
        <v>1656</v>
      </c>
      <c r="HP1328" s="209">
        <v>53254.36</v>
      </c>
    </row>
    <row r="1329" spans="1:224" s="209" customFormat="1" ht="76.5" x14ac:dyDescent="0.25">
      <c r="B1329" s="112" t="s">
        <v>1406</v>
      </c>
      <c r="C1329" s="25"/>
      <c r="D1329" s="116">
        <f t="shared" ref="D1329:D1332" si="339">E1329+F1329+G1329+H1329+I1329+J1329+L1329+N1329+P1329+R1329+T1329+U1329+V1329+W1329+X1329+Y1329+Z1329+AA1329+AB1329+AC1329+AD1329+AE1329</f>
        <v>2859178</v>
      </c>
      <c r="E1329" s="108">
        <f t="shared" ref="E1329:AE1331" si="340">SUM(E1330:E1330)</f>
        <v>0</v>
      </c>
      <c r="F1329" s="108">
        <f t="shared" si="340"/>
        <v>0</v>
      </c>
      <c r="G1329" s="108">
        <f t="shared" si="340"/>
        <v>0</v>
      </c>
      <c r="H1329" s="108">
        <f t="shared" si="340"/>
        <v>0</v>
      </c>
      <c r="I1329" s="108">
        <f t="shared" si="340"/>
        <v>0</v>
      </c>
      <c r="J1329" s="108">
        <f t="shared" si="340"/>
        <v>0</v>
      </c>
      <c r="K1329" s="109">
        <f t="shared" si="340"/>
        <v>0</v>
      </c>
      <c r="L1329" s="108">
        <f t="shared" si="340"/>
        <v>0</v>
      </c>
      <c r="M1329" s="108">
        <f t="shared" si="340"/>
        <v>609.15</v>
      </c>
      <c r="N1329" s="108">
        <f t="shared" si="340"/>
        <v>2824636</v>
      </c>
      <c r="O1329" s="108">
        <f t="shared" si="340"/>
        <v>0</v>
      </c>
      <c r="P1329" s="108">
        <f t="shared" si="340"/>
        <v>0</v>
      </c>
      <c r="Q1329" s="108">
        <f t="shared" si="340"/>
        <v>0</v>
      </c>
      <c r="R1329" s="108">
        <f t="shared" si="340"/>
        <v>0</v>
      </c>
      <c r="S1329" s="108">
        <f t="shared" si="340"/>
        <v>0</v>
      </c>
      <c r="T1329" s="108">
        <f t="shared" si="340"/>
        <v>0</v>
      </c>
      <c r="U1329" s="108">
        <f t="shared" si="340"/>
        <v>0</v>
      </c>
      <c r="V1329" s="108">
        <f t="shared" si="340"/>
        <v>0</v>
      </c>
      <c r="W1329" s="108">
        <f t="shared" si="340"/>
        <v>0</v>
      </c>
      <c r="X1329" s="108">
        <f t="shared" si="340"/>
        <v>0</v>
      </c>
      <c r="Y1329" s="108">
        <f t="shared" si="340"/>
        <v>0</v>
      </c>
      <c r="Z1329" s="108">
        <f t="shared" si="340"/>
        <v>0</v>
      </c>
      <c r="AA1329" s="108">
        <f t="shared" si="340"/>
        <v>0</v>
      </c>
      <c r="AB1329" s="108">
        <f t="shared" si="340"/>
        <v>0</v>
      </c>
      <c r="AC1329" s="108">
        <f t="shared" si="340"/>
        <v>34542</v>
      </c>
      <c r="AD1329" s="108">
        <f t="shared" si="340"/>
        <v>0</v>
      </c>
      <c r="AE1329" s="108">
        <f t="shared" si="340"/>
        <v>0</v>
      </c>
      <c r="AF1329" s="110" t="s">
        <v>1655</v>
      </c>
      <c r="AG1329" s="110" t="s">
        <v>1655</v>
      </c>
      <c r="AH1329" s="110" t="s">
        <v>1655</v>
      </c>
      <c r="AI1329" s="105"/>
      <c r="AJ1329" s="107"/>
      <c r="AK1329" s="113"/>
      <c r="AL1329" s="105"/>
      <c r="AM1329" s="105"/>
      <c r="AR1329" s="210"/>
      <c r="AS1329" s="158"/>
      <c r="BF1329" s="208"/>
      <c r="BR1329" s="208"/>
      <c r="BU1329" s="158"/>
      <c r="CH1329" s="208"/>
      <c r="CK1329" s="208"/>
      <c r="EJ1329" s="158"/>
      <c r="EL1329" s="158"/>
      <c r="EU1329" s="208"/>
      <c r="FI1329" s="158"/>
      <c r="FL1329" s="211"/>
      <c r="FM1329" s="158"/>
      <c r="FV1329" s="208"/>
      <c r="GN1329" s="212"/>
      <c r="GX1329" s="208"/>
      <c r="GZ1329" s="158"/>
      <c r="HB1329" s="208"/>
      <c r="HO1329" s="209" t="s">
        <v>1657</v>
      </c>
      <c r="HP1329" s="209">
        <v>44890.35</v>
      </c>
    </row>
    <row r="1330" spans="1:224" s="209" customFormat="1" ht="78" customHeight="1" x14ac:dyDescent="0.25">
      <c r="A1330" s="208"/>
      <c r="B1330" s="114">
        <v>1</v>
      </c>
      <c r="C1330" s="25" t="s">
        <v>2445</v>
      </c>
      <c r="D1330" s="116">
        <f t="shared" si="339"/>
        <v>2859178</v>
      </c>
      <c r="E1330" s="115">
        <v>0</v>
      </c>
      <c r="F1330" s="116">
        <v>0</v>
      </c>
      <c r="G1330" s="116">
        <v>0</v>
      </c>
      <c r="H1330" s="116">
        <v>0</v>
      </c>
      <c r="I1330" s="116">
        <v>0</v>
      </c>
      <c r="J1330" s="116">
        <v>0</v>
      </c>
      <c r="K1330" s="109">
        <v>0</v>
      </c>
      <c r="L1330" s="116">
        <v>0</v>
      </c>
      <c r="M1330" s="116">
        <v>609.15</v>
      </c>
      <c r="N1330" s="116">
        <f>2859178-AC1330</f>
        <v>2824636</v>
      </c>
      <c r="O1330" s="116">
        <v>0</v>
      </c>
      <c r="P1330" s="116">
        <v>0</v>
      </c>
      <c r="Q1330" s="116">
        <v>0</v>
      </c>
      <c r="R1330" s="116">
        <v>0</v>
      </c>
      <c r="S1330" s="116">
        <v>0</v>
      </c>
      <c r="T1330" s="116">
        <v>0</v>
      </c>
      <c r="U1330" s="116">
        <v>0</v>
      </c>
      <c r="V1330" s="116">
        <v>0</v>
      </c>
      <c r="W1330" s="116">
        <v>0</v>
      </c>
      <c r="X1330" s="116">
        <v>0</v>
      </c>
      <c r="Y1330" s="116">
        <v>0</v>
      </c>
      <c r="Z1330" s="116">
        <v>0</v>
      </c>
      <c r="AA1330" s="116">
        <v>0</v>
      </c>
      <c r="AB1330" s="116">
        <v>0</v>
      </c>
      <c r="AC1330" s="116">
        <v>34542</v>
      </c>
      <c r="AD1330" s="116">
        <v>0</v>
      </c>
      <c r="AE1330" s="116">
        <v>0</v>
      </c>
      <c r="AF1330" s="189" t="s">
        <v>268</v>
      </c>
      <c r="AG1330" s="189">
        <v>2021</v>
      </c>
      <c r="AH1330" s="189">
        <v>2021</v>
      </c>
      <c r="AI1330" s="105"/>
      <c r="AJ1330" s="105"/>
      <c r="AK1330" s="113"/>
      <c r="AL1330" s="105"/>
      <c r="AM1330" s="105"/>
      <c r="AR1330" s="210"/>
      <c r="AS1330" s="158"/>
      <c r="BF1330" s="208"/>
      <c r="BR1330" s="208"/>
      <c r="BU1330" s="158"/>
      <c r="CH1330" s="208"/>
      <c r="CK1330" s="208"/>
      <c r="EJ1330" s="158"/>
      <c r="EL1330" s="158"/>
      <c r="EU1330" s="208"/>
      <c r="FI1330" s="158"/>
      <c r="FL1330" s="158"/>
      <c r="FM1330" s="158"/>
      <c r="FV1330" s="208"/>
      <c r="GN1330" s="212"/>
      <c r="GX1330" s="208"/>
      <c r="GZ1330" s="158"/>
      <c r="HO1330" s="209" t="s">
        <v>1658</v>
      </c>
      <c r="HP1330" s="209">
        <v>52429.26</v>
      </c>
    </row>
    <row r="1331" spans="1:224" s="209" customFormat="1" ht="76.5" x14ac:dyDescent="0.25">
      <c r="B1331" s="112" t="s">
        <v>847</v>
      </c>
      <c r="C1331" s="25"/>
      <c r="D1331" s="116">
        <f t="shared" ref="D1331" si="341">E1331+F1331+G1331+H1331+I1331+J1331+L1331+N1331+P1331+R1331+T1331+U1331+V1331+W1331+X1331+Y1331+Z1331+AA1331+AB1331+AC1331+AD1331+AE1331</f>
        <v>3670630</v>
      </c>
      <c r="E1331" s="108">
        <f t="shared" si="340"/>
        <v>0</v>
      </c>
      <c r="F1331" s="108">
        <f t="shared" si="340"/>
        <v>0</v>
      </c>
      <c r="G1331" s="108">
        <f t="shared" si="340"/>
        <v>0</v>
      </c>
      <c r="H1331" s="108">
        <f t="shared" si="340"/>
        <v>0</v>
      </c>
      <c r="I1331" s="108">
        <f t="shared" si="340"/>
        <v>0</v>
      </c>
      <c r="J1331" s="108">
        <f t="shared" si="340"/>
        <v>0</v>
      </c>
      <c r="K1331" s="109">
        <f t="shared" si="340"/>
        <v>0</v>
      </c>
      <c r="L1331" s="108">
        <f t="shared" si="340"/>
        <v>0</v>
      </c>
      <c r="M1331" s="108">
        <f t="shared" si="340"/>
        <v>802.45</v>
      </c>
      <c r="N1331" s="108">
        <f t="shared" si="340"/>
        <v>3607800</v>
      </c>
      <c r="O1331" s="108">
        <f t="shared" si="340"/>
        <v>0</v>
      </c>
      <c r="P1331" s="108">
        <f t="shared" si="340"/>
        <v>0</v>
      </c>
      <c r="Q1331" s="108">
        <f t="shared" si="340"/>
        <v>0</v>
      </c>
      <c r="R1331" s="108">
        <f t="shared" si="340"/>
        <v>0</v>
      </c>
      <c r="S1331" s="108">
        <f t="shared" si="340"/>
        <v>0</v>
      </c>
      <c r="T1331" s="108">
        <f t="shared" si="340"/>
        <v>0</v>
      </c>
      <c r="U1331" s="108">
        <f t="shared" si="340"/>
        <v>0</v>
      </c>
      <c r="V1331" s="108">
        <f t="shared" si="340"/>
        <v>0</v>
      </c>
      <c r="W1331" s="108">
        <f t="shared" si="340"/>
        <v>0</v>
      </c>
      <c r="X1331" s="108">
        <f t="shared" si="340"/>
        <v>0</v>
      </c>
      <c r="Y1331" s="108">
        <f t="shared" si="340"/>
        <v>0</v>
      </c>
      <c r="Z1331" s="108">
        <f t="shared" si="340"/>
        <v>0</v>
      </c>
      <c r="AA1331" s="108">
        <f t="shared" si="340"/>
        <v>0</v>
      </c>
      <c r="AB1331" s="108">
        <f t="shared" si="340"/>
        <v>0</v>
      </c>
      <c r="AC1331" s="108">
        <f t="shared" si="340"/>
        <v>62830</v>
      </c>
      <c r="AD1331" s="108">
        <f t="shared" si="340"/>
        <v>0</v>
      </c>
      <c r="AE1331" s="108">
        <f t="shared" si="340"/>
        <v>0</v>
      </c>
      <c r="AF1331" s="110" t="s">
        <v>1655</v>
      </c>
      <c r="AG1331" s="110" t="s">
        <v>1655</v>
      </c>
      <c r="AH1331" s="110" t="s">
        <v>1655</v>
      </c>
      <c r="AI1331" s="105"/>
      <c r="AJ1331" s="107"/>
      <c r="AK1331" s="113"/>
      <c r="AL1331" s="105"/>
      <c r="AM1331" s="105"/>
      <c r="AR1331" s="210"/>
      <c r="AS1331" s="158"/>
      <c r="BF1331" s="208"/>
      <c r="BR1331" s="208"/>
      <c r="BU1331" s="158"/>
      <c r="CH1331" s="208"/>
      <c r="CK1331" s="208"/>
      <c r="EJ1331" s="158"/>
      <c r="EL1331" s="158"/>
      <c r="EU1331" s="208"/>
      <c r="FI1331" s="158"/>
      <c r="FL1331" s="211"/>
      <c r="FM1331" s="158"/>
      <c r="FV1331" s="208"/>
      <c r="GN1331" s="212"/>
      <c r="GX1331" s="208"/>
      <c r="GZ1331" s="158"/>
      <c r="HB1331" s="208"/>
      <c r="HO1331" s="209" t="s">
        <v>1657</v>
      </c>
      <c r="HP1331" s="209">
        <v>44890.35</v>
      </c>
    </row>
    <row r="1332" spans="1:224" s="209" customFormat="1" ht="78" customHeight="1" x14ac:dyDescent="0.25">
      <c r="A1332" s="208"/>
      <c r="B1332" s="114">
        <v>2</v>
      </c>
      <c r="C1332" s="25" t="s">
        <v>2450</v>
      </c>
      <c r="D1332" s="116">
        <f t="shared" si="339"/>
        <v>3670630</v>
      </c>
      <c r="E1332" s="115">
        <v>0</v>
      </c>
      <c r="F1332" s="116">
        <v>0</v>
      </c>
      <c r="G1332" s="116">
        <v>0</v>
      </c>
      <c r="H1332" s="116">
        <v>0</v>
      </c>
      <c r="I1332" s="116">
        <v>0</v>
      </c>
      <c r="J1332" s="116">
        <v>0</v>
      </c>
      <c r="K1332" s="109">
        <v>0</v>
      </c>
      <c r="L1332" s="116">
        <v>0</v>
      </c>
      <c r="M1332" s="116">
        <v>802.45</v>
      </c>
      <c r="N1332" s="116">
        <v>3607800</v>
      </c>
      <c r="O1332" s="116">
        <v>0</v>
      </c>
      <c r="P1332" s="116">
        <v>0</v>
      </c>
      <c r="Q1332" s="116">
        <v>0</v>
      </c>
      <c r="R1332" s="116">
        <v>0</v>
      </c>
      <c r="S1332" s="116">
        <v>0</v>
      </c>
      <c r="T1332" s="116">
        <v>0</v>
      </c>
      <c r="U1332" s="116">
        <v>0</v>
      </c>
      <c r="V1332" s="116">
        <v>0</v>
      </c>
      <c r="W1332" s="116">
        <v>0</v>
      </c>
      <c r="X1332" s="116">
        <v>0</v>
      </c>
      <c r="Y1332" s="116">
        <v>0</v>
      </c>
      <c r="Z1332" s="116">
        <v>0</v>
      </c>
      <c r="AA1332" s="116">
        <v>0</v>
      </c>
      <c r="AB1332" s="116">
        <v>0</v>
      </c>
      <c r="AC1332" s="116">
        <v>62830</v>
      </c>
      <c r="AD1332" s="116">
        <v>0</v>
      </c>
      <c r="AE1332" s="116">
        <v>0</v>
      </c>
      <c r="AF1332" s="189" t="s">
        <v>268</v>
      </c>
      <c r="AG1332" s="189">
        <v>2021</v>
      </c>
      <c r="AH1332" s="189">
        <v>2021</v>
      </c>
      <c r="AI1332" s="105"/>
      <c r="AJ1332" s="105"/>
      <c r="AK1332" s="113"/>
      <c r="AL1332" s="105"/>
      <c r="AM1332" s="105"/>
      <c r="AR1332" s="210"/>
      <c r="AS1332" s="158"/>
      <c r="BF1332" s="208"/>
      <c r="BR1332" s="208"/>
      <c r="BU1332" s="158"/>
      <c r="CH1332" s="208"/>
      <c r="CK1332" s="208"/>
      <c r="EJ1332" s="158"/>
      <c r="EL1332" s="158"/>
      <c r="EU1332" s="208"/>
      <c r="FI1332" s="158"/>
      <c r="FL1332" s="158"/>
      <c r="FM1332" s="158"/>
      <c r="FV1332" s="208"/>
      <c r="GN1332" s="212"/>
      <c r="GX1332" s="208"/>
      <c r="GZ1332" s="158"/>
      <c r="HO1332" s="209" t="s">
        <v>1658</v>
      </c>
      <c r="HP1332" s="209">
        <v>52429.26</v>
      </c>
    </row>
    <row r="1333" spans="1:224" s="207" customFormat="1" ht="189" customHeight="1" x14ac:dyDescent="0.3">
      <c r="B1333" s="303" t="s">
        <v>1907</v>
      </c>
      <c r="C1333" s="304"/>
      <c r="D1333" s="304"/>
      <c r="E1333" s="304"/>
      <c r="F1333" s="304"/>
      <c r="G1333" s="304"/>
      <c r="H1333" s="304"/>
      <c r="I1333" s="304"/>
      <c r="J1333" s="304"/>
      <c r="K1333" s="304"/>
      <c r="L1333" s="304"/>
      <c r="M1333" s="304"/>
      <c r="N1333" s="304"/>
      <c r="O1333" s="304"/>
      <c r="P1333" s="304"/>
      <c r="Q1333" s="304"/>
      <c r="R1333" s="304"/>
      <c r="S1333" s="304"/>
      <c r="T1333" s="304"/>
      <c r="U1333" s="304"/>
      <c r="V1333" s="304"/>
      <c r="W1333" s="304"/>
      <c r="X1333" s="304"/>
      <c r="Y1333" s="304"/>
      <c r="Z1333" s="304"/>
      <c r="AA1333" s="304"/>
      <c r="AB1333" s="304"/>
      <c r="AC1333" s="304"/>
      <c r="AD1333" s="304"/>
      <c r="AE1333" s="304"/>
      <c r="AF1333" s="304"/>
      <c r="AG1333" s="304"/>
      <c r="AH1333" s="305"/>
      <c r="AI1333" s="106"/>
      <c r="AJ1333" s="107"/>
      <c r="AK1333" s="106"/>
      <c r="AL1333" s="106"/>
      <c r="AM1333" s="106"/>
      <c r="HO1333" s="207" t="s">
        <v>1654</v>
      </c>
      <c r="HP1333" s="207">
        <v>47587.5</v>
      </c>
    </row>
    <row r="1334" spans="1:224" s="207" customFormat="1" ht="76.5" x14ac:dyDescent="0.3">
      <c r="B1334" s="298" t="s">
        <v>1660</v>
      </c>
      <c r="C1334" s="299"/>
      <c r="D1334" s="116">
        <f>D1335+D1341+D1339</f>
        <v>17288357.709999997</v>
      </c>
      <c r="E1334" s="108">
        <f t="shared" ref="E1334:AE1334" si="342">E1335+E1341+E1339</f>
        <v>0</v>
      </c>
      <c r="F1334" s="108">
        <f t="shared" si="342"/>
        <v>0</v>
      </c>
      <c r="G1334" s="108">
        <f t="shared" si="342"/>
        <v>994637</v>
      </c>
      <c r="H1334" s="108">
        <f t="shared" si="342"/>
        <v>0</v>
      </c>
      <c r="I1334" s="108">
        <f t="shared" si="342"/>
        <v>1224682</v>
      </c>
      <c r="J1334" s="108">
        <f t="shared" si="342"/>
        <v>0</v>
      </c>
      <c r="K1334" s="109">
        <f t="shared" si="342"/>
        <v>0</v>
      </c>
      <c r="L1334" s="108">
        <f t="shared" si="342"/>
        <v>0</v>
      </c>
      <c r="M1334" s="108">
        <f t="shared" si="342"/>
        <v>4580.72</v>
      </c>
      <c r="N1334" s="108">
        <f t="shared" si="342"/>
        <v>14965296.1</v>
      </c>
      <c r="O1334" s="108">
        <f t="shared" si="342"/>
        <v>0</v>
      </c>
      <c r="P1334" s="108">
        <f t="shared" si="342"/>
        <v>0</v>
      </c>
      <c r="Q1334" s="108">
        <f t="shared" si="342"/>
        <v>0</v>
      </c>
      <c r="R1334" s="108">
        <f t="shared" si="342"/>
        <v>0</v>
      </c>
      <c r="S1334" s="108">
        <f t="shared" si="342"/>
        <v>0</v>
      </c>
      <c r="T1334" s="108">
        <f t="shared" si="342"/>
        <v>0</v>
      </c>
      <c r="U1334" s="108">
        <f t="shared" si="342"/>
        <v>0</v>
      </c>
      <c r="V1334" s="108">
        <f t="shared" si="342"/>
        <v>0</v>
      </c>
      <c r="W1334" s="108">
        <f t="shared" si="342"/>
        <v>0</v>
      </c>
      <c r="X1334" s="108">
        <f t="shared" si="342"/>
        <v>0</v>
      </c>
      <c r="Y1334" s="108">
        <f t="shared" si="342"/>
        <v>0</v>
      </c>
      <c r="Z1334" s="108">
        <f t="shared" si="342"/>
        <v>0</v>
      </c>
      <c r="AA1334" s="108">
        <f t="shared" si="342"/>
        <v>0</v>
      </c>
      <c r="AB1334" s="108">
        <f t="shared" si="342"/>
        <v>0</v>
      </c>
      <c r="AC1334" s="116">
        <f t="shared" si="342"/>
        <v>103742.61</v>
      </c>
      <c r="AD1334" s="108">
        <f t="shared" si="342"/>
        <v>0</v>
      </c>
      <c r="AE1334" s="108">
        <f t="shared" si="342"/>
        <v>0</v>
      </c>
      <c r="AF1334" s="110" t="s">
        <v>1655</v>
      </c>
      <c r="AG1334" s="110" t="s">
        <v>1655</v>
      </c>
      <c r="AH1334" s="110" t="s">
        <v>1655</v>
      </c>
      <c r="AI1334" s="111"/>
      <c r="AJ1334" s="105"/>
      <c r="AK1334" s="111"/>
      <c r="AL1334" s="111"/>
      <c r="AM1334" s="111"/>
      <c r="HO1334" s="207" t="s">
        <v>1656</v>
      </c>
      <c r="HP1334" s="207">
        <v>53254.36</v>
      </c>
    </row>
    <row r="1335" spans="1:224" s="207" customFormat="1" ht="76.5" x14ac:dyDescent="0.85">
      <c r="B1335" s="112" t="s">
        <v>838</v>
      </c>
      <c r="C1335" s="25"/>
      <c r="D1335" s="116">
        <f>SUM(D1336:D1338)</f>
        <v>13535253.609999999</v>
      </c>
      <c r="E1335" s="108">
        <f t="shared" ref="E1335:AE1335" si="343">SUM(E1336:E1338)</f>
        <v>0</v>
      </c>
      <c r="F1335" s="108">
        <f t="shared" si="343"/>
        <v>0</v>
      </c>
      <c r="G1335" s="108">
        <f t="shared" si="343"/>
        <v>994637</v>
      </c>
      <c r="H1335" s="108">
        <f t="shared" si="343"/>
        <v>0</v>
      </c>
      <c r="I1335" s="108">
        <f t="shared" si="343"/>
        <v>1224682</v>
      </c>
      <c r="J1335" s="108">
        <f t="shared" si="343"/>
        <v>0</v>
      </c>
      <c r="K1335" s="109">
        <f t="shared" si="343"/>
        <v>0</v>
      </c>
      <c r="L1335" s="108">
        <f t="shared" si="343"/>
        <v>0</v>
      </c>
      <c r="M1335" s="108">
        <f t="shared" si="343"/>
        <v>3519.62</v>
      </c>
      <c r="N1335" s="108">
        <f t="shared" si="343"/>
        <v>11212192</v>
      </c>
      <c r="O1335" s="108">
        <f t="shared" si="343"/>
        <v>0</v>
      </c>
      <c r="P1335" s="108">
        <f t="shared" si="343"/>
        <v>0</v>
      </c>
      <c r="Q1335" s="108">
        <f t="shared" si="343"/>
        <v>0</v>
      </c>
      <c r="R1335" s="108">
        <f t="shared" si="343"/>
        <v>0</v>
      </c>
      <c r="S1335" s="108">
        <f t="shared" si="343"/>
        <v>0</v>
      </c>
      <c r="T1335" s="108">
        <f t="shared" si="343"/>
        <v>0</v>
      </c>
      <c r="U1335" s="108">
        <f t="shared" si="343"/>
        <v>0</v>
      </c>
      <c r="V1335" s="108">
        <f t="shared" si="343"/>
        <v>0</v>
      </c>
      <c r="W1335" s="108">
        <f t="shared" si="343"/>
        <v>0</v>
      </c>
      <c r="X1335" s="108">
        <f t="shared" si="343"/>
        <v>0</v>
      </c>
      <c r="Y1335" s="108">
        <f t="shared" si="343"/>
        <v>0</v>
      </c>
      <c r="Z1335" s="108">
        <f t="shared" si="343"/>
        <v>0</v>
      </c>
      <c r="AA1335" s="108">
        <f t="shared" si="343"/>
        <v>0</v>
      </c>
      <c r="AB1335" s="108">
        <f t="shared" si="343"/>
        <v>0</v>
      </c>
      <c r="AC1335" s="116">
        <f t="shared" si="343"/>
        <v>103742.61</v>
      </c>
      <c r="AD1335" s="108">
        <f t="shared" si="343"/>
        <v>0</v>
      </c>
      <c r="AE1335" s="108">
        <f t="shared" si="343"/>
        <v>0</v>
      </c>
      <c r="AF1335" s="110" t="s">
        <v>1655</v>
      </c>
      <c r="AG1335" s="110" t="s">
        <v>1655</v>
      </c>
      <c r="AH1335" s="110" t="s">
        <v>1655</v>
      </c>
      <c r="AI1335" s="105"/>
      <c r="AJ1335" s="107"/>
      <c r="AK1335" s="113"/>
      <c r="AL1335" s="105"/>
      <c r="AM1335" s="105"/>
      <c r="AR1335" s="210"/>
      <c r="AS1335" s="158"/>
      <c r="BF1335" s="208"/>
      <c r="BR1335" s="208"/>
      <c r="BU1335" s="158"/>
      <c r="CH1335" s="208"/>
      <c r="CK1335" s="208"/>
      <c r="EJ1335" s="64"/>
      <c r="EL1335" s="158"/>
      <c r="EU1335" s="208"/>
      <c r="FI1335" s="64"/>
      <c r="FL1335" s="211"/>
      <c r="FM1335" s="158"/>
      <c r="FV1335" s="208"/>
      <c r="GN1335" s="212"/>
      <c r="GX1335" s="208"/>
      <c r="GZ1335" s="158"/>
      <c r="HB1335" s="208"/>
      <c r="HO1335" s="207" t="s">
        <v>1657</v>
      </c>
      <c r="HP1335" s="207">
        <v>44890.35</v>
      </c>
    </row>
    <row r="1336" spans="1:224" s="207" customFormat="1" ht="63" x14ac:dyDescent="0.85">
      <c r="A1336" s="208"/>
      <c r="B1336" s="114">
        <v>1</v>
      </c>
      <c r="C1336" s="25" t="s">
        <v>1873</v>
      </c>
      <c r="D1336" s="116">
        <f>E1336+F1336+G1336+H1336+I1336+J1336+L1336+N1336+P1336+R1336+T1336+U1336+V1336+W1336+X1336+Y1336+Z1336+AA1336+AB1336+AC1336+AD1336+AE1336</f>
        <v>4228150.99</v>
      </c>
      <c r="E1336" s="115">
        <v>0</v>
      </c>
      <c r="F1336" s="116">
        <v>0</v>
      </c>
      <c r="G1336" s="116">
        <v>0</v>
      </c>
      <c r="H1336" s="116">
        <v>0</v>
      </c>
      <c r="I1336" s="116">
        <v>0</v>
      </c>
      <c r="J1336" s="116">
        <v>0</v>
      </c>
      <c r="K1336" s="109">
        <v>0</v>
      </c>
      <c r="L1336" s="116">
        <v>0</v>
      </c>
      <c r="M1336" s="116">
        <v>1122.67</v>
      </c>
      <c r="N1336" s="116">
        <v>4165666</v>
      </c>
      <c r="O1336" s="116">
        <v>0</v>
      </c>
      <c r="P1336" s="116">
        <v>0</v>
      </c>
      <c r="Q1336" s="116">
        <v>0</v>
      </c>
      <c r="R1336" s="116">
        <v>0</v>
      </c>
      <c r="S1336" s="116">
        <v>0</v>
      </c>
      <c r="T1336" s="116">
        <v>0</v>
      </c>
      <c r="U1336" s="116">
        <v>0</v>
      </c>
      <c r="V1336" s="116">
        <v>0</v>
      </c>
      <c r="W1336" s="116">
        <v>0</v>
      </c>
      <c r="X1336" s="116">
        <v>0</v>
      </c>
      <c r="Y1336" s="116">
        <v>0</v>
      </c>
      <c r="Z1336" s="116">
        <v>0</v>
      </c>
      <c r="AA1336" s="116">
        <v>0</v>
      </c>
      <c r="AB1336" s="116">
        <v>0</v>
      </c>
      <c r="AC1336" s="116">
        <v>62484.99</v>
      </c>
      <c r="AD1336" s="116">
        <v>0</v>
      </c>
      <c r="AE1336" s="116">
        <v>0</v>
      </c>
      <c r="AF1336" s="189" t="s">
        <v>268</v>
      </c>
      <c r="AG1336" s="189">
        <v>2020</v>
      </c>
      <c r="AH1336" s="189">
        <v>2020</v>
      </c>
      <c r="AI1336" s="105"/>
      <c r="AJ1336" s="105"/>
      <c r="AK1336" s="113"/>
      <c r="AL1336" s="105"/>
      <c r="AM1336" s="105"/>
      <c r="AR1336" s="210"/>
      <c r="AS1336" s="158"/>
      <c r="BF1336" s="208"/>
      <c r="BR1336" s="208"/>
      <c r="BU1336" s="158"/>
      <c r="CH1336" s="208"/>
      <c r="CK1336" s="208"/>
      <c r="EJ1336" s="64"/>
      <c r="EL1336" s="158"/>
      <c r="EU1336" s="208"/>
      <c r="FI1336" s="64"/>
      <c r="FL1336" s="158"/>
      <c r="FM1336" s="158"/>
      <c r="FV1336" s="208"/>
      <c r="GN1336" s="212"/>
      <c r="GX1336" s="208"/>
      <c r="GZ1336" s="158"/>
      <c r="HO1336" s="207" t="s">
        <v>1658</v>
      </c>
      <c r="HP1336" s="207">
        <v>52429.26</v>
      </c>
    </row>
    <row r="1337" spans="1:224" s="207" customFormat="1" ht="63" x14ac:dyDescent="0.85">
      <c r="A1337" s="208"/>
      <c r="B1337" s="114">
        <v>2</v>
      </c>
      <c r="C1337" s="25" t="s">
        <v>1876</v>
      </c>
      <c r="D1337" s="116">
        <f>E1337+F1337+G1337+H1337+I1337+J1337+L1337+N1337+P1337+R1337+T1337+U1337+V1337+W1337+X1337+Y1337+Z1337+AA1337+AB1337+AC1337+AD1337+AE1337</f>
        <v>2791765.62</v>
      </c>
      <c r="E1337" s="115">
        <v>0</v>
      </c>
      <c r="F1337" s="116">
        <v>0</v>
      </c>
      <c r="G1337" s="116">
        <v>0</v>
      </c>
      <c r="H1337" s="116">
        <v>0</v>
      </c>
      <c r="I1337" s="116">
        <v>0</v>
      </c>
      <c r="J1337" s="116">
        <v>0</v>
      </c>
      <c r="K1337" s="109">
        <v>0</v>
      </c>
      <c r="L1337" s="116">
        <v>0</v>
      </c>
      <c r="M1337" s="116">
        <v>847.2</v>
      </c>
      <c r="N1337" s="116">
        <v>2750508</v>
      </c>
      <c r="O1337" s="116">
        <v>0</v>
      </c>
      <c r="P1337" s="116">
        <v>0</v>
      </c>
      <c r="Q1337" s="116">
        <v>0</v>
      </c>
      <c r="R1337" s="116">
        <v>0</v>
      </c>
      <c r="S1337" s="116">
        <v>0</v>
      </c>
      <c r="T1337" s="116">
        <v>0</v>
      </c>
      <c r="U1337" s="116">
        <v>0</v>
      </c>
      <c r="V1337" s="116">
        <v>0</v>
      </c>
      <c r="W1337" s="116">
        <v>0</v>
      </c>
      <c r="X1337" s="116">
        <v>0</v>
      </c>
      <c r="Y1337" s="116">
        <v>0</v>
      </c>
      <c r="Z1337" s="116">
        <v>0</v>
      </c>
      <c r="AA1337" s="116">
        <v>0</v>
      </c>
      <c r="AB1337" s="116">
        <v>0</v>
      </c>
      <c r="AC1337" s="116">
        <v>41257.620000000003</v>
      </c>
      <c r="AD1337" s="116">
        <v>0</v>
      </c>
      <c r="AE1337" s="116">
        <v>0</v>
      </c>
      <c r="AF1337" s="189" t="s">
        <v>268</v>
      </c>
      <c r="AG1337" s="189">
        <v>2020</v>
      </c>
      <c r="AH1337" s="189">
        <v>2020</v>
      </c>
      <c r="AI1337" s="105"/>
      <c r="AJ1337" s="105"/>
      <c r="AK1337" s="113"/>
      <c r="AL1337" s="105"/>
      <c r="AM1337" s="105"/>
      <c r="AR1337" s="210"/>
      <c r="AS1337" s="158"/>
      <c r="BF1337" s="208"/>
      <c r="BR1337" s="208"/>
      <c r="BU1337" s="158"/>
      <c r="CH1337" s="208"/>
      <c r="CK1337" s="208"/>
      <c r="EJ1337" s="64"/>
      <c r="EL1337" s="158"/>
      <c r="EU1337" s="208"/>
      <c r="FI1337" s="64"/>
      <c r="FL1337" s="158"/>
      <c r="FM1337" s="158"/>
      <c r="FV1337" s="208"/>
      <c r="GN1337" s="212"/>
      <c r="GX1337" s="208"/>
      <c r="GZ1337" s="158"/>
      <c r="HO1337" s="207" t="s">
        <v>1658</v>
      </c>
      <c r="HP1337" s="207">
        <v>52429.26</v>
      </c>
    </row>
    <row r="1338" spans="1:224" s="207" customFormat="1" ht="63" x14ac:dyDescent="0.85">
      <c r="A1338" s="208"/>
      <c r="B1338" s="114">
        <v>3</v>
      </c>
      <c r="C1338" s="25" t="s">
        <v>1877</v>
      </c>
      <c r="D1338" s="116">
        <f>E1338+F1338+G1338+H1338+I1338+J1338+L1338+N1338+P1338+R1338+T1338+U1338+V1338+W1338+X1338+Y1338+Z1338+AA1338+AB1338+AC1338+AD1338+AE1338</f>
        <v>6515337</v>
      </c>
      <c r="E1338" s="115">
        <v>0</v>
      </c>
      <c r="F1338" s="116">
        <v>0</v>
      </c>
      <c r="G1338" s="116">
        <v>994637</v>
      </c>
      <c r="H1338" s="116">
        <v>0</v>
      </c>
      <c r="I1338" s="116">
        <v>1224682</v>
      </c>
      <c r="J1338" s="116">
        <v>0</v>
      </c>
      <c r="K1338" s="109">
        <v>0</v>
      </c>
      <c r="L1338" s="116">
        <v>0</v>
      </c>
      <c r="M1338" s="116">
        <v>1549.75</v>
      </c>
      <c r="N1338" s="116">
        <v>4296018</v>
      </c>
      <c r="O1338" s="116">
        <v>0</v>
      </c>
      <c r="P1338" s="116">
        <v>0</v>
      </c>
      <c r="Q1338" s="116">
        <v>0</v>
      </c>
      <c r="R1338" s="116">
        <v>0</v>
      </c>
      <c r="S1338" s="116">
        <v>0</v>
      </c>
      <c r="T1338" s="116">
        <v>0</v>
      </c>
      <c r="U1338" s="116">
        <v>0</v>
      </c>
      <c r="V1338" s="116">
        <v>0</v>
      </c>
      <c r="W1338" s="116">
        <v>0</v>
      </c>
      <c r="X1338" s="116">
        <v>0</v>
      </c>
      <c r="Y1338" s="116">
        <v>0</v>
      </c>
      <c r="Z1338" s="116">
        <v>0</v>
      </c>
      <c r="AA1338" s="116">
        <v>0</v>
      </c>
      <c r="AB1338" s="116">
        <v>0</v>
      </c>
      <c r="AC1338" s="116">
        <v>0</v>
      </c>
      <c r="AD1338" s="116">
        <v>0</v>
      </c>
      <c r="AE1338" s="116">
        <v>0</v>
      </c>
      <c r="AF1338" s="189" t="s">
        <v>268</v>
      </c>
      <c r="AG1338" s="189">
        <v>2020</v>
      </c>
      <c r="AH1338" s="189" t="s">
        <v>268</v>
      </c>
      <c r="AI1338" s="105"/>
      <c r="AJ1338" s="105"/>
      <c r="AK1338" s="113"/>
      <c r="AL1338" s="105"/>
      <c r="AM1338" s="105"/>
      <c r="AR1338" s="210"/>
      <c r="AS1338" s="158"/>
      <c r="BF1338" s="208"/>
      <c r="BR1338" s="208"/>
      <c r="BU1338" s="158"/>
      <c r="CH1338" s="208"/>
      <c r="CK1338" s="208"/>
      <c r="EJ1338" s="64"/>
      <c r="EL1338" s="158"/>
      <c r="EU1338" s="208"/>
      <c r="FI1338" s="64"/>
      <c r="FL1338" s="158"/>
      <c r="FM1338" s="158"/>
      <c r="FV1338" s="208"/>
      <c r="GN1338" s="212"/>
      <c r="GX1338" s="208"/>
      <c r="GZ1338" s="158"/>
      <c r="HO1338" s="207" t="s">
        <v>1658</v>
      </c>
      <c r="HP1338" s="207">
        <v>52429.26</v>
      </c>
    </row>
    <row r="1339" spans="1:224" s="207" customFormat="1" ht="76.5" x14ac:dyDescent="0.85">
      <c r="B1339" s="112" t="s">
        <v>837</v>
      </c>
      <c r="C1339" s="25"/>
      <c r="D1339" s="116">
        <f t="shared" ref="D1339:AE1341" si="344">SUM(D1340:D1340)</f>
        <v>1806013.41</v>
      </c>
      <c r="E1339" s="108">
        <f t="shared" si="344"/>
        <v>0</v>
      </c>
      <c r="F1339" s="108">
        <f t="shared" si="344"/>
        <v>0</v>
      </c>
      <c r="G1339" s="108">
        <f t="shared" si="344"/>
        <v>0</v>
      </c>
      <c r="H1339" s="108">
        <f t="shared" si="344"/>
        <v>0</v>
      </c>
      <c r="I1339" s="108">
        <f t="shared" si="344"/>
        <v>0</v>
      </c>
      <c r="J1339" s="108">
        <f t="shared" si="344"/>
        <v>0</v>
      </c>
      <c r="K1339" s="109">
        <f t="shared" si="344"/>
        <v>0</v>
      </c>
      <c r="L1339" s="108">
        <f t="shared" si="344"/>
        <v>0</v>
      </c>
      <c r="M1339" s="108">
        <f t="shared" si="344"/>
        <v>691.1</v>
      </c>
      <c r="N1339" s="108">
        <f t="shared" si="344"/>
        <v>1806013.41</v>
      </c>
      <c r="O1339" s="108">
        <f t="shared" si="344"/>
        <v>0</v>
      </c>
      <c r="P1339" s="108">
        <f t="shared" si="344"/>
        <v>0</v>
      </c>
      <c r="Q1339" s="108">
        <f t="shared" si="344"/>
        <v>0</v>
      </c>
      <c r="R1339" s="108">
        <f t="shared" si="344"/>
        <v>0</v>
      </c>
      <c r="S1339" s="108">
        <f t="shared" si="344"/>
        <v>0</v>
      </c>
      <c r="T1339" s="108">
        <f t="shared" si="344"/>
        <v>0</v>
      </c>
      <c r="U1339" s="108">
        <f t="shared" si="344"/>
        <v>0</v>
      </c>
      <c r="V1339" s="108">
        <f t="shared" si="344"/>
        <v>0</v>
      </c>
      <c r="W1339" s="108">
        <f t="shared" si="344"/>
        <v>0</v>
      </c>
      <c r="X1339" s="108">
        <f t="shared" si="344"/>
        <v>0</v>
      </c>
      <c r="Y1339" s="108">
        <f t="shared" si="344"/>
        <v>0</v>
      </c>
      <c r="Z1339" s="108">
        <f t="shared" si="344"/>
        <v>0</v>
      </c>
      <c r="AA1339" s="108">
        <f t="shared" si="344"/>
        <v>0</v>
      </c>
      <c r="AB1339" s="108">
        <f t="shared" si="344"/>
        <v>0</v>
      </c>
      <c r="AC1339" s="116">
        <f t="shared" si="344"/>
        <v>0</v>
      </c>
      <c r="AD1339" s="108">
        <f t="shared" si="344"/>
        <v>0</v>
      </c>
      <c r="AE1339" s="108">
        <f t="shared" si="344"/>
        <v>0</v>
      </c>
      <c r="AF1339" s="110" t="s">
        <v>1655</v>
      </c>
      <c r="AG1339" s="110" t="s">
        <v>1655</v>
      </c>
      <c r="AH1339" s="110" t="s">
        <v>1655</v>
      </c>
      <c r="AI1339" s="105"/>
      <c r="AJ1339" s="107"/>
      <c r="AK1339" s="113"/>
      <c r="AL1339" s="105"/>
      <c r="AM1339" s="105"/>
      <c r="AR1339" s="210"/>
      <c r="AS1339" s="158"/>
      <c r="BF1339" s="208"/>
      <c r="BR1339" s="208"/>
      <c r="BU1339" s="158"/>
      <c r="CH1339" s="208"/>
      <c r="CK1339" s="208"/>
      <c r="EJ1339" s="64"/>
      <c r="EL1339" s="158"/>
      <c r="EU1339" s="208"/>
      <c r="FI1339" s="64"/>
      <c r="FL1339" s="211"/>
      <c r="FM1339" s="158"/>
      <c r="FV1339" s="208"/>
      <c r="GN1339" s="212"/>
      <c r="GX1339" s="208"/>
      <c r="GZ1339" s="158"/>
      <c r="HB1339" s="208"/>
      <c r="HO1339" s="207" t="s">
        <v>1657</v>
      </c>
      <c r="HP1339" s="207">
        <v>44890.35</v>
      </c>
    </row>
    <row r="1340" spans="1:224" s="88" customFormat="1" ht="76.5" customHeight="1" x14ac:dyDescent="0.85">
      <c r="A1340" s="208"/>
      <c r="B1340" s="114">
        <v>4</v>
      </c>
      <c r="C1340" s="101" t="s">
        <v>1875</v>
      </c>
      <c r="D1340" s="116">
        <f>E1340+F1340+G1340+H1340+I1340+J1340+L1340+N1340+P1340+R1340+T1340+U1340+V1340+W1340+X1340+Y1340+Z1340+AA1340+AB1340+AC1340+AD1340+AE1340</f>
        <v>1806013.41</v>
      </c>
      <c r="E1340" s="115">
        <v>0</v>
      </c>
      <c r="F1340" s="116">
        <v>0</v>
      </c>
      <c r="G1340" s="116">
        <v>0</v>
      </c>
      <c r="H1340" s="116">
        <v>0</v>
      </c>
      <c r="I1340" s="116">
        <v>0</v>
      </c>
      <c r="J1340" s="116">
        <v>0</v>
      </c>
      <c r="K1340" s="109">
        <v>0</v>
      </c>
      <c r="L1340" s="116">
        <v>0</v>
      </c>
      <c r="M1340" s="116">
        <v>691.1</v>
      </c>
      <c r="N1340" s="116">
        <v>1806013.41</v>
      </c>
      <c r="O1340" s="116">
        <v>0</v>
      </c>
      <c r="P1340" s="116">
        <v>0</v>
      </c>
      <c r="Q1340" s="116">
        <v>0</v>
      </c>
      <c r="R1340" s="116">
        <v>0</v>
      </c>
      <c r="S1340" s="116">
        <v>0</v>
      </c>
      <c r="T1340" s="116">
        <v>0</v>
      </c>
      <c r="U1340" s="116">
        <v>0</v>
      </c>
      <c r="V1340" s="116">
        <v>0</v>
      </c>
      <c r="W1340" s="116">
        <v>0</v>
      </c>
      <c r="X1340" s="116">
        <v>0</v>
      </c>
      <c r="Y1340" s="116">
        <v>0</v>
      </c>
      <c r="Z1340" s="116">
        <v>0</v>
      </c>
      <c r="AA1340" s="116">
        <v>0</v>
      </c>
      <c r="AB1340" s="116">
        <v>0</v>
      </c>
      <c r="AC1340" s="116">
        <v>0</v>
      </c>
      <c r="AD1340" s="116">
        <v>0</v>
      </c>
      <c r="AE1340" s="116">
        <v>0</v>
      </c>
      <c r="AF1340" s="189" t="s">
        <v>268</v>
      </c>
      <c r="AG1340" s="189">
        <v>2020</v>
      </c>
      <c r="AH1340" s="189" t="s">
        <v>268</v>
      </c>
      <c r="AI1340" s="105"/>
      <c r="AJ1340" s="105"/>
      <c r="AK1340" s="113"/>
      <c r="AL1340" s="105"/>
      <c r="AM1340" s="105"/>
      <c r="AR1340" s="116"/>
      <c r="AS1340" s="158"/>
      <c r="BF1340" s="208"/>
      <c r="BR1340" s="208"/>
      <c r="BU1340" s="158"/>
      <c r="CH1340" s="208"/>
      <c r="CK1340" s="208"/>
      <c r="EJ1340" s="64"/>
      <c r="EL1340" s="158"/>
      <c r="EU1340" s="208"/>
      <c r="FI1340" s="64"/>
      <c r="FL1340" s="158"/>
      <c r="FM1340" s="158"/>
      <c r="FV1340" s="208"/>
      <c r="GN1340" s="212"/>
      <c r="GX1340" s="208"/>
      <c r="GZ1340" s="158"/>
      <c r="HO1340" s="88" t="s">
        <v>1658</v>
      </c>
      <c r="HP1340" s="88">
        <v>52429.26</v>
      </c>
    </row>
    <row r="1341" spans="1:224" s="207" customFormat="1" ht="76.5" x14ac:dyDescent="0.85">
      <c r="B1341" s="112" t="s">
        <v>891</v>
      </c>
      <c r="C1341" s="25"/>
      <c r="D1341" s="116">
        <f t="shared" si="344"/>
        <v>1947090.69</v>
      </c>
      <c r="E1341" s="108">
        <f t="shared" si="344"/>
        <v>0</v>
      </c>
      <c r="F1341" s="108">
        <f t="shared" si="344"/>
        <v>0</v>
      </c>
      <c r="G1341" s="108">
        <f t="shared" si="344"/>
        <v>0</v>
      </c>
      <c r="H1341" s="108">
        <f t="shared" si="344"/>
        <v>0</v>
      </c>
      <c r="I1341" s="108">
        <f t="shared" si="344"/>
        <v>0</v>
      </c>
      <c r="J1341" s="108">
        <f t="shared" si="344"/>
        <v>0</v>
      </c>
      <c r="K1341" s="109">
        <f t="shared" si="344"/>
        <v>0</v>
      </c>
      <c r="L1341" s="108">
        <f t="shared" si="344"/>
        <v>0</v>
      </c>
      <c r="M1341" s="108">
        <f t="shared" si="344"/>
        <v>370</v>
      </c>
      <c r="N1341" s="108">
        <f t="shared" si="344"/>
        <v>1947090.69</v>
      </c>
      <c r="O1341" s="108">
        <f t="shared" si="344"/>
        <v>0</v>
      </c>
      <c r="P1341" s="108">
        <f t="shared" si="344"/>
        <v>0</v>
      </c>
      <c r="Q1341" s="108">
        <f t="shared" si="344"/>
        <v>0</v>
      </c>
      <c r="R1341" s="108">
        <f t="shared" si="344"/>
        <v>0</v>
      </c>
      <c r="S1341" s="108">
        <f t="shared" si="344"/>
        <v>0</v>
      </c>
      <c r="T1341" s="108">
        <f t="shared" si="344"/>
        <v>0</v>
      </c>
      <c r="U1341" s="108">
        <f t="shared" si="344"/>
        <v>0</v>
      </c>
      <c r="V1341" s="108">
        <f t="shared" si="344"/>
        <v>0</v>
      </c>
      <c r="W1341" s="108">
        <f t="shared" si="344"/>
        <v>0</v>
      </c>
      <c r="X1341" s="108">
        <f t="shared" si="344"/>
        <v>0</v>
      </c>
      <c r="Y1341" s="108">
        <f t="shared" si="344"/>
        <v>0</v>
      </c>
      <c r="Z1341" s="108">
        <f t="shared" si="344"/>
        <v>0</v>
      </c>
      <c r="AA1341" s="108">
        <f t="shared" si="344"/>
        <v>0</v>
      </c>
      <c r="AB1341" s="108">
        <f t="shared" si="344"/>
        <v>0</v>
      </c>
      <c r="AC1341" s="116">
        <f t="shared" si="344"/>
        <v>0</v>
      </c>
      <c r="AD1341" s="108">
        <f t="shared" si="344"/>
        <v>0</v>
      </c>
      <c r="AE1341" s="108">
        <f t="shared" si="344"/>
        <v>0</v>
      </c>
      <c r="AF1341" s="110" t="s">
        <v>1655</v>
      </c>
      <c r="AG1341" s="110" t="s">
        <v>1655</v>
      </c>
      <c r="AH1341" s="110" t="s">
        <v>1655</v>
      </c>
      <c r="AI1341" s="105"/>
      <c r="AJ1341" s="107"/>
      <c r="AK1341" s="113"/>
      <c r="AL1341" s="105"/>
      <c r="AM1341" s="105"/>
      <c r="AR1341" s="210"/>
      <c r="AS1341" s="158"/>
      <c r="BF1341" s="208"/>
      <c r="BR1341" s="208"/>
      <c r="BU1341" s="158"/>
      <c r="CH1341" s="208"/>
      <c r="CK1341" s="208"/>
      <c r="EJ1341" s="64"/>
      <c r="EL1341" s="158"/>
      <c r="EU1341" s="208"/>
      <c r="FI1341" s="64"/>
      <c r="FL1341" s="211"/>
      <c r="FM1341" s="158"/>
      <c r="FV1341" s="208"/>
      <c r="GN1341" s="212"/>
      <c r="GX1341" s="208"/>
      <c r="GZ1341" s="158"/>
      <c r="HB1341" s="208"/>
      <c r="HO1341" s="207" t="s">
        <v>1657</v>
      </c>
      <c r="HP1341" s="207">
        <v>44890.35</v>
      </c>
    </row>
    <row r="1342" spans="1:224" s="88" customFormat="1" ht="76.5" customHeight="1" x14ac:dyDescent="0.85">
      <c r="A1342" s="208"/>
      <c r="B1342" s="114">
        <v>5</v>
      </c>
      <c r="C1342" s="101" t="s">
        <v>1925</v>
      </c>
      <c r="D1342" s="116">
        <f>E1342+F1342+G1342+H1342+I1342+J1342+L1342+N1342+P1342+R1342+T1342+U1342+V1342+W1342+X1342+Y1342+Z1342+AA1342+AB1342+AC1342+AD1342+AE1342</f>
        <v>1947090.69</v>
      </c>
      <c r="E1342" s="115">
        <v>0</v>
      </c>
      <c r="F1342" s="116">
        <v>0</v>
      </c>
      <c r="G1342" s="116">
        <v>0</v>
      </c>
      <c r="H1342" s="116">
        <v>0</v>
      </c>
      <c r="I1342" s="116">
        <v>0</v>
      </c>
      <c r="J1342" s="116">
        <v>0</v>
      </c>
      <c r="K1342" s="109">
        <v>0</v>
      </c>
      <c r="L1342" s="116">
        <v>0</v>
      </c>
      <c r="M1342" s="116">
        <v>370</v>
      </c>
      <c r="N1342" s="116">
        <v>1947090.69</v>
      </c>
      <c r="O1342" s="116">
        <v>0</v>
      </c>
      <c r="P1342" s="116">
        <v>0</v>
      </c>
      <c r="Q1342" s="116">
        <v>0</v>
      </c>
      <c r="R1342" s="116">
        <v>0</v>
      </c>
      <c r="S1342" s="116">
        <v>0</v>
      </c>
      <c r="T1342" s="116">
        <v>0</v>
      </c>
      <c r="U1342" s="116">
        <v>0</v>
      </c>
      <c r="V1342" s="116">
        <v>0</v>
      </c>
      <c r="W1342" s="116">
        <v>0</v>
      </c>
      <c r="X1342" s="116">
        <v>0</v>
      </c>
      <c r="Y1342" s="116">
        <v>0</v>
      </c>
      <c r="Z1342" s="116">
        <v>0</v>
      </c>
      <c r="AA1342" s="116">
        <v>0</v>
      </c>
      <c r="AB1342" s="116">
        <v>0</v>
      </c>
      <c r="AC1342" s="116">
        <v>0</v>
      </c>
      <c r="AD1342" s="116">
        <v>0</v>
      </c>
      <c r="AE1342" s="116">
        <v>0</v>
      </c>
      <c r="AF1342" s="189" t="s">
        <v>268</v>
      </c>
      <c r="AG1342" s="189">
        <v>2020</v>
      </c>
      <c r="AH1342" s="189" t="s">
        <v>268</v>
      </c>
      <c r="AI1342" s="105"/>
      <c r="AJ1342" s="105"/>
      <c r="AK1342" s="113"/>
      <c r="AL1342" s="105"/>
      <c r="AM1342" s="105"/>
      <c r="AR1342" s="116"/>
      <c r="AS1342" s="158"/>
      <c r="BF1342" s="208"/>
      <c r="BR1342" s="208"/>
      <c r="BU1342" s="158"/>
      <c r="CH1342" s="208"/>
      <c r="CK1342" s="208"/>
      <c r="EJ1342" s="64"/>
      <c r="EL1342" s="158"/>
      <c r="EU1342" s="208"/>
      <c r="FI1342" s="64"/>
      <c r="FL1342" s="158"/>
      <c r="FM1342" s="158"/>
      <c r="FV1342" s="208"/>
      <c r="GN1342" s="212"/>
      <c r="GX1342" s="208"/>
      <c r="GZ1342" s="158"/>
      <c r="HO1342" s="88" t="s">
        <v>1658</v>
      </c>
      <c r="HP1342" s="88">
        <v>52429.26</v>
      </c>
    </row>
  </sheetData>
  <autoFilter ref="A18:HP1342" xr:uid="{60502653-DC43-432B-A4F0-60D38A93AE5C}"/>
  <mergeCells count="47">
    <mergeCell ref="B1333:AH1333"/>
    <mergeCell ref="B1334:C1334"/>
    <mergeCell ref="D11:D16"/>
    <mergeCell ref="B11:B17"/>
    <mergeCell ref="C11:C17"/>
    <mergeCell ref="AG11:AG17"/>
    <mergeCell ref="AH11:AH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C9:AH9"/>
    <mergeCell ref="AB12:AB16"/>
    <mergeCell ref="AC12:AC16"/>
    <mergeCell ref="E13:E16"/>
    <mergeCell ref="F13:F16"/>
    <mergeCell ref="U11:AE11"/>
    <mergeCell ref="AF11:AF17"/>
    <mergeCell ref="G13:G16"/>
    <mergeCell ref="H13:H16"/>
    <mergeCell ref="I13:I16"/>
    <mergeCell ref="X12:X16"/>
    <mergeCell ref="Y12:Y16"/>
    <mergeCell ref="J13:J16"/>
    <mergeCell ref="U12:U16"/>
    <mergeCell ref="V12:V16"/>
    <mergeCell ref="W12:W16"/>
    <mergeCell ref="B7:B8"/>
    <mergeCell ref="W1:AH1"/>
    <mergeCell ref="V2:AH2"/>
    <mergeCell ref="V3:AH3"/>
    <mergeCell ref="B4:AH4"/>
    <mergeCell ref="B5:AH5"/>
    <mergeCell ref="B6:AH6"/>
    <mergeCell ref="C7:AH8"/>
    <mergeCell ref="B1328:C1328"/>
    <mergeCell ref="B1318:AH1318"/>
    <mergeCell ref="B1319:AH1319"/>
    <mergeCell ref="B1321:C1321"/>
    <mergeCell ref="Z12:Z16"/>
    <mergeCell ref="AA12:AA16"/>
    <mergeCell ref="B1320:C1320"/>
  </mergeCells>
  <phoneticPr fontId="44" type="noConversion"/>
  <printOptions horizontalCentered="1"/>
  <pageMargins left="0.23622047244094491" right="0.15748031496062992" top="0.39370078740157483" bottom="0.39370078740157483" header="0" footer="0"/>
  <pageSetup paperSize="8" scale="10" fitToHeight="0" orientation="landscape" r:id="rId1"/>
  <headerFooter differentFirst="1">
    <oddHeader>&amp;C&amp;48&amp;P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I1532"/>
  <sheetViews>
    <sheetView view="pageBreakPreview" topLeftCell="B7" zoomScale="30" zoomScaleNormal="40" zoomScaleSheetLayoutView="30" workbookViewId="0">
      <pane xSplit="2" ySplit="6" topLeftCell="D13" activePane="bottomRight" state="frozen"/>
      <selection activeCell="B7" sqref="B7"/>
      <selection pane="topRight" activeCell="D7" sqref="D7"/>
      <selection pane="bottomLeft" activeCell="B13" sqref="B13"/>
      <selection pane="bottomRight" activeCell="P14" sqref="P14:P1311"/>
    </sheetView>
  </sheetViews>
  <sheetFormatPr defaultRowHeight="27.75" x14ac:dyDescent="0.4"/>
  <cols>
    <col min="1" max="1" width="9.140625" style="6" hidden="1" customWidth="1"/>
    <col min="2" max="2" width="19.42578125" style="14" customWidth="1"/>
    <col min="3" max="3" width="168.7109375" style="6" bestFit="1" customWidth="1"/>
    <col min="4" max="4" width="35.140625" style="6" customWidth="1"/>
    <col min="5" max="5" width="29.28515625" style="14" customWidth="1"/>
    <col min="6" max="6" width="52.140625" style="6" customWidth="1"/>
    <col min="7" max="7" width="16.85546875" style="6" customWidth="1"/>
    <col min="8" max="8" width="17" style="6" customWidth="1"/>
    <col min="9" max="9" width="35.7109375" style="6" customWidth="1"/>
    <col min="10" max="10" width="34.7109375" style="6" customWidth="1"/>
    <col min="11" max="11" width="34.28515625" style="6" customWidth="1"/>
    <col min="12" max="12" width="22" style="15" customWidth="1"/>
    <col min="13" max="13" width="32.7109375" style="14" customWidth="1"/>
    <col min="14" max="14" width="43.28515625" style="14" customWidth="1"/>
    <col min="15" max="15" width="136.85546875" style="29" customWidth="1"/>
    <col min="16" max="16" width="46.7109375" style="16" customWidth="1"/>
    <col min="17" max="18" width="30.5703125" style="16" customWidth="1"/>
    <col min="19" max="19" width="41.42578125" style="16" customWidth="1"/>
    <col min="20" max="20" width="30.85546875" style="16" customWidth="1"/>
    <col min="21" max="21" width="32.28515625" style="16" customWidth="1"/>
    <col min="22" max="23" width="32.28515625" style="16" hidden="1" customWidth="1"/>
    <col min="24" max="24" width="32.28515625" style="153" hidden="1" customWidth="1"/>
    <col min="25" max="25" width="28.140625" style="152" hidden="1" customWidth="1"/>
    <col min="26" max="26" width="34.85546875" style="152" hidden="1" customWidth="1"/>
    <col min="27" max="28" width="23" style="152" hidden="1" customWidth="1"/>
    <col min="29" max="29" width="23.85546875" style="152" hidden="1" customWidth="1"/>
    <col min="30" max="30" width="39.28515625" style="153" hidden="1" customWidth="1"/>
    <col min="31" max="31" width="16" style="152" hidden="1" customWidth="1"/>
    <col min="32" max="32" width="30" style="153" hidden="1" customWidth="1"/>
    <col min="33" max="33" width="27.42578125" style="152" hidden="1" customWidth="1"/>
    <col min="34" max="34" width="28.85546875" style="153" hidden="1" customWidth="1"/>
    <col min="35" max="35" width="23.7109375" style="152" hidden="1" customWidth="1"/>
    <col min="36" max="36" width="47.7109375" style="153" hidden="1" customWidth="1"/>
    <col min="37" max="37" width="36.7109375" style="152" hidden="1" customWidth="1"/>
    <col min="38" max="38" width="28.85546875" style="152" hidden="1" customWidth="1"/>
    <col min="39" max="40" width="31.7109375" style="152" hidden="1" customWidth="1"/>
    <col min="41" max="41" width="37.7109375" style="152" hidden="1" customWidth="1"/>
    <col min="42" max="42" width="36" style="6" hidden="1" customWidth="1"/>
    <col min="43" max="74" width="9.140625" style="6" hidden="1" customWidth="1"/>
    <col min="75" max="76" width="9.140625" style="6" customWidth="1"/>
    <col min="77" max="77" width="38.28515625" style="6" bestFit="1" customWidth="1"/>
    <col min="78" max="128" width="9.140625" style="6" customWidth="1"/>
    <col min="129" max="147" width="9.140625" style="6"/>
    <col min="148" max="148" width="13" style="6" bestFit="1" customWidth="1"/>
    <col min="149" max="220" width="9.140625" style="6"/>
    <col min="221" max="221" width="20.5703125" style="6" bestFit="1" customWidth="1"/>
    <col min="222" max="16384" width="9.140625" style="6"/>
  </cols>
  <sheetData>
    <row r="1" spans="1:41" ht="36" x14ac:dyDescent="0.55000000000000004">
      <c r="B1" s="20"/>
      <c r="C1" s="22"/>
      <c r="D1" s="20"/>
      <c r="E1" s="68"/>
      <c r="F1" s="20"/>
      <c r="G1" s="20"/>
      <c r="H1" s="20"/>
      <c r="I1" s="20"/>
      <c r="J1" s="20"/>
      <c r="K1" s="39"/>
      <c r="L1" s="23"/>
      <c r="M1" s="21"/>
      <c r="N1" s="68"/>
      <c r="O1" s="42"/>
      <c r="P1" s="42"/>
      <c r="Q1" s="42"/>
      <c r="R1" s="42"/>
      <c r="S1" s="334" t="s">
        <v>973</v>
      </c>
      <c r="T1" s="334"/>
      <c r="U1" s="334"/>
      <c r="V1" s="186"/>
      <c r="W1" s="186"/>
      <c r="X1" s="145"/>
    </row>
    <row r="2" spans="1:41" ht="112.5" customHeight="1" x14ac:dyDescent="0.4">
      <c r="B2" s="20"/>
      <c r="C2" s="22"/>
      <c r="D2" s="20"/>
      <c r="E2" s="68"/>
      <c r="F2" s="20"/>
      <c r="G2" s="20"/>
      <c r="H2" s="20"/>
      <c r="I2" s="20"/>
      <c r="J2" s="20"/>
      <c r="K2" s="39"/>
      <c r="L2" s="23"/>
      <c r="M2" s="21"/>
      <c r="N2" s="68"/>
      <c r="O2" s="335" t="s">
        <v>974</v>
      </c>
      <c r="P2" s="335"/>
      <c r="Q2" s="335"/>
      <c r="R2" s="335"/>
      <c r="S2" s="335"/>
      <c r="T2" s="335"/>
      <c r="U2" s="335"/>
      <c r="V2" s="187"/>
      <c r="W2" s="187"/>
      <c r="X2" s="146"/>
    </row>
    <row r="3" spans="1:41" ht="15" customHeight="1" x14ac:dyDescent="0.4">
      <c r="B3" s="20"/>
      <c r="C3" s="22"/>
      <c r="D3" s="20"/>
      <c r="E3" s="68"/>
      <c r="F3" s="20"/>
      <c r="G3" s="20"/>
      <c r="H3" s="20"/>
      <c r="I3" s="20"/>
      <c r="J3" s="20"/>
      <c r="K3" s="39"/>
      <c r="L3" s="23"/>
      <c r="M3" s="21"/>
      <c r="N3" s="68"/>
      <c r="O3" s="335"/>
      <c r="P3" s="335"/>
      <c r="Q3" s="335"/>
      <c r="R3" s="335"/>
      <c r="S3" s="335"/>
      <c r="T3" s="335"/>
      <c r="U3" s="335"/>
      <c r="V3" s="187"/>
      <c r="W3" s="187"/>
      <c r="X3" s="146"/>
    </row>
    <row r="4" spans="1:41" ht="15" customHeight="1" x14ac:dyDescent="0.4">
      <c r="B4" s="333" t="s">
        <v>975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185"/>
      <c r="W4" s="185"/>
      <c r="X4" s="147"/>
    </row>
    <row r="5" spans="1:41" ht="15" customHeight="1" x14ac:dyDescent="0.4"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185"/>
      <c r="W5" s="185"/>
      <c r="X5" s="147"/>
    </row>
    <row r="6" spans="1:41" ht="159" customHeight="1" x14ac:dyDescent="0.4"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185"/>
      <c r="W6" s="185"/>
      <c r="X6" s="147"/>
    </row>
    <row r="8" spans="1:41" s="13" customFormat="1" ht="96.75" customHeight="1" x14ac:dyDescent="0.4">
      <c r="B8" s="336" t="s">
        <v>6</v>
      </c>
      <c r="C8" s="336" t="s">
        <v>247</v>
      </c>
      <c r="D8" s="339" t="s">
        <v>248</v>
      </c>
      <c r="E8" s="340"/>
      <c r="F8" s="327" t="s">
        <v>249</v>
      </c>
      <c r="G8" s="327" t="s">
        <v>250</v>
      </c>
      <c r="H8" s="327" t="s">
        <v>251</v>
      </c>
      <c r="I8" s="327" t="s">
        <v>252</v>
      </c>
      <c r="J8" s="339" t="s">
        <v>253</v>
      </c>
      <c r="K8" s="340"/>
      <c r="L8" s="344" t="s">
        <v>1001</v>
      </c>
      <c r="M8" s="330" t="s">
        <v>1003</v>
      </c>
      <c r="N8" s="330" t="s">
        <v>1004</v>
      </c>
      <c r="O8" s="336" t="s">
        <v>254</v>
      </c>
      <c r="P8" s="341" t="s">
        <v>255</v>
      </c>
      <c r="Q8" s="342"/>
      <c r="R8" s="342"/>
      <c r="S8" s="343"/>
      <c r="T8" s="324" t="s">
        <v>256</v>
      </c>
      <c r="U8" s="324" t="s">
        <v>257</v>
      </c>
      <c r="V8" s="89"/>
      <c r="W8" s="89"/>
      <c r="X8" s="148"/>
      <c r="Y8" s="152"/>
      <c r="Z8" s="152"/>
      <c r="AA8" s="152"/>
      <c r="AB8" s="152"/>
      <c r="AC8" s="152"/>
      <c r="AD8" s="153"/>
      <c r="AE8" s="152"/>
      <c r="AF8" s="153"/>
      <c r="AG8" s="152"/>
      <c r="AH8" s="153"/>
      <c r="AI8" s="152"/>
      <c r="AJ8" s="153"/>
      <c r="AK8" s="152"/>
      <c r="AL8" s="152"/>
      <c r="AM8" s="152"/>
      <c r="AN8" s="152"/>
      <c r="AO8" s="152"/>
    </row>
    <row r="9" spans="1:41" s="13" customFormat="1" ht="339.75" customHeight="1" x14ac:dyDescent="0.4">
      <c r="B9" s="337"/>
      <c r="C9" s="337"/>
      <c r="D9" s="327" t="s">
        <v>258</v>
      </c>
      <c r="E9" s="327" t="s">
        <v>259</v>
      </c>
      <c r="F9" s="328"/>
      <c r="G9" s="328"/>
      <c r="H9" s="328"/>
      <c r="I9" s="328"/>
      <c r="J9" s="327" t="s">
        <v>260</v>
      </c>
      <c r="K9" s="327" t="s">
        <v>1002</v>
      </c>
      <c r="L9" s="345"/>
      <c r="M9" s="331"/>
      <c r="N9" s="331"/>
      <c r="O9" s="337"/>
      <c r="P9" s="324" t="s">
        <v>260</v>
      </c>
      <c r="Q9" s="324" t="s">
        <v>261</v>
      </c>
      <c r="R9" s="324" t="s">
        <v>262</v>
      </c>
      <c r="S9" s="324" t="s">
        <v>1005</v>
      </c>
      <c r="T9" s="325"/>
      <c r="U9" s="325"/>
      <c r="V9" s="90"/>
      <c r="W9" s="90"/>
      <c r="X9" s="149"/>
      <c r="Y9" s="152"/>
      <c r="Z9" s="152"/>
      <c r="AA9" s="152"/>
      <c r="AB9" s="152"/>
      <c r="AC9" s="152"/>
      <c r="AD9" s="153"/>
      <c r="AE9" s="152"/>
      <c r="AF9" s="153"/>
      <c r="AG9" s="152"/>
      <c r="AH9" s="153"/>
      <c r="AI9" s="152"/>
      <c r="AJ9" s="153"/>
      <c r="AK9" s="152"/>
      <c r="AL9" s="152"/>
      <c r="AM9" s="152"/>
      <c r="AN9" s="152"/>
      <c r="AO9" s="152"/>
    </row>
    <row r="10" spans="1:41" s="13" customFormat="1" ht="45" customHeight="1" x14ac:dyDescent="0.4">
      <c r="B10" s="337"/>
      <c r="C10" s="337"/>
      <c r="D10" s="328"/>
      <c r="E10" s="328"/>
      <c r="F10" s="328"/>
      <c r="G10" s="328"/>
      <c r="H10" s="328"/>
      <c r="I10" s="329"/>
      <c r="J10" s="329"/>
      <c r="K10" s="329"/>
      <c r="L10" s="346"/>
      <c r="M10" s="331"/>
      <c r="N10" s="331"/>
      <c r="O10" s="337"/>
      <c r="P10" s="326"/>
      <c r="Q10" s="326"/>
      <c r="R10" s="326"/>
      <c r="S10" s="326"/>
      <c r="T10" s="326"/>
      <c r="U10" s="326"/>
      <c r="V10" s="90"/>
      <c r="W10" s="90"/>
      <c r="X10" s="149"/>
      <c r="Y10" s="152"/>
      <c r="Z10" s="152"/>
      <c r="AA10" s="152"/>
      <c r="AB10" s="152"/>
      <c r="AC10" s="152"/>
      <c r="AD10" s="153"/>
      <c r="AE10" s="152"/>
      <c r="AF10" s="153"/>
      <c r="AG10" s="152"/>
      <c r="AH10" s="153"/>
      <c r="AI10" s="152"/>
      <c r="AJ10" s="153"/>
      <c r="AK10" s="152"/>
      <c r="AL10" s="152"/>
      <c r="AM10" s="152"/>
      <c r="AN10" s="152"/>
      <c r="AO10" s="152"/>
    </row>
    <row r="11" spans="1:41" s="13" customFormat="1" ht="48" customHeight="1" x14ac:dyDescent="0.4">
      <c r="B11" s="338"/>
      <c r="C11" s="338"/>
      <c r="D11" s="329"/>
      <c r="E11" s="329"/>
      <c r="F11" s="329"/>
      <c r="G11" s="329"/>
      <c r="H11" s="329"/>
      <c r="I11" s="178" t="s">
        <v>38</v>
      </c>
      <c r="J11" s="178" t="s">
        <v>38</v>
      </c>
      <c r="K11" s="178" t="s">
        <v>38</v>
      </c>
      <c r="L11" s="43" t="s">
        <v>263</v>
      </c>
      <c r="M11" s="332"/>
      <c r="N11" s="332"/>
      <c r="O11" s="338"/>
      <c r="P11" s="44" t="s">
        <v>36</v>
      </c>
      <c r="Q11" s="44" t="s">
        <v>36</v>
      </c>
      <c r="R11" s="44" t="s">
        <v>36</v>
      </c>
      <c r="S11" s="44" t="s">
        <v>36</v>
      </c>
      <c r="T11" s="44" t="s">
        <v>264</v>
      </c>
      <c r="U11" s="44" t="s">
        <v>264</v>
      </c>
      <c r="V11" s="91"/>
      <c r="W11" s="91"/>
      <c r="X11" s="150" t="s">
        <v>1912</v>
      </c>
      <c r="Y11" s="152" t="s">
        <v>1913</v>
      </c>
      <c r="Z11" s="152" t="s">
        <v>1914</v>
      </c>
      <c r="AA11" s="152" t="s">
        <v>1915</v>
      </c>
      <c r="AB11" s="152" t="s">
        <v>1916</v>
      </c>
      <c r="AC11" s="152"/>
      <c r="AD11" s="153" t="s">
        <v>1917</v>
      </c>
      <c r="AE11" s="152"/>
      <c r="AF11" s="153" t="s">
        <v>1918</v>
      </c>
      <c r="AG11" s="152"/>
      <c r="AH11" s="153" t="s">
        <v>1919</v>
      </c>
      <c r="AI11" s="152"/>
      <c r="AJ11" s="153" t="s">
        <v>1920</v>
      </c>
      <c r="AK11" s="152"/>
      <c r="AL11" s="152" t="s">
        <v>1921</v>
      </c>
      <c r="AM11" s="152" t="s">
        <v>1922</v>
      </c>
      <c r="AN11" s="152"/>
      <c r="AO11" s="152" t="s">
        <v>1923</v>
      </c>
    </row>
    <row r="12" spans="1:41" s="13" customFormat="1" ht="40.5" customHeight="1" x14ac:dyDescent="0.4">
      <c r="B12" s="178">
        <v>1</v>
      </c>
      <c r="C12" s="178">
        <v>2</v>
      </c>
      <c r="D12" s="178">
        <v>3</v>
      </c>
      <c r="E12" s="178">
        <v>4</v>
      </c>
      <c r="F12" s="178">
        <v>5</v>
      </c>
      <c r="G12" s="178">
        <v>6</v>
      </c>
      <c r="H12" s="178">
        <v>7</v>
      </c>
      <c r="I12" s="178">
        <v>8</v>
      </c>
      <c r="J12" s="178">
        <v>9</v>
      </c>
      <c r="K12" s="178">
        <v>10</v>
      </c>
      <c r="L12" s="43">
        <v>11</v>
      </c>
      <c r="M12" s="178">
        <v>12</v>
      </c>
      <c r="N12" s="178">
        <v>13</v>
      </c>
      <c r="O12" s="177">
        <v>14</v>
      </c>
      <c r="P12" s="178">
        <v>15</v>
      </c>
      <c r="Q12" s="178">
        <v>16</v>
      </c>
      <c r="R12" s="178">
        <v>17</v>
      </c>
      <c r="S12" s="178">
        <v>18</v>
      </c>
      <c r="T12" s="178">
        <v>19</v>
      </c>
      <c r="U12" s="178">
        <v>20</v>
      </c>
      <c r="V12" s="92"/>
      <c r="W12" s="92"/>
      <c r="X12" s="151"/>
      <c r="Y12" s="152"/>
      <c r="Z12" s="152"/>
      <c r="AA12" s="152"/>
      <c r="AB12" s="152"/>
      <c r="AC12" s="152"/>
      <c r="AD12" s="153"/>
      <c r="AE12" s="152"/>
      <c r="AF12" s="153"/>
      <c r="AG12" s="152"/>
      <c r="AH12" s="153"/>
      <c r="AI12" s="152"/>
      <c r="AJ12" s="153"/>
      <c r="AK12" s="152"/>
      <c r="AL12" s="152"/>
      <c r="AM12" s="152"/>
      <c r="AN12" s="152"/>
      <c r="AO12" s="152"/>
    </row>
    <row r="13" spans="1:41" s="223" customFormat="1" ht="36" customHeight="1" x14ac:dyDescent="0.25">
      <c r="A13" s="214"/>
      <c r="B13" s="215" t="s">
        <v>752</v>
      </c>
      <c r="C13" s="216"/>
      <c r="D13" s="217" t="s">
        <v>890</v>
      </c>
      <c r="E13" s="217" t="s">
        <v>890</v>
      </c>
      <c r="F13" s="217" t="s">
        <v>890</v>
      </c>
      <c r="G13" s="217" t="s">
        <v>890</v>
      </c>
      <c r="H13" s="217" t="s">
        <v>890</v>
      </c>
      <c r="I13" s="218">
        <f>I14+I550+I1028</f>
        <v>2801110.42</v>
      </c>
      <c r="J13" s="218">
        <f>J14+J550+J1028</f>
        <v>2336512.8900000006</v>
      </c>
      <c r="K13" s="218">
        <f>K14+K550+K1028</f>
        <v>2163067.91</v>
      </c>
      <c r="L13" s="219">
        <f>L14+L550+L1028</f>
        <v>107819</v>
      </c>
      <c r="M13" s="217" t="s">
        <v>890</v>
      </c>
      <c r="N13" s="217" t="s">
        <v>890</v>
      </c>
      <c r="O13" s="220" t="s">
        <v>890</v>
      </c>
      <c r="P13" s="218">
        <f>P14+P550+P1028</f>
        <v>3429517613.6499996</v>
      </c>
      <c r="Q13" s="218">
        <f>Q14+Q550+Q1028</f>
        <v>0</v>
      </c>
      <c r="R13" s="218">
        <f>R14+R550+R1028</f>
        <v>7775487.959999999</v>
      </c>
      <c r="S13" s="218">
        <f>S14+S550+S1028</f>
        <v>3421742125.6900001</v>
      </c>
      <c r="T13" s="190">
        <f t="shared" ref="T13:T76" si="0">P13/I13</f>
        <v>1224.3421712914837</v>
      </c>
      <c r="U13" s="190">
        <f>MAX(U14:U1310)</f>
        <v>24291.693216410902</v>
      </c>
      <c r="V13" s="221"/>
      <c r="W13" s="221"/>
      <c r="X13" s="221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</row>
    <row r="14" spans="1:41" s="223" customFormat="1" ht="36" customHeight="1" x14ac:dyDescent="0.25">
      <c r="B14" s="215" t="s">
        <v>753</v>
      </c>
      <c r="C14" s="216"/>
      <c r="D14" s="217" t="s">
        <v>890</v>
      </c>
      <c r="E14" s="217" t="s">
        <v>890</v>
      </c>
      <c r="F14" s="217" t="s">
        <v>890</v>
      </c>
      <c r="G14" s="217" t="s">
        <v>890</v>
      </c>
      <c r="H14" s="217" t="s">
        <v>890</v>
      </c>
      <c r="I14" s="218">
        <f>I15+I120+I150+I196+I233+I239+I266+I272+I279+I284+I286+I289+I295+I301+I303+I319+I336+I341+I344+I347+I351+I354+I356+I374+I377+I379+I381+I386+I389+I391+I396+I398+I406+I408+I412+I416+I418+I422+I429+I435+I438+I451+I453+I455+I457+I459+I461+I467+I479+I488+I490+I497+I503+I505+I508+I511+I513+I516+I522+I524+I527+I529+I539+I544+I547+I449+I492</f>
        <v>1282974.6400000004</v>
      </c>
      <c r="J14" s="218">
        <f>J15+J120+J150+J196+J233+J239+J266+J272+J279+J284+J286+J289+J295+J301+J303+J319+J336+J341+J344+J347+J351+J354+J356+J374+J377+J379+J381+J386+J389+J391+J396+J398+J406+J408+J412+J416+J418+J422+J429+J435+J438+J451+J453+J455+J457+J459+J461+J467+J479+J488+J490+J497+J503+J505+J508+J511+J513+J516+J522+J524+J527+J529+J539+J544+J547+J449+J492</f>
        <v>1075650.6500000004</v>
      </c>
      <c r="K14" s="218">
        <f>K15+K120+K150+K196+K233+K239+K266+K272+K279+K284+K286+K289+K295+K301+K303+K319+K336+K341+K344+K347+K351+K354+K356+K374+K377+K379+K381+K386+K389+K391+K396+K398+K406+K408+K412+K416+K418+K422+K429+K435+K438+K451+K453+K455+K457+K459+K461+K467+K479+K488+K490+K497+K503+K505+K508+K511+K513+K516+K522+K524+K527+K529+K539+K544+K547+K449+K492</f>
        <v>1031270.2800000003</v>
      </c>
      <c r="L14" s="219">
        <f>L15+L120+L150+L196+L233+L239+L266+L272+L279+L284+L286+L289+L295+L301+L303+L319+L336+L341+L344+L347+L351+L354+L356+L374+L377+L379+L381+L386+L389+L391+L396+L398+L406+L408+L412+L416+L418+L422+L429+L435+L438+L451+L453+L455+L457+L459+L461+L467+L479+L488+L490+L497+L503+L505+L508+L511+L513+L516+L522+L524+L527+L529+L539+L544+L547+L449+L492</f>
        <v>49293</v>
      </c>
      <c r="M14" s="217" t="s">
        <v>890</v>
      </c>
      <c r="N14" s="217" t="s">
        <v>890</v>
      </c>
      <c r="O14" s="220" t="s">
        <v>890</v>
      </c>
      <c r="P14" s="218">
        <v>1065435142.2300001</v>
      </c>
      <c r="Q14" s="218">
        <f>Q15+Q120+Q150+Q196+Q233+Q239+Q266+Q272+Q279+Q284+Q286+Q289+Q295+Q301+Q303+Q319+Q336+Q341+Q344+Q347+Q351+Q354+Q356+Q374+Q377+Q379+Q381+Q386+Q389+Q391+Q396+Q398+Q406+Q408+Q412+Q416+Q418+Q422+Q429+Q435+Q438+Q451+Q453+Q455+Q457+Q459+Q461+Q467+Q479+Q488+Q490+Q497+Q503+Q505+Q508+Q511+Q513+Q516+Q522+Q524+Q527+Q529+Q539+Q544+Q547+Q449+Q492</f>
        <v>0</v>
      </c>
      <c r="R14" s="218">
        <f>R15+R120+R150+R196+R233+R239+R266+R272+R279+R284+R286+R289+R295+R301+R303+R319+R336+R341+R344+R347+R351+R354+R356+R374+R377+R379+R381+R386+R389+R391+R396+R398+R406+R408+R412+R416+R418+R422+R429+R435+R438+R451+R453+R455+R457+R459+R461+R467+R479+R488+R490+R497+R503+R505+R508+R511+R513+R516+R522+R524+R527+R529+R539+R544+R547+R449+R492</f>
        <v>2908349.77</v>
      </c>
      <c r="S14" s="218">
        <f>S15+S120+S150+S196+S233+S239+S266+S272+S279+S284+S286+S289+S295+S301+S303+S319+S336+S341+S344+S347+S351+S354+S356+S374+S377+S379+S381+S386+S389+S391+S396+S398+S406+S408+S412+S416+S418+S422+S429+S435+S438+S451+S453+S455+S457+S459+S461+S467+S479+S488+S490+S497+S503+S505+S508+S511+S513+S516+S522+S524+S527+S529+S539+S544+S547+S449+S492</f>
        <v>1062526792.46</v>
      </c>
      <c r="T14" s="190">
        <f t="shared" si="0"/>
        <v>830.44131116262736</v>
      </c>
      <c r="U14" s="190">
        <f>MAX(U15:U547)</f>
        <v>16026.236550396923</v>
      </c>
      <c r="V14" s="221"/>
      <c r="W14" s="221"/>
      <c r="X14" s="221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</row>
    <row r="15" spans="1:41" s="223" customFormat="1" ht="36" customHeight="1" x14ac:dyDescent="0.25">
      <c r="B15" s="215" t="s">
        <v>1087</v>
      </c>
      <c r="C15" s="224"/>
      <c r="D15" s="217" t="s">
        <v>890</v>
      </c>
      <c r="E15" s="217" t="s">
        <v>890</v>
      </c>
      <c r="F15" s="217" t="s">
        <v>890</v>
      </c>
      <c r="G15" s="217" t="s">
        <v>890</v>
      </c>
      <c r="H15" s="217" t="s">
        <v>890</v>
      </c>
      <c r="I15" s="218">
        <f>SUM(I16:I119)</f>
        <v>362242.11000000022</v>
      </c>
      <c r="J15" s="218">
        <f>SUM(J16:J119)</f>
        <v>302352.30000000005</v>
      </c>
      <c r="K15" s="218">
        <f>SUM(K16:K119)</f>
        <v>281560.70000000007</v>
      </c>
      <c r="L15" s="219">
        <f>SUM(L16:L119)</f>
        <v>13536</v>
      </c>
      <c r="M15" s="217" t="s">
        <v>890</v>
      </c>
      <c r="N15" s="217" t="s">
        <v>890</v>
      </c>
      <c r="O15" s="220" t="s">
        <v>890</v>
      </c>
      <c r="P15" s="218">
        <v>266320148.65000004</v>
      </c>
      <c r="Q15" s="218">
        <f>SUM(Q16:Q119)</f>
        <v>0</v>
      </c>
      <c r="R15" s="218">
        <f>SUM(R16:R119)</f>
        <v>0</v>
      </c>
      <c r="S15" s="218">
        <f>SUM(S16:S119)</f>
        <v>266320148.65000004</v>
      </c>
      <c r="T15" s="190">
        <f t="shared" si="0"/>
        <v>735.19930813675933</v>
      </c>
      <c r="U15" s="190">
        <f>MAX(U16:U119)</f>
        <v>10067.597829556336</v>
      </c>
      <c r="V15" s="221"/>
      <c r="W15" s="221"/>
      <c r="X15" s="221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</row>
    <row r="16" spans="1:41" s="223" customFormat="1" ht="36" customHeight="1" x14ac:dyDescent="0.25">
      <c r="A16" s="223">
        <v>1</v>
      </c>
      <c r="B16" s="225">
        <f>SUBTOTAL(103,$A16:A$16)</f>
        <v>1</v>
      </c>
      <c r="C16" s="215" t="s">
        <v>479</v>
      </c>
      <c r="D16" s="217">
        <v>1994</v>
      </c>
      <c r="E16" s="217"/>
      <c r="F16" s="226" t="s">
        <v>267</v>
      </c>
      <c r="G16" s="217">
        <v>5</v>
      </c>
      <c r="H16" s="217" t="s">
        <v>304</v>
      </c>
      <c r="I16" s="190">
        <v>1202.5999999999999</v>
      </c>
      <c r="J16" s="190">
        <v>620.9</v>
      </c>
      <c r="K16" s="190">
        <v>620.9</v>
      </c>
      <c r="L16" s="219">
        <v>52</v>
      </c>
      <c r="M16" s="217" t="s">
        <v>265</v>
      </c>
      <c r="N16" s="217" t="s">
        <v>269</v>
      </c>
      <c r="O16" s="220" t="s">
        <v>2265</v>
      </c>
      <c r="P16" s="190">
        <v>1821107.48</v>
      </c>
      <c r="Q16" s="190">
        <v>0</v>
      </c>
      <c r="R16" s="190">
        <v>0</v>
      </c>
      <c r="S16" s="190">
        <f t="shared" ref="S16:S79" si="1">P16-Q16-R16</f>
        <v>1821107.48</v>
      </c>
      <c r="T16" s="190">
        <f t="shared" si="0"/>
        <v>1514.308564776318</v>
      </c>
      <c r="U16" s="190">
        <v>2110.4299018792617</v>
      </c>
      <c r="V16" s="221">
        <f>U16-T16</f>
        <v>596.1213371029437</v>
      </c>
      <c r="W16" s="221">
        <f>X16+Y16+Z16+AA16+AB16+AD16+AF16+AH16+AJ16+AL16+AN16+AO16</f>
        <v>2248.9854266589055</v>
      </c>
      <c r="X16" s="221">
        <v>0</v>
      </c>
      <c r="Y16" s="222">
        <v>0</v>
      </c>
      <c r="Z16" s="222">
        <v>0</v>
      </c>
      <c r="AA16" s="222">
        <v>0</v>
      </c>
      <c r="AB16" s="222">
        <v>0</v>
      </c>
      <c r="AC16" s="222">
        <v>0</v>
      </c>
      <c r="AD16" s="222">
        <v>0</v>
      </c>
      <c r="AE16" s="222">
        <v>433.51</v>
      </c>
      <c r="AF16" s="221">
        <f>6238.91*AE16/I16</f>
        <v>2248.9854266589055</v>
      </c>
      <c r="AG16" s="222">
        <v>0</v>
      </c>
      <c r="AH16" s="221">
        <v>0</v>
      </c>
      <c r="AI16" s="222">
        <v>0</v>
      </c>
      <c r="AJ16" s="221">
        <v>0</v>
      </c>
      <c r="AK16" s="222">
        <v>0</v>
      </c>
      <c r="AL16" s="222">
        <v>0</v>
      </c>
      <c r="AM16" s="222">
        <v>0</v>
      </c>
      <c r="AN16" s="222"/>
      <c r="AO16" s="222">
        <v>0</v>
      </c>
    </row>
    <row r="17" spans="1:41" s="223" customFormat="1" ht="36" customHeight="1" x14ac:dyDescent="0.25">
      <c r="A17" s="223">
        <v>1</v>
      </c>
      <c r="B17" s="225">
        <f>SUBTOTAL(103,$A$16:A17)</f>
        <v>2</v>
      </c>
      <c r="C17" s="215" t="s">
        <v>1063</v>
      </c>
      <c r="D17" s="217">
        <v>1959</v>
      </c>
      <c r="E17" s="217"/>
      <c r="F17" s="226" t="s">
        <v>267</v>
      </c>
      <c r="G17" s="217">
        <v>2</v>
      </c>
      <c r="H17" s="217" t="s">
        <v>303</v>
      </c>
      <c r="I17" s="190">
        <v>918.1</v>
      </c>
      <c r="J17" s="190">
        <v>907</v>
      </c>
      <c r="K17" s="190">
        <v>907</v>
      </c>
      <c r="L17" s="219">
        <v>40</v>
      </c>
      <c r="M17" s="217" t="s">
        <v>265</v>
      </c>
      <c r="N17" s="217" t="s">
        <v>269</v>
      </c>
      <c r="O17" s="220" t="s">
        <v>1071</v>
      </c>
      <c r="P17" s="190">
        <v>69778.55</v>
      </c>
      <c r="Q17" s="190">
        <v>0</v>
      </c>
      <c r="R17" s="190">
        <v>0</v>
      </c>
      <c r="S17" s="190">
        <f t="shared" si="1"/>
        <v>69778.55</v>
      </c>
      <c r="T17" s="190">
        <f t="shared" si="0"/>
        <v>76.003213157608101</v>
      </c>
      <c r="U17" s="190">
        <v>76.003213157608101</v>
      </c>
      <c r="V17" s="221">
        <f t="shared" ref="V17:V80" si="2">U17-T17</f>
        <v>0</v>
      </c>
      <c r="W17" s="221">
        <f t="shared" ref="W17:W80" si="3">X17+Y17+Z17+AA17+AB17+AD17+AF17+AH17+AJ17+AL17+AN17+AO17</f>
        <v>3397.7290055549502</v>
      </c>
      <c r="X17" s="221">
        <v>0</v>
      </c>
      <c r="Y17" s="222">
        <v>0</v>
      </c>
      <c r="Z17" s="222">
        <v>0</v>
      </c>
      <c r="AA17" s="222">
        <v>0</v>
      </c>
      <c r="AB17" s="222">
        <v>0</v>
      </c>
      <c r="AC17" s="222">
        <v>0</v>
      </c>
      <c r="AD17" s="222">
        <v>0</v>
      </c>
      <c r="AE17" s="222">
        <v>500</v>
      </c>
      <c r="AF17" s="221">
        <f>6238.91*AE17/I17</f>
        <v>3397.7290055549502</v>
      </c>
      <c r="AG17" s="222">
        <v>0</v>
      </c>
      <c r="AH17" s="221">
        <v>0</v>
      </c>
      <c r="AI17" s="222">
        <v>0</v>
      </c>
      <c r="AJ17" s="221">
        <v>0</v>
      </c>
      <c r="AK17" s="222">
        <v>0</v>
      </c>
      <c r="AL17" s="222">
        <v>0</v>
      </c>
      <c r="AM17" s="222">
        <v>0</v>
      </c>
      <c r="AN17" s="222"/>
      <c r="AO17" s="222">
        <v>0</v>
      </c>
    </row>
    <row r="18" spans="1:41" s="223" customFormat="1" ht="36" customHeight="1" x14ac:dyDescent="0.25">
      <c r="A18" s="223">
        <v>1</v>
      </c>
      <c r="B18" s="225">
        <f>SUBTOTAL(103,$A$16:A18)</f>
        <v>3</v>
      </c>
      <c r="C18" s="215" t="s">
        <v>480</v>
      </c>
      <c r="D18" s="217">
        <v>1992</v>
      </c>
      <c r="E18" s="217"/>
      <c r="F18" s="226" t="s">
        <v>267</v>
      </c>
      <c r="G18" s="217">
        <v>9</v>
      </c>
      <c r="H18" s="217" t="s">
        <v>304</v>
      </c>
      <c r="I18" s="190">
        <v>4744.5</v>
      </c>
      <c r="J18" s="190">
        <v>4743.3999999999996</v>
      </c>
      <c r="K18" s="190">
        <v>4654.5</v>
      </c>
      <c r="L18" s="219">
        <v>252</v>
      </c>
      <c r="M18" s="217" t="s">
        <v>265</v>
      </c>
      <c r="N18" s="217" t="s">
        <v>269</v>
      </c>
      <c r="O18" s="220" t="s">
        <v>348</v>
      </c>
      <c r="P18" s="190">
        <v>1775379.67</v>
      </c>
      <c r="Q18" s="190">
        <v>0</v>
      </c>
      <c r="R18" s="190">
        <v>0</v>
      </c>
      <c r="S18" s="190">
        <f t="shared" si="1"/>
        <v>1775379.67</v>
      </c>
      <c r="T18" s="190">
        <f t="shared" si="0"/>
        <v>374.19742227842761</v>
      </c>
      <c r="U18" s="190">
        <v>518.03140478448734</v>
      </c>
      <c r="V18" s="221">
        <f t="shared" si="2"/>
        <v>143.83398250605973</v>
      </c>
      <c r="W18" s="221">
        <f t="shared" si="3"/>
        <v>518.03140478448734</v>
      </c>
      <c r="X18" s="221">
        <v>0</v>
      </c>
      <c r="Y18" s="222">
        <v>0</v>
      </c>
      <c r="Z18" s="222">
        <v>0</v>
      </c>
      <c r="AA18" s="222">
        <v>0</v>
      </c>
      <c r="AB18" s="222">
        <v>0</v>
      </c>
      <c r="AC18" s="222">
        <v>1</v>
      </c>
      <c r="AD18" s="221">
        <f>2457800*AC18/I18</f>
        <v>518.03140478448734</v>
      </c>
      <c r="AE18" s="222">
        <v>0</v>
      </c>
      <c r="AF18" s="221">
        <v>0</v>
      </c>
      <c r="AG18" s="222">
        <v>0</v>
      </c>
      <c r="AH18" s="221">
        <v>0</v>
      </c>
      <c r="AI18" s="222">
        <v>0</v>
      </c>
      <c r="AJ18" s="221">
        <v>0</v>
      </c>
      <c r="AK18" s="222">
        <v>0</v>
      </c>
      <c r="AL18" s="222">
        <v>0</v>
      </c>
      <c r="AM18" s="222">
        <v>0</v>
      </c>
      <c r="AN18" s="222"/>
      <c r="AO18" s="222">
        <v>0</v>
      </c>
    </row>
    <row r="19" spans="1:41" s="223" customFormat="1" ht="36" customHeight="1" x14ac:dyDescent="0.25">
      <c r="A19" s="223">
        <v>1</v>
      </c>
      <c r="B19" s="225">
        <f>SUBTOTAL(103,$A$16:A19)</f>
        <v>4</v>
      </c>
      <c r="C19" s="215" t="s">
        <v>482</v>
      </c>
      <c r="D19" s="217">
        <v>1978</v>
      </c>
      <c r="E19" s="217"/>
      <c r="F19" s="226" t="s">
        <v>311</v>
      </c>
      <c r="G19" s="217">
        <v>9</v>
      </c>
      <c r="H19" s="217" t="s">
        <v>303</v>
      </c>
      <c r="I19" s="190">
        <v>4430.5</v>
      </c>
      <c r="J19" s="190">
        <v>3929.6</v>
      </c>
      <c r="K19" s="190">
        <v>3929.6</v>
      </c>
      <c r="L19" s="219">
        <v>188</v>
      </c>
      <c r="M19" s="217" t="s">
        <v>265</v>
      </c>
      <c r="N19" s="217" t="s">
        <v>269</v>
      </c>
      <c r="O19" s="220" t="s">
        <v>1071</v>
      </c>
      <c r="P19" s="190">
        <v>2444609.7599999998</v>
      </c>
      <c r="Q19" s="190">
        <v>0</v>
      </c>
      <c r="R19" s="190">
        <v>0</v>
      </c>
      <c r="S19" s="190">
        <f t="shared" si="1"/>
        <v>2444609.7599999998</v>
      </c>
      <c r="T19" s="190">
        <f t="shared" si="0"/>
        <v>551.76836925854866</v>
      </c>
      <c r="U19" s="190">
        <v>839.27104390023692</v>
      </c>
      <c r="V19" s="221">
        <f t="shared" si="2"/>
        <v>287.50267464168826</v>
      </c>
      <c r="W19" s="221">
        <f t="shared" si="3"/>
        <v>890.20465742015563</v>
      </c>
      <c r="X19" s="221">
        <v>0</v>
      </c>
      <c r="Y19" s="222">
        <v>0</v>
      </c>
      <c r="Z19" s="222">
        <v>0</v>
      </c>
      <c r="AA19" s="222">
        <v>0</v>
      </c>
      <c r="AB19" s="222">
        <v>0</v>
      </c>
      <c r="AC19" s="222">
        <v>0</v>
      </c>
      <c r="AD19" s="222">
        <v>0</v>
      </c>
      <c r="AE19" s="222">
        <v>632.16999999999996</v>
      </c>
      <c r="AF19" s="221">
        <f>6238.91*AE19/I19</f>
        <v>890.20465742015563</v>
      </c>
      <c r="AG19" s="222">
        <v>0</v>
      </c>
      <c r="AH19" s="221">
        <v>0</v>
      </c>
      <c r="AI19" s="222">
        <v>0</v>
      </c>
      <c r="AJ19" s="221">
        <v>0</v>
      </c>
      <c r="AK19" s="222">
        <v>0</v>
      </c>
      <c r="AL19" s="222">
        <v>0</v>
      </c>
      <c r="AM19" s="222">
        <v>0</v>
      </c>
      <c r="AN19" s="222"/>
      <c r="AO19" s="222">
        <v>0</v>
      </c>
    </row>
    <row r="20" spans="1:41" s="223" customFormat="1" ht="36" customHeight="1" x14ac:dyDescent="0.25">
      <c r="A20" s="223">
        <v>1</v>
      </c>
      <c r="B20" s="225">
        <f>SUBTOTAL(103,$A$16:A20)</f>
        <v>5</v>
      </c>
      <c r="C20" s="215" t="s">
        <v>483</v>
      </c>
      <c r="D20" s="217">
        <v>1957</v>
      </c>
      <c r="E20" s="217"/>
      <c r="F20" s="226" t="s">
        <v>267</v>
      </c>
      <c r="G20" s="217">
        <v>2</v>
      </c>
      <c r="H20" s="217" t="s">
        <v>304</v>
      </c>
      <c r="I20" s="190">
        <v>731.7</v>
      </c>
      <c r="J20" s="190">
        <v>435.3</v>
      </c>
      <c r="K20" s="190">
        <v>435.3</v>
      </c>
      <c r="L20" s="219">
        <v>18</v>
      </c>
      <c r="M20" s="217" t="s">
        <v>265</v>
      </c>
      <c r="N20" s="217" t="s">
        <v>269</v>
      </c>
      <c r="O20" s="220" t="s">
        <v>1319</v>
      </c>
      <c r="P20" s="190">
        <v>1178315.53</v>
      </c>
      <c r="Q20" s="190">
        <v>0</v>
      </c>
      <c r="R20" s="190">
        <v>0</v>
      </c>
      <c r="S20" s="190">
        <f t="shared" si="1"/>
        <v>1178315.53</v>
      </c>
      <c r="T20" s="190">
        <f t="shared" si="0"/>
        <v>1610.3806614732814</v>
      </c>
      <c r="U20" s="190">
        <v>4798.763427634276</v>
      </c>
      <c r="V20" s="221">
        <f t="shared" si="2"/>
        <v>3188.3827661609948</v>
      </c>
      <c r="W20" s="221">
        <f t="shared" si="3"/>
        <v>5081.4024600246003</v>
      </c>
      <c r="X20" s="221">
        <v>0</v>
      </c>
      <c r="Y20" s="222">
        <v>0</v>
      </c>
      <c r="Z20" s="222">
        <v>0</v>
      </c>
      <c r="AA20" s="222">
        <v>0</v>
      </c>
      <c r="AB20" s="222">
        <v>0</v>
      </c>
      <c r="AC20" s="222">
        <v>0</v>
      </c>
      <c r="AD20" s="222">
        <v>0</v>
      </c>
      <c r="AE20" s="222">
        <v>0</v>
      </c>
      <c r="AF20" s="221">
        <v>0</v>
      </c>
      <c r="AG20" s="222">
        <v>0</v>
      </c>
      <c r="AH20" s="221">
        <v>0</v>
      </c>
      <c r="AI20" s="222">
        <v>499.8</v>
      </c>
      <c r="AJ20" s="221">
        <f>7439.1*AI20/I20</f>
        <v>5081.4024600246003</v>
      </c>
      <c r="AK20" s="222">
        <v>0</v>
      </c>
      <c r="AL20" s="222">
        <v>0</v>
      </c>
      <c r="AM20" s="222">
        <v>0</v>
      </c>
      <c r="AN20" s="222"/>
      <c r="AO20" s="222">
        <v>0</v>
      </c>
    </row>
    <row r="21" spans="1:41" s="223" customFormat="1" ht="36" customHeight="1" x14ac:dyDescent="0.25">
      <c r="A21" s="223">
        <v>1</v>
      </c>
      <c r="B21" s="225">
        <f>SUBTOTAL(103,$A$16:A21)</f>
        <v>6</v>
      </c>
      <c r="C21" s="215" t="s">
        <v>484</v>
      </c>
      <c r="D21" s="217">
        <v>1986</v>
      </c>
      <c r="E21" s="217"/>
      <c r="F21" s="226" t="s">
        <v>311</v>
      </c>
      <c r="G21" s="217">
        <v>9</v>
      </c>
      <c r="H21" s="217" t="s">
        <v>303</v>
      </c>
      <c r="I21" s="190">
        <v>4300.7</v>
      </c>
      <c r="J21" s="190">
        <v>3861.7</v>
      </c>
      <c r="K21" s="190">
        <v>3861.7</v>
      </c>
      <c r="L21" s="219">
        <v>213</v>
      </c>
      <c r="M21" s="217" t="s">
        <v>265</v>
      </c>
      <c r="N21" s="217" t="s">
        <v>269</v>
      </c>
      <c r="O21" s="220" t="s">
        <v>1086</v>
      </c>
      <c r="P21" s="190">
        <v>1996366.9600000002</v>
      </c>
      <c r="Q21" s="190">
        <v>0</v>
      </c>
      <c r="R21" s="190">
        <v>0</v>
      </c>
      <c r="S21" s="190">
        <f t="shared" si="1"/>
        <v>1996366.9600000002</v>
      </c>
      <c r="T21" s="190">
        <f t="shared" si="0"/>
        <v>464.19581928523269</v>
      </c>
      <c r="U21" s="190">
        <v>887.81196549398942</v>
      </c>
      <c r="V21" s="221">
        <f t="shared" si="2"/>
        <v>423.61614620875673</v>
      </c>
      <c r="W21" s="221">
        <f t="shared" si="3"/>
        <v>934.23350617341373</v>
      </c>
      <c r="X21" s="221">
        <v>0</v>
      </c>
      <c r="Y21" s="222">
        <v>0</v>
      </c>
      <c r="Z21" s="222">
        <v>0</v>
      </c>
      <c r="AA21" s="222">
        <v>0</v>
      </c>
      <c r="AB21" s="222">
        <v>0</v>
      </c>
      <c r="AC21" s="222">
        <v>0</v>
      </c>
      <c r="AD21" s="222">
        <v>0</v>
      </c>
      <c r="AE21" s="222">
        <v>644</v>
      </c>
      <c r="AF21" s="221">
        <f t="shared" ref="AF21:AF28" si="4">6238.91*AE21/I21</f>
        <v>934.23350617341373</v>
      </c>
      <c r="AG21" s="222">
        <v>0</v>
      </c>
      <c r="AH21" s="221">
        <v>0</v>
      </c>
      <c r="AI21" s="222">
        <v>0</v>
      </c>
      <c r="AJ21" s="221">
        <v>0</v>
      </c>
      <c r="AK21" s="222">
        <v>0</v>
      </c>
      <c r="AL21" s="222">
        <v>0</v>
      </c>
      <c r="AM21" s="222">
        <v>0</v>
      </c>
      <c r="AN21" s="222"/>
      <c r="AO21" s="222">
        <v>0</v>
      </c>
    </row>
    <row r="22" spans="1:41" s="223" customFormat="1" ht="36" customHeight="1" x14ac:dyDescent="0.25">
      <c r="A22" s="223">
        <v>1</v>
      </c>
      <c r="B22" s="225">
        <f>SUBTOTAL(103,$A$16:A22)</f>
        <v>7</v>
      </c>
      <c r="C22" s="215" t="s">
        <v>486</v>
      </c>
      <c r="D22" s="217">
        <v>1955</v>
      </c>
      <c r="E22" s="217"/>
      <c r="F22" s="226" t="s">
        <v>267</v>
      </c>
      <c r="G22" s="217">
        <v>3</v>
      </c>
      <c r="H22" s="217" t="s">
        <v>303</v>
      </c>
      <c r="I22" s="190">
        <v>1722.8</v>
      </c>
      <c r="J22" s="190">
        <v>1242.5</v>
      </c>
      <c r="K22" s="190">
        <v>1242.5</v>
      </c>
      <c r="L22" s="219">
        <v>48</v>
      </c>
      <c r="M22" s="217" t="s">
        <v>265</v>
      </c>
      <c r="N22" s="217" t="s">
        <v>269</v>
      </c>
      <c r="O22" s="220" t="s">
        <v>1395</v>
      </c>
      <c r="P22" s="190">
        <v>3053881.54</v>
      </c>
      <c r="Q22" s="190">
        <v>0</v>
      </c>
      <c r="R22" s="190">
        <v>0</v>
      </c>
      <c r="S22" s="190">
        <f t="shared" si="1"/>
        <v>3053881.54</v>
      </c>
      <c r="T22" s="190">
        <f t="shared" si="0"/>
        <v>1772.6268516368702</v>
      </c>
      <c r="U22" s="190">
        <v>2695.8151027397257</v>
      </c>
      <c r="V22" s="221">
        <f t="shared" si="2"/>
        <v>923.18825110285547</v>
      </c>
      <c r="W22" s="221">
        <f t="shared" si="3"/>
        <v>2187.3123055491064</v>
      </c>
      <c r="X22" s="221">
        <v>0</v>
      </c>
      <c r="Y22" s="222">
        <v>0</v>
      </c>
      <c r="Z22" s="222">
        <v>0</v>
      </c>
      <c r="AA22" s="222">
        <v>0</v>
      </c>
      <c r="AB22" s="222">
        <v>0</v>
      </c>
      <c r="AC22" s="222">
        <v>0</v>
      </c>
      <c r="AD22" s="222">
        <v>0</v>
      </c>
      <c r="AE22" s="222">
        <v>604</v>
      </c>
      <c r="AF22" s="221">
        <f t="shared" si="4"/>
        <v>2187.3123055491064</v>
      </c>
      <c r="AG22" s="222">
        <v>0</v>
      </c>
      <c r="AH22" s="221">
        <v>0</v>
      </c>
      <c r="AI22" s="222">
        <v>0</v>
      </c>
      <c r="AJ22" s="221">
        <v>0</v>
      </c>
      <c r="AK22" s="222">
        <v>0</v>
      </c>
      <c r="AL22" s="222">
        <v>0</v>
      </c>
      <c r="AM22" s="222">
        <v>0</v>
      </c>
      <c r="AN22" s="222"/>
      <c r="AO22" s="222">
        <v>0</v>
      </c>
    </row>
    <row r="23" spans="1:41" s="223" customFormat="1" ht="36" customHeight="1" x14ac:dyDescent="0.25">
      <c r="A23" s="223">
        <v>1</v>
      </c>
      <c r="B23" s="225">
        <f>SUBTOTAL(103,$A$16:A23)</f>
        <v>8</v>
      </c>
      <c r="C23" s="215" t="s">
        <v>487</v>
      </c>
      <c r="D23" s="217">
        <v>1990</v>
      </c>
      <c r="E23" s="217"/>
      <c r="F23" s="226" t="s">
        <v>267</v>
      </c>
      <c r="G23" s="217">
        <v>3</v>
      </c>
      <c r="H23" s="217" t="s">
        <v>304</v>
      </c>
      <c r="I23" s="190">
        <v>620.29999999999995</v>
      </c>
      <c r="J23" s="190">
        <v>538.5</v>
      </c>
      <c r="K23" s="190">
        <v>538.5</v>
      </c>
      <c r="L23" s="219">
        <v>18</v>
      </c>
      <c r="M23" s="217" t="s">
        <v>265</v>
      </c>
      <c r="N23" s="217" t="s">
        <v>269</v>
      </c>
      <c r="O23" s="220" t="s">
        <v>349</v>
      </c>
      <c r="P23" s="190">
        <v>1639309.32</v>
      </c>
      <c r="Q23" s="190">
        <v>0</v>
      </c>
      <c r="R23" s="190">
        <v>0</v>
      </c>
      <c r="S23" s="190">
        <f t="shared" si="1"/>
        <v>1639309.32</v>
      </c>
      <c r="T23" s="190">
        <f t="shared" si="0"/>
        <v>2642.7685313557959</v>
      </c>
      <c r="U23" s="190">
        <v>6661.9208447525398</v>
      </c>
      <c r="V23" s="221">
        <f t="shared" si="2"/>
        <v>4019.1523133967439</v>
      </c>
      <c r="W23" s="221">
        <f t="shared" si="3"/>
        <v>5944.2137836530719</v>
      </c>
      <c r="X23" s="221">
        <v>0</v>
      </c>
      <c r="Y23" s="222">
        <v>0</v>
      </c>
      <c r="Z23" s="222">
        <v>0</v>
      </c>
      <c r="AA23" s="222">
        <v>0</v>
      </c>
      <c r="AB23" s="222">
        <v>0</v>
      </c>
      <c r="AC23" s="222">
        <v>0</v>
      </c>
      <c r="AD23" s="222">
        <v>0</v>
      </c>
      <c r="AE23" s="222">
        <v>591</v>
      </c>
      <c r="AF23" s="221">
        <f t="shared" si="4"/>
        <v>5944.2137836530719</v>
      </c>
      <c r="AG23" s="222">
        <v>0</v>
      </c>
      <c r="AH23" s="221">
        <v>0</v>
      </c>
      <c r="AI23" s="222">
        <v>0</v>
      </c>
      <c r="AJ23" s="221">
        <v>0</v>
      </c>
      <c r="AK23" s="222">
        <v>0</v>
      </c>
      <c r="AL23" s="222">
        <v>0</v>
      </c>
      <c r="AM23" s="222">
        <v>0</v>
      </c>
      <c r="AN23" s="222"/>
      <c r="AO23" s="222">
        <v>0</v>
      </c>
    </row>
    <row r="24" spans="1:41" s="223" customFormat="1" ht="36" customHeight="1" x14ac:dyDescent="0.25">
      <c r="A24" s="223">
        <v>1</v>
      </c>
      <c r="B24" s="225">
        <f>SUBTOTAL(103,$A$16:A24)</f>
        <v>9</v>
      </c>
      <c r="C24" s="215" t="s">
        <v>488</v>
      </c>
      <c r="D24" s="217">
        <v>1989</v>
      </c>
      <c r="E24" s="217"/>
      <c r="F24" s="226" t="s">
        <v>267</v>
      </c>
      <c r="G24" s="217">
        <v>5</v>
      </c>
      <c r="H24" s="217" t="s">
        <v>312</v>
      </c>
      <c r="I24" s="190">
        <v>2454.8000000000002</v>
      </c>
      <c r="J24" s="190">
        <v>1816.2</v>
      </c>
      <c r="K24" s="190">
        <v>1749.1</v>
      </c>
      <c r="L24" s="219">
        <v>71</v>
      </c>
      <c r="M24" s="217" t="s">
        <v>265</v>
      </c>
      <c r="N24" s="217" t="s">
        <v>269</v>
      </c>
      <c r="O24" s="220" t="s">
        <v>1380</v>
      </c>
      <c r="P24" s="190">
        <v>98784.97</v>
      </c>
      <c r="Q24" s="190">
        <v>0</v>
      </c>
      <c r="R24" s="190">
        <v>0</v>
      </c>
      <c r="S24" s="190">
        <f t="shared" si="1"/>
        <v>98784.97</v>
      </c>
      <c r="T24" s="190">
        <f t="shared" si="0"/>
        <v>40.241555320189015</v>
      </c>
      <c r="U24" s="190">
        <v>40.241555320189015</v>
      </c>
      <c r="V24" s="221">
        <f t="shared" si="2"/>
        <v>0</v>
      </c>
      <c r="W24" s="221">
        <f t="shared" si="3"/>
        <v>1761.2696064852532</v>
      </c>
      <c r="X24" s="221">
        <v>0</v>
      </c>
      <c r="Y24" s="222">
        <v>0</v>
      </c>
      <c r="Z24" s="222">
        <v>0</v>
      </c>
      <c r="AA24" s="222">
        <v>0</v>
      </c>
      <c r="AB24" s="222">
        <v>0</v>
      </c>
      <c r="AC24" s="222">
        <v>0</v>
      </c>
      <c r="AD24" s="222">
        <v>0</v>
      </c>
      <c r="AE24" s="222">
        <v>693</v>
      </c>
      <c r="AF24" s="221">
        <f t="shared" si="4"/>
        <v>1761.2696064852532</v>
      </c>
      <c r="AG24" s="222">
        <v>0</v>
      </c>
      <c r="AH24" s="221">
        <v>0</v>
      </c>
      <c r="AI24" s="222">
        <v>0</v>
      </c>
      <c r="AJ24" s="221">
        <v>0</v>
      </c>
      <c r="AK24" s="222">
        <v>0</v>
      </c>
      <c r="AL24" s="222">
        <v>0</v>
      </c>
      <c r="AM24" s="222">
        <v>0</v>
      </c>
      <c r="AN24" s="222"/>
      <c r="AO24" s="222">
        <v>0</v>
      </c>
    </row>
    <row r="25" spans="1:41" s="223" customFormat="1" ht="36" customHeight="1" x14ac:dyDescent="0.25">
      <c r="A25" s="223">
        <v>1</v>
      </c>
      <c r="B25" s="225">
        <f>SUBTOTAL(103,$A$16:A25)</f>
        <v>10</v>
      </c>
      <c r="C25" s="215" t="s">
        <v>489</v>
      </c>
      <c r="D25" s="217">
        <v>1995</v>
      </c>
      <c r="E25" s="217"/>
      <c r="F25" s="226" t="s">
        <v>267</v>
      </c>
      <c r="G25" s="217">
        <v>9</v>
      </c>
      <c r="H25" s="217" t="s">
        <v>304</v>
      </c>
      <c r="I25" s="190">
        <v>5292.9</v>
      </c>
      <c r="J25" s="190">
        <v>2692.2</v>
      </c>
      <c r="K25" s="190">
        <v>2257.3000000000002</v>
      </c>
      <c r="L25" s="219">
        <v>203</v>
      </c>
      <c r="M25" s="217" t="s">
        <v>265</v>
      </c>
      <c r="N25" s="217" t="s">
        <v>269</v>
      </c>
      <c r="O25" s="220" t="s">
        <v>1393</v>
      </c>
      <c r="P25" s="190">
        <v>3124667</v>
      </c>
      <c r="Q25" s="190">
        <v>0</v>
      </c>
      <c r="R25" s="190">
        <v>0</v>
      </c>
      <c r="S25" s="190">
        <f t="shared" si="1"/>
        <v>3124667</v>
      </c>
      <c r="T25" s="190">
        <f t="shared" si="0"/>
        <v>590.35065842921654</v>
      </c>
      <c r="U25" s="190">
        <v>1231.7748209866047</v>
      </c>
      <c r="V25" s="221">
        <f t="shared" si="2"/>
        <v>641.42416255738817</v>
      </c>
      <c r="W25" s="221">
        <f t="shared" si="3"/>
        <v>1284.5820094844037</v>
      </c>
      <c r="X25" s="221">
        <v>0</v>
      </c>
      <c r="Y25" s="222">
        <v>0</v>
      </c>
      <c r="Z25" s="222">
        <v>0</v>
      </c>
      <c r="AA25" s="222">
        <v>0</v>
      </c>
      <c r="AB25" s="222">
        <v>0</v>
      </c>
      <c r="AC25" s="222">
        <v>0</v>
      </c>
      <c r="AD25" s="222">
        <v>0</v>
      </c>
      <c r="AE25" s="222">
        <v>1089.8</v>
      </c>
      <c r="AF25" s="221">
        <f t="shared" si="4"/>
        <v>1284.5820094844037</v>
      </c>
      <c r="AG25" s="222">
        <v>0</v>
      </c>
      <c r="AH25" s="221">
        <v>0</v>
      </c>
      <c r="AI25" s="222">
        <v>0</v>
      </c>
      <c r="AJ25" s="221">
        <v>0</v>
      </c>
      <c r="AK25" s="222">
        <v>0</v>
      </c>
      <c r="AL25" s="222">
        <v>0</v>
      </c>
      <c r="AM25" s="222">
        <v>0</v>
      </c>
      <c r="AN25" s="222"/>
      <c r="AO25" s="222">
        <v>0</v>
      </c>
    </row>
    <row r="26" spans="1:41" s="223" customFormat="1" ht="36" customHeight="1" x14ac:dyDescent="0.25">
      <c r="A26" s="223">
        <v>1</v>
      </c>
      <c r="B26" s="225">
        <f>SUBTOTAL(103,$A$16:A26)</f>
        <v>11</v>
      </c>
      <c r="C26" s="215" t="s">
        <v>490</v>
      </c>
      <c r="D26" s="217">
        <v>1962</v>
      </c>
      <c r="E26" s="217"/>
      <c r="F26" s="226" t="s">
        <v>267</v>
      </c>
      <c r="G26" s="217">
        <v>3</v>
      </c>
      <c r="H26" s="217" t="s">
        <v>312</v>
      </c>
      <c r="I26" s="190">
        <v>2721.6</v>
      </c>
      <c r="J26" s="190">
        <v>1752.6</v>
      </c>
      <c r="K26" s="190">
        <v>1752.6</v>
      </c>
      <c r="L26" s="219">
        <v>82</v>
      </c>
      <c r="M26" s="217" t="s">
        <v>265</v>
      </c>
      <c r="N26" s="217" t="s">
        <v>269</v>
      </c>
      <c r="O26" s="220" t="s">
        <v>1319</v>
      </c>
      <c r="P26" s="190">
        <v>89397.8</v>
      </c>
      <c r="Q26" s="190">
        <v>0</v>
      </c>
      <c r="R26" s="190">
        <v>0</v>
      </c>
      <c r="S26" s="190">
        <f t="shared" si="1"/>
        <v>89397.8</v>
      </c>
      <c r="T26" s="190">
        <f t="shared" si="0"/>
        <v>32.847516166960617</v>
      </c>
      <c r="U26" s="190">
        <v>32.847516166960617</v>
      </c>
      <c r="V26" s="221">
        <f t="shared" si="2"/>
        <v>0</v>
      </c>
      <c r="W26" s="221">
        <f t="shared" si="3"/>
        <v>2171.7898787477952</v>
      </c>
      <c r="X26" s="221">
        <v>0</v>
      </c>
      <c r="Y26" s="222">
        <v>0</v>
      </c>
      <c r="Z26" s="222">
        <v>0</v>
      </c>
      <c r="AA26" s="222">
        <v>0</v>
      </c>
      <c r="AB26" s="222">
        <v>0</v>
      </c>
      <c r="AC26" s="222">
        <v>0</v>
      </c>
      <c r="AD26" s="222">
        <v>0</v>
      </c>
      <c r="AE26" s="222">
        <v>947.4</v>
      </c>
      <c r="AF26" s="221">
        <f t="shared" si="4"/>
        <v>2171.7898787477952</v>
      </c>
      <c r="AG26" s="222">
        <v>0</v>
      </c>
      <c r="AH26" s="221">
        <v>0</v>
      </c>
      <c r="AI26" s="222">
        <v>0</v>
      </c>
      <c r="AJ26" s="221">
        <v>0</v>
      </c>
      <c r="AK26" s="222">
        <v>0</v>
      </c>
      <c r="AL26" s="222">
        <v>0</v>
      </c>
      <c r="AM26" s="222">
        <v>0</v>
      </c>
      <c r="AN26" s="222"/>
      <c r="AO26" s="222">
        <v>0</v>
      </c>
    </row>
    <row r="27" spans="1:41" s="223" customFormat="1" ht="36" customHeight="1" x14ac:dyDescent="0.25">
      <c r="A27" s="223">
        <v>1</v>
      </c>
      <c r="B27" s="225">
        <f>SUBTOTAL(103,$A$16:A27)</f>
        <v>12</v>
      </c>
      <c r="C27" s="215" t="s">
        <v>492</v>
      </c>
      <c r="D27" s="217">
        <v>1994</v>
      </c>
      <c r="E27" s="217"/>
      <c r="F27" s="226" t="s">
        <v>267</v>
      </c>
      <c r="G27" s="217">
        <v>6</v>
      </c>
      <c r="H27" s="217" t="s">
        <v>308</v>
      </c>
      <c r="I27" s="190">
        <v>3988.5</v>
      </c>
      <c r="J27" s="190">
        <v>2905.1</v>
      </c>
      <c r="K27" s="190">
        <v>2905.1</v>
      </c>
      <c r="L27" s="219">
        <v>142</v>
      </c>
      <c r="M27" s="217" t="s">
        <v>265</v>
      </c>
      <c r="N27" s="217" t="s">
        <v>269</v>
      </c>
      <c r="O27" s="220" t="s">
        <v>1086</v>
      </c>
      <c r="P27" s="190">
        <v>2353912.86</v>
      </c>
      <c r="Q27" s="190">
        <v>0</v>
      </c>
      <c r="R27" s="190">
        <v>0</v>
      </c>
      <c r="S27" s="190">
        <f t="shared" si="1"/>
        <v>2353912.86</v>
      </c>
      <c r="T27" s="190">
        <f t="shared" si="0"/>
        <v>590.17496803309507</v>
      </c>
      <c r="U27" s="190">
        <v>1158.2614235176131</v>
      </c>
      <c r="V27" s="221">
        <f t="shared" si="2"/>
        <v>568.08645548451807</v>
      </c>
      <c r="W27" s="221">
        <f t="shared" si="3"/>
        <v>1191.1570678199823</v>
      </c>
      <c r="X27" s="221">
        <v>0</v>
      </c>
      <c r="Y27" s="222">
        <v>0</v>
      </c>
      <c r="Z27" s="222">
        <v>0</v>
      </c>
      <c r="AA27" s="222">
        <v>0</v>
      </c>
      <c r="AB27" s="222">
        <v>0</v>
      </c>
      <c r="AC27" s="222">
        <v>0</v>
      </c>
      <c r="AD27" s="222">
        <v>0</v>
      </c>
      <c r="AE27" s="222">
        <v>761.5</v>
      </c>
      <c r="AF27" s="221">
        <f t="shared" si="4"/>
        <v>1191.1570678199823</v>
      </c>
      <c r="AG27" s="222">
        <v>0</v>
      </c>
      <c r="AH27" s="221">
        <v>0</v>
      </c>
      <c r="AI27" s="222">
        <v>0</v>
      </c>
      <c r="AJ27" s="221">
        <v>0</v>
      </c>
      <c r="AK27" s="222">
        <v>0</v>
      </c>
      <c r="AL27" s="222">
        <v>0</v>
      </c>
      <c r="AM27" s="222">
        <v>0</v>
      </c>
      <c r="AN27" s="222"/>
      <c r="AO27" s="222">
        <v>0</v>
      </c>
    </row>
    <row r="28" spans="1:41" s="223" customFormat="1" ht="36" customHeight="1" x14ac:dyDescent="0.25">
      <c r="A28" s="223">
        <v>1</v>
      </c>
      <c r="B28" s="225">
        <f>SUBTOTAL(103,$A$16:A28)</f>
        <v>13</v>
      </c>
      <c r="C28" s="215" t="s">
        <v>493</v>
      </c>
      <c r="D28" s="217">
        <v>1993</v>
      </c>
      <c r="E28" s="217"/>
      <c r="F28" s="226" t="s">
        <v>267</v>
      </c>
      <c r="G28" s="217">
        <v>9</v>
      </c>
      <c r="H28" s="217" t="s">
        <v>312</v>
      </c>
      <c r="I28" s="190">
        <v>6478</v>
      </c>
      <c r="J28" s="190">
        <v>6478</v>
      </c>
      <c r="K28" s="190">
        <v>6359.4</v>
      </c>
      <c r="L28" s="219">
        <v>358</v>
      </c>
      <c r="M28" s="217" t="s">
        <v>265</v>
      </c>
      <c r="N28" s="217" t="s">
        <v>269</v>
      </c>
      <c r="O28" s="220" t="s">
        <v>348</v>
      </c>
      <c r="P28" s="190">
        <v>2593330.65</v>
      </c>
      <c r="Q28" s="190">
        <v>0</v>
      </c>
      <c r="R28" s="190">
        <v>0</v>
      </c>
      <c r="S28" s="190">
        <f t="shared" si="1"/>
        <v>2593330.65</v>
      </c>
      <c r="T28" s="190">
        <f t="shared" si="0"/>
        <v>400.32890552639702</v>
      </c>
      <c r="U28" s="190">
        <v>905.30648348255625</v>
      </c>
      <c r="V28" s="221">
        <f t="shared" si="2"/>
        <v>504.97757795615922</v>
      </c>
      <c r="W28" s="221">
        <f t="shared" si="3"/>
        <v>905.30648348255625</v>
      </c>
      <c r="X28" s="221">
        <v>0</v>
      </c>
      <c r="Y28" s="222">
        <v>0</v>
      </c>
      <c r="Z28" s="222">
        <v>0</v>
      </c>
      <c r="AA28" s="222">
        <v>0</v>
      </c>
      <c r="AB28" s="222">
        <v>0</v>
      </c>
      <c r="AC28" s="222">
        <v>0</v>
      </c>
      <c r="AD28" s="222">
        <v>0</v>
      </c>
      <c r="AE28" s="222">
        <v>940</v>
      </c>
      <c r="AF28" s="221">
        <f t="shared" si="4"/>
        <v>905.30648348255625</v>
      </c>
      <c r="AG28" s="222">
        <v>0</v>
      </c>
      <c r="AH28" s="221">
        <v>0</v>
      </c>
      <c r="AI28" s="222">
        <v>0</v>
      </c>
      <c r="AJ28" s="221">
        <v>0</v>
      </c>
      <c r="AK28" s="222">
        <v>0</v>
      </c>
      <c r="AL28" s="222">
        <v>0</v>
      </c>
      <c r="AM28" s="222">
        <v>0</v>
      </c>
      <c r="AN28" s="222"/>
      <c r="AO28" s="222">
        <v>0</v>
      </c>
    </row>
    <row r="29" spans="1:41" s="223" customFormat="1" ht="36" customHeight="1" x14ac:dyDescent="0.25">
      <c r="A29" s="223">
        <v>1</v>
      </c>
      <c r="B29" s="225">
        <f>SUBTOTAL(103,$A$16:A29)</f>
        <v>14</v>
      </c>
      <c r="C29" s="215" t="s">
        <v>494</v>
      </c>
      <c r="D29" s="217">
        <v>1992</v>
      </c>
      <c r="E29" s="217"/>
      <c r="F29" s="226" t="s">
        <v>311</v>
      </c>
      <c r="G29" s="217">
        <v>9</v>
      </c>
      <c r="H29" s="217" t="s">
        <v>2266</v>
      </c>
      <c r="I29" s="190">
        <v>14455.8</v>
      </c>
      <c r="J29" s="190">
        <v>14455.7</v>
      </c>
      <c r="K29" s="190">
        <v>14455.7</v>
      </c>
      <c r="L29" s="219">
        <v>689</v>
      </c>
      <c r="M29" s="217" t="s">
        <v>265</v>
      </c>
      <c r="N29" s="217" t="s">
        <v>269</v>
      </c>
      <c r="O29" s="220" t="s">
        <v>348</v>
      </c>
      <c r="P29" s="190">
        <v>14319460.059999999</v>
      </c>
      <c r="Q29" s="190">
        <v>0</v>
      </c>
      <c r="R29" s="190">
        <v>0</v>
      </c>
      <c r="S29" s="190">
        <f t="shared" si="1"/>
        <v>14319460.059999999</v>
      </c>
      <c r="T29" s="190">
        <f t="shared" si="0"/>
        <v>990.56849569031112</v>
      </c>
      <c r="U29" s="190">
        <v>1360.1737710815037</v>
      </c>
      <c r="V29" s="221">
        <f t="shared" si="2"/>
        <v>369.60527539119255</v>
      </c>
      <c r="W29" s="221">
        <f t="shared" si="3"/>
        <v>1360.1737710815037</v>
      </c>
      <c r="X29" s="221">
        <v>0</v>
      </c>
      <c r="Y29" s="222">
        <v>0</v>
      </c>
      <c r="Z29" s="222">
        <v>0</v>
      </c>
      <c r="AA29" s="222">
        <v>0</v>
      </c>
      <c r="AB29" s="222">
        <v>0</v>
      </c>
      <c r="AC29" s="222">
        <v>8</v>
      </c>
      <c r="AD29" s="221">
        <f>2457800*AC29/I29</f>
        <v>1360.1737710815037</v>
      </c>
      <c r="AE29" s="222">
        <v>0</v>
      </c>
      <c r="AF29" s="221">
        <v>0</v>
      </c>
      <c r="AG29" s="222">
        <v>0</v>
      </c>
      <c r="AH29" s="221">
        <v>0</v>
      </c>
      <c r="AI29" s="222">
        <v>0</v>
      </c>
      <c r="AJ29" s="221">
        <v>0</v>
      </c>
      <c r="AK29" s="222">
        <v>0</v>
      </c>
      <c r="AL29" s="222">
        <v>0</v>
      </c>
      <c r="AM29" s="222">
        <v>0</v>
      </c>
      <c r="AN29" s="222"/>
      <c r="AO29" s="222">
        <v>0</v>
      </c>
    </row>
    <row r="30" spans="1:41" s="223" customFormat="1" ht="36" customHeight="1" x14ac:dyDescent="0.25">
      <c r="A30" s="223">
        <v>1</v>
      </c>
      <c r="B30" s="225">
        <f>SUBTOTAL(103,$A$16:A30)</f>
        <v>15</v>
      </c>
      <c r="C30" s="215" t="s">
        <v>495</v>
      </c>
      <c r="D30" s="217">
        <v>1978</v>
      </c>
      <c r="E30" s="217"/>
      <c r="F30" s="226" t="s">
        <v>267</v>
      </c>
      <c r="G30" s="217">
        <v>5</v>
      </c>
      <c r="H30" s="217" t="s">
        <v>304</v>
      </c>
      <c r="I30" s="190">
        <v>1058.5</v>
      </c>
      <c r="J30" s="190">
        <v>777.2</v>
      </c>
      <c r="K30" s="190">
        <v>583.20000000000005</v>
      </c>
      <c r="L30" s="219">
        <v>37</v>
      </c>
      <c r="M30" s="217" t="s">
        <v>265</v>
      </c>
      <c r="N30" s="217" t="s">
        <v>269</v>
      </c>
      <c r="O30" s="220" t="s">
        <v>348</v>
      </c>
      <c r="P30" s="190">
        <v>721831.31</v>
      </c>
      <c r="Q30" s="190">
        <v>0</v>
      </c>
      <c r="R30" s="190">
        <v>0</v>
      </c>
      <c r="S30" s="190">
        <f t="shared" si="1"/>
        <v>721831.31</v>
      </c>
      <c r="T30" s="190">
        <f t="shared" si="0"/>
        <v>681.93794048181394</v>
      </c>
      <c r="U30" s="190">
        <v>1537.0099196976853</v>
      </c>
      <c r="V30" s="221">
        <f t="shared" si="2"/>
        <v>855.07197921587135</v>
      </c>
      <c r="W30" s="221">
        <f t="shared" si="3"/>
        <v>1856.996678885215</v>
      </c>
      <c r="X30" s="221">
        <v>0</v>
      </c>
      <c r="Y30" s="222">
        <v>0</v>
      </c>
      <c r="Z30" s="222">
        <v>0</v>
      </c>
      <c r="AA30" s="222">
        <v>0</v>
      </c>
      <c r="AB30" s="222">
        <v>0</v>
      </c>
      <c r="AC30" s="222">
        <v>0</v>
      </c>
      <c r="AD30" s="222">
        <v>0</v>
      </c>
      <c r="AE30" s="222">
        <v>315.06</v>
      </c>
      <c r="AF30" s="221">
        <f>6238.91*AE30/I30</f>
        <v>1856.996678885215</v>
      </c>
      <c r="AG30" s="222">
        <v>0</v>
      </c>
      <c r="AH30" s="221">
        <v>0</v>
      </c>
      <c r="AI30" s="222">
        <v>0</v>
      </c>
      <c r="AJ30" s="221">
        <v>0</v>
      </c>
      <c r="AK30" s="222">
        <v>0</v>
      </c>
      <c r="AL30" s="222">
        <v>0</v>
      </c>
      <c r="AM30" s="222">
        <v>0</v>
      </c>
      <c r="AN30" s="222"/>
      <c r="AO30" s="222">
        <v>0</v>
      </c>
    </row>
    <row r="31" spans="1:41" s="223" customFormat="1" ht="36" customHeight="1" x14ac:dyDescent="0.25">
      <c r="A31" s="223">
        <v>1</v>
      </c>
      <c r="B31" s="225">
        <f>SUBTOTAL(103,$A$16:A31)</f>
        <v>16</v>
      </c>
      <c r="C31" s="215" t="s">
        <v>500</v>
      </c>
      <c r="D31" s="217">
        <v>1968</v>
      </c>
      <c r="E31" s="217"/>
      <c r="F31" s="226" t="s">
        <v>267</v>
      </c>
      <c r="G31" s="217">
        <v>5</v>
      </c>
      <c r="H31" s="217" t="s">
        <v>351</v>
      </c>
      <c r="I31" s="190">
        <v>6224.9</v>
      </c>
      <c r="J31" s="190">
        <v>4706.8</v>
      </c>
      <c r="K31" s="190">
        <v>3495.5</v>
      </c>
      <c r="L31" s="219">
        <v>225</v>
      </c>
      <c r="M31" s="217" t="s">
        <v>265</v>
      </c>
      <c r="N31" s="217" t="s">
        <v>269</v>
      </c>
      <c r="O31" s="220" t="s">
        <v>1381</v>
      </c>
      <c r="P31" s="190">
        <v>3879957</v>
      </c>
      <c r="Q31" s="190">
        <v>0</v>
      </c>
      <c r="R31" s="190">
        <v>0</v>
      </c>
      <c r="S31" s="190">
        <f t="shared" si="1"/>
        <v>3879957</v>
      </c>
      <c r="T31" s="190">
        <f t="shared" si="0"/>
        <v>623.29627785185312</v>
      </c>
      <c r="U31" s="190">
        <v>1066.3390576555448</v>
      </c>
      <c r="V31" s="221">
        <f t="shared" si="2"/>
        <v>443.0427798036917</v>
      </c>
      <c r="W31" s="221">
        <f t="shared" si="3"/>
        <v>801.80051085158004</v>
      </c>
      <c r="X31" s="221">
        <v>0</v>
      </c>
      <c r="Y31" s="222">
        <v>0</v>
      </c>
      <c r="Z31" s="222">
        <v>0</v>
      </c>
      <c r="AA31" s="222">
        <v>0</v>
      </c>
      <c r="AB31" s="222">
        <v>0</v>
      </c>
      <c r="AC31" s="222">
        <v>0</v>
      </c>
      <c r="AD31" s="222">
        <v>0</v>
      </c>
      <c r="AE31" s="222">
        <v>800</v>
      </c>
      <c r="AF31" s="221">
        <f>6238.91*AE31/I31</f>
        <v>801.80051085158004</v>
      </c>
      <c r="AG31" s="222">
        <v>0</v>
      </c>
      <c r="AH31" s="221">
        <v>0</v>
      </c>
      <c r="AI31" s="222">
        <v>0</v>
      </c>
      <c r="AJ31" s="221">
        <v>0</v>
      </c>
      <c r="AK31" s="222">
        <v>0</v>
      </c>
      <c r="AL31" s="222">
        <v>0</v>
      </c>
      <c r="AM31" s="222">
        <v>0</v>
      </c>
      <c r="AN31" s="222"/>
      <c r="AO31" s="222">
        <v>0</v>
      </c>
    </row>
    <row r="32" spans="1:41" s="223" customFormat="1" ht="36" customHeight="1" x14ac:dyDescent="0.25">
      <c r="A32" s="223">
        <v>1</v>
      </c>
      <c r="B32" s="225">
        <f>SUBTOTAL(103,$A$16:A32)</f>
        <v>17</v>
      </c>
      <c r="C32" s="215" t="s">
        <v>1625</v>
      </c>
      <c r="D32" s="217">
        <v>1988</v>
      </c>
      <c r="E32" s="217"/>
      <c r="F32" s="226" t="s">
        <v>311</v>
      </c>
      <c r="G32" s="217">
        <v>5</v>
      </c>
      <c r="H32" s="217" t="s">
        <v>312</v>
      </c>
      <c r="I32" s="190">
        <v>2989.1</v>
      </c>
      <c r="J32" s="190">
        <v>2076.5</v>
      </c>
      <c r="K32" s="190">
        <v>2076.5</v>
      </c>
      <c r="L32" s="219">
        <v>97</v>
      </c>
      <c r="M32" s="217" t="s">
        <v>265</v>
      </c>
      <c r="N32" s="217" t="s">
        <v>269</v>
      </c>
      <c r="O32" s="220" t="s">
        <v>1381</v>
      </c>
      <c r="P32" s="190">
        <v>1297271</v>
      </c>
      <c r="Q32" s="190">
        <v>0</v>
      </c>
      <c r="R32" s="190">
        <v>0</v>
      </c>
      <c r="S32" s="190">
        <f t="shared" si="1"/>
        <v>1297271</v>
      </c>
      <c r="T32" s="190">
        <f t="shared" si="0"/>
        <v>434.00053527817738</v>
      </c>
      <c r="U32" s="190">
        <v>1195.2518483824563</v>
      </c>
      <c r="V32" s="221">
        <f t="shared" si="2"/>
        <v>761.25131310427889</v>
      </c>
      <c r="W32" s="221">
        <f t="shared" si="3"/>
        <v>2295.9422568666155</v>
      </c>
      <c r="X32" s="221">
        <v>0</v>
      </c>
      <c r="Y32" s="222">
        <v>0</v>
      </c>
      <c r="Z32" s="222">
        <v>0</v>
      </c>
      <c r="AA32" s="222">
        <v>0</v>
      </c>
      <c r="AB32" s="222">
        <v>0</v>
      </c>
      <c r="AC32" s="222">
        <v>0</v>
      </c>
      <c r="AD32" s="222">
        <v>0</v>
      </c>
      <c r="AE32" s="222">
        <v>1100</v>
      </c>
      <c r="AF32" s="221">
        <f>6238.91*AE32/I32</f>
        <v>2295.9422568666155</v>
      </c>
      <c r="AG32" s="222">
        <v>0</v>
      </c>
      <c r="AH32" s="221">
        <v>0</v>
      </c>
      <c r="AI32" s="222">
        <v>0</v>
      </c>
      <c r="AJ32" s="221">
        <v>0</v>
      </c>
      <c r="AK32" s="222">
        <v>0</v>
      </c>
      <c r="AL32" s="222">
        <v>0</v>
      </c>
      <c r="AM32" s="222">
        <v>0</v>
      </c>
      <c r="AN32" s="222"/>
      <c r="AO32" s="222">
        <v>0</v>
      </c>
    </row>
    <row r="33" spans="1:41" s="223" customFormat="1" ht="36" customHeight="1" x14ac:dyDescent="0.25">
      <c r="A33" s="223">
        <v>1</v>
      </c>
      <c r="B33" s="225">
        <f>SUBTOTAL(103,$A$16:A33)</f>
        <v>18</v>
      </c>
      <c r="C33" s="215" t="s">
        <v>501</v>
      </c>
      <c r="D33" s="217">
        <v>1988</v>
      </c>
      <c r="E33" s="217"/>
      <c r="F33" s="226" t="s">
        <v>267</v>
      </c>
      <c r="G33" s="217">
        <v>5</v>
      </c>
      <c r="H33" s="217" t="s">
        <v>312</v>
      </c>
      <c r="I33" s="190">
        <v>4166.5</v>
      </c>
      <c r="J33" s="190">
        <v>3487.5</v>
      </c>
      <c r="K33" s="190">
        <v>3487.5</v>
      </c>
      <c r="L33" s="219">
        <v>156</v>
      </c>
      <c r="M33" s="217" t="s">
        <v>265</v>
      </c>
      <c r="N33" s="217" t="s">
        <v>269</v>
      </c>
      <c r="O33" s="220" t="s">
        <v>1396</v>
      </c>
      <c r="P33" s="190">
        <v>2988276</v>
      </c>
      <c r="Q33" s="190">
        <v>0</v>
      </c>
      <c r="R33" s="190">
        <v>0</v>
      </c>
      <c r="S33" s="190">
        <f t="shared" si="1"/>
        <v>2988276</v>
      </c>
      <c r="T33" s="190">
        <f t="shared" si="0"/>
        <v>717.21492859714385</v>
      </c>
      <c r="U33" s="190">
        <v>1530.6722668906757</v>
      </c>
      <c r="V33" s="221">
        <f t="shared" si="2"/>
        <v>813.45733829353185</v>
      </c>
      <c r="W33" s="221">
        <f t="shared" si="3"/>
        <v>938.32966816272642</v>
      </c>
      <c r="X33" s="221">
        <v>0</v>
      </c>
      <c r="Y33" s="222">
        <v>0</v>
      </c>
      <c r="Z33" s="222">
        <v>0</v>
      </c>
      <c r="AA33" s="222">
        <v>0</v>
      </c>
      <c r="AB33" s="222">
        <v>0</v>
      </c>
      <c r="AC33" s="222">
        <v>0</v>
      </c>
      <c r="AD33" s="222">
        <v>0</v>
      </c>
      <c r="AE33" s="222">
        <v>626.64</v>
      </c>
      <c r="AF33" s="221">
        <f>6238.91*AE33/I33</f>
        <v>938.32966816272642</v>
      </c>
      <c r="AG33" s="222">
        <v>0</v>
      </c>
      <c r="AH33" s="221">
        <v>0</v>
      </c>
      <c r="AI33" s="222">
        <v>0</v>
      </c>
      <c r="AJ33" s="221">
        <v>0</v>
      </c>
      <c r="AK33" s="222">
        <v>0</v>
      </c>
      <c r="AL33" s="222">
        <v>0</v>
      </c>
      <c r="AM33" s="222">
        <v>0</v>
      </c>
      <c r="AN33" s="222"/>
      <c r="AO33" s="222">
        <v>0</v>
      </c>
    </row>
    <row r="34" spans="1:41" s="223" customFormat="1" ht="36" customHeight="1" x14ac:dyDescent="0.25">
      <c r="A34" s="223">
        <v>1</v>
      </c>
      <c r="B34" s="225">
        <f>SUBTOTAL(103,$A$16:A34)</f>
        <v>19</v>
      </c>
      <c r="C34" s="215" t="s">
        <v>503</v>
      </c>
      <c r="D34" s="217">
        <v>1985</v>
      </c>
      <c r="E34" s="217"/>
      <c r="F34" s="226" t="s">
        <v>311</v>
      </c>
      <c r="G34" s="217">
        <v>2</v>
      </c>
      <c r="H34" s="217" t="s">
        <v>303</v>
      </c>
      <c r="I34" s="190">
        <v>617.79999999999995</v>
      </c>
      <c r="J34" s="190">
        <v>560.5</v>
      </c>
      <c r="K34" s="190">
        <v>560.5</v>
      </c>
      <c r="L34" s="219">
        <v>38</v>
      </c>
      <c r="M34" s="217" t="s">
        <v>265</v>
      </c>
      <c r="N34" s="217" t="s">
        <v>269</v>
      </c>
      <c r="O34" s="220" t="s">
        <v>1380</v>
      </c>
      <c r="P34" s="190">
        <v>56688.3</v>
      </c>
      <c r="Q34" s="190">
        <v>0</v>
      </c>
      <c r="R34" s="190">
        <v>0</v>
      </c>
      <c r="S34" s="190">
        <f t="shared" si="1"/>
        <v>56688.3</v>
      </c>
      <c r="T34" s="190">
        <f t="shared" si="0"/>
        <v>91.758336031078031</v>
      </c>
      <c r="U34" s="190">
        <v>91.758336031078031</v>
      </c>
      <c r="V34" s="221">
        <f t="shared" si="2"/>
        <v>0</v>
      </c>
      <c r="W34" s="221">
        <f t="shared" si="3"/>
        <v>9219.0044334736158</v>
      </c>
      <c r="X34" s="221">
        <v>0</v>
      </c>
      <c r="Y34" s="222">
        <v>0</v>
      </c>
      <c r="Z34" s="222">
        <v>0</v>
      </c>
      <c r="AA34" s="222">
        <v>0</v>
      </c>
      <c r="AB34" s="222">
        <v>0</v>
      </c>
      <c r="AC34" s="222">
        <v>0</v>
      </c>
      <c r="AD34" s="222">
        <v>0</v>
      </c>
      <c r="AE34" s="222">
        <v>912.9</v>
      </c>
      <c r="AF34" s="221">
        <f>6238.91*AE34/I34</f>
        <v>9219.0044334736158</v>
      </c>
      <c r="AG34" s="222">
        <v>0</v>
      </c>
      <c r="AH34" s="221">
        <v>0</v>
      </c>
      <c r="AI34" s="222">
        <v>0</v>
      </c>
      <c r="AJ34" s="221">
        <v>0</v>
      </c>
      <c r="AK34" s="222">
        <v>0</v>
      </c>
      <c r="AL34" s="222">
        <v>0</v>
      </c>
      <c r="AM34" s="222">
        <v>0</v>
      </c>
      <c r="AN34" s="222"/>
      <c r="AO34" s="222">
        <v>0</v>
      </c>
    </row>
    <row r="35" spans="1:41" s="223" customFormat="1" ht="36" customHeight="1" x14ac:dyDescent="0.25">
      <c r="A35" s="223">
        <v>1</v>
      </c>
      <c r="B35" s="225">
        <f>SUBTOTAL(103,$A$16:A35)</f>
        <v>20</v>
      </c>
      <c r="C35" s="215" t="s">
        <v>504</v>
      </c>
      <c r="D35" s="217">
        <v>1967</v>
      </c>
      <c r="E35" s="217"/>
      <c r="F35" s="226" t="s">
        <v>267</v>
      </c>
      <c r="G35" s="217">
        <v>2</v>
      </c>
      <c r="H35" s="217" t="s">
        <v>303</v>
      </c>
      <c r="I35" s="190">
        <v>709.3</v>
      </c>
      <c r="J35" s="190">
        <v>653.29999999999995</v>
      </c>
      <c r="K35" s="190">
        <v>653.29999999999995</v>
      </c>
      <c r="L35" s="219">
        <v>36</v>
      </c>
      <c r="M35" s="217" t="s">
        <v>265</v>
      </c>
      <c r="N35" s="217" t="s">
        <v>269</v>
      </c>
      <c r="O35" s="220" t="s">
        <v>1380</v>
      </c>
      <c r="P35" s="190">
        <v>89064.28</v>
      </c>
      <c r="Q35" s="190">
        <v>0</v>
      </c>
      <c r="R35" s="190">
        <v>0</v>
      </c>
      <c r="S35" s="190">
        <f t="shared" si="1"/>
        <v>89064.28</v>
      </c>
      <c r="T35" s="190">
        <f t="shared" si="0"/>
        <v>125.56644579162555</v>
      </c>
      <c r="U35" s="190">
        <v>125.56644579162555</v>
      </c>
      <c r="V35" s="221">
        <f t="shared" si="2"/>
        <v>0</v>
      </c>
      <c r="W35" s="221">
        <f t="shared" si="3"/>
        <v>3259.66</v>
      </c>
      <c r="X35" s="221">
        <v>0</v>
      </c>
      <c r="Y35" s="222">
        <v>0</v>
      </c>
      <c r="Z35" s="222">
        <v>3259.66</v>
      </c>
      <c r="AA35" s="222">
        <v>0</v>
      </c>
      <c r="AB35" s="222">
        <v>0</v>
      </c>
      <c r="AC35" s="222">
        <v>0</v>
      </c>
      <c r="AD35" s="222">
        <v>0</v>
      </c>
      <c r="AE35" s="222">
        <v>0</v>
      </c>
      <c r="AF35" s="221">
        <v>0</v>
      </c>
      <c r="AG35" s="222">
        <v>0</v>
      </c>
      <c r="AH35" s="221">
        <v>0</v>
      </c>
      <c r="AI35" s="222">
        <v>0</v>
      </c>
      <c r="AJ35" s="221">
        <v>0</v>
      </c>
      <c r="AK35" s="222">
        <v>0</v>
      </c>
      <c r="AL35" s="222">
        <v>0</v>
      </c>
      <c r="AM35" s="222">
        <v>0</v>
      </c>
      <c r="AN35" s="222"/>
      <c r="AO35" s="222">
        <v>0</v>
      </c>
    </row>
    <row r="36" spans="1:41" s="223" customFormat="1" ht="36" customHeight="1" x14ac:dyDescent="0.25">
      <c r="A36" s="223">
        <v>1</v>
      </c>
      <c r="B36" s="225">
        <f>SUBTOTAL(103,$A$16:A36)</f>
        <v>21</v>
      </c>
      <c r="C36" s="215" t="s">
        <v>505</v>
      </c>
      <c r="D36" s="217">
        <v>1972</v>
      </c>
      <c r="E36" s="217"/>
      <c r="F36" s="226" t="s">
        <v>267</v>
      </c>
      <c r="G36" s="217">
        <v>2</v>
      </c>
      <c r="H36" s="217" t="s">
        <v>303</v>
      </c>
      <c r="I36" s="190">
        <v>790.6</v>
      </c>
      <c r="J36" s="190">
        <v>790.6</v>
      </c>
      <c r="K36" s="190">
        <v>790.6</v>
      </c>
      <c r="L36" s="219">
        <v>48</v>
      </c>
      <c r="M36" s="217" t="s">
        <v>265</v>
      </c>
      <c r="N36" s="217" t="s">
        <v>269</v>
      </c>
      <c r="O36" s="220" t="s">
        <v>1633</v>
      </c>
      <c r="P36" s="190">
        <v>2641217.09</v>
      </c>
      <c r="Q36" s="190">
        <v>0</v>
      </c>
      <c r="R36" s="190">
        <v>0</v>
      </c>
      <c r="S36" s="190">
        <f t="shared" si="1"/>
        <v>2641217.09</v>
      </c>
      <c r="T36" s="190">
        <f t="shared" si="0"/>
        <v>3340.7754743232986</v>
      </c>
      <c r="U36" s="190">
        <v>5383.2985074626858</v>
      </c>
      <c r="V36" s="221">
        <f t="shared" si="2"/>
        <v>2042.5230331393873</v>
      </c>
      <c r="W36" s="221">
        <f>T36</f>
        <v>3340.7754743232986</v>
      </c>
      <c r="X36" s="221">
        <v>0</v>
      </c>
      <c r="Y36" s="222">
        <v>0</v>
      </c>
      <c r="Z36" s="222">
        <v>0</v>
      </c>
      <c r="AA36" s="222">
        <v>0</v>
      </c>
      <c r="AB36" s="222">
        <v>0</v>
      </c>
      <c r="AC36" s="222">
        <v>0</v>
      </c>
      <c r="AD36" s="222">
        <v>0</v>
      </c>
      <c r="AE36" s="222">
        <v>0</v>
      </c>
      <c r="AF36" s="221">
        <v>0</v>
      </c>
      <c r="AG36" s="222">
        <v>0</v>
      </c>
      <c r="AH36" s="221">
        <v>0</v>
      </c>
      <c r="AI36" s="222">
        <v>0</v>
      </c>
      <c r="AJ36" s="221">
        <v>0</v>
      </c>
      <c r="AK36" s="222">
        <v>0</v>
      </c>
      <c r="AL36" s="222">
        <v>0</v>
      </c>
      <c r="AM36" s="222">
        <v>0</v>
      </c>
      <c r="AN36" s="222"/>
      <c r="AO36" s="222">
        <v>0</v>
      </c>
    </row>
    <row r="37" spans="1:41" s="223" customFormat="1" ht="36" customHeight="1" x14ac:dyDescent="0.25">
      <c r="A37" s="223">
        <v>1</v>
      </c>
      <c r="B37" s="225">
        <f>SUBTOTAL(103,$A$16:A37)</f>
        <v>22</v>
      </c>
      <c r="C37" s="215" t="s">
        <v>506</v>
      </c>
      <c r="D37" s="217">
        <v>1994</v>
      </c>
      <c r="E37" s="217"/>
      <c r="F37" s="226" t="s">
        <v>311</v>
      </c>
      <c r="G37" s="217">
        <v>9</v>
      </c>
      <c r="H37" s="217" t="s">
        <v>357</v>
      </c>
      <c r="I37" s="190">
        <v>14325</v>
      </c>
      <c r="J37" s="190">
        <v>14325</v>
      </c>
      <c r="K37" s="190">
        <v>14166</v>
      </c>
      <c r="L37" s="219">
        <v>585</v>
      </c>
      <c r="M37" s="217" t="s">
        <v>265</v>
      </c>
      <c r="N37" s="217" t="s">
        <v>269</v>
      </c>
      <c r="O37" s="220" t="s">
        <v>348</v>
      </c>
      <c r="P37" s="190">
        <v>12192587.91</v>
      </c>
      <c r="Q37" s="190">
        <v>0</v>
      </c>
      <c r="R37" s="190">
        <v>0</v>
      </c>
      <c r="S37" s="190">
        <f t="shared" si="1"/>
        <v>12192587.91</v>
      </c>
      <c r="T37" s="190">
        <f t="shared" si="0"/>
        <v>851.14051727748688</v>
      </c>
      <c r="U37" s="190">
        <v>1201.0191972076789</v>
      </c>
      <c r="V37" s="221">
        <f t="shared" si="2"/>
        <v>349.87867993019199</v>
      </c>
      <c r="W37" s="221">
        <f t="shared" si="3"/>
        <v>263.49323211169281</v>
      </c>
      <c r="X37" s="221">
        <v>0</v>
      </c>
      <c r="Y37" s="222">
        <v>0</v>
      </c>
      <c r="Z37" s="222">
        <v>0</v>
      </c>
      <c r="AA37" s="222">
        <v>0</v>
      </c>
      <c r="AB37" s="222">
        <v>0</v>
      </c>
      <c r="AC37" s="222">
        <v>0</v>
      </c>
      <c r="AD37" s="222">
        <v>0</v>
      </c>
      <c r="AE37" s="222">
        <v>605</v>
      </c>
      <c r="AF37" s="221">
        <f>6238.91*AE37/I37</f>
        <v>263.49323211169281</v>
      </c>
      <c r="AG37" s="222">
        <v>0</v>
      </c>
      <c r="AH37" s="221">
        <v>0</v>
      </c>
      <c r="AI37" s="222">
        <v>0</v>
      </c>
      <c r="AJ37" s="221">
        <v>0</v>
      </c>
      <c r="AK37" s="222">
        <v>0</v>
      </c>
      <c r="AL37" s="222">
        <v>0</v>
      </c>
      <c r="AM37" s="222">
        <v>0</v>
      </c>
      <c r="AN37" s="222"/>
      <c r="AO37" s="222">
        <v>0</v>
      </c>
    </row>
    <row r="38" spans="1:41" s="223" customFormat="1" ht="36" customHeight="1" x14ac:dyDescent="0.25">
      <c r="A38" s="223">
        <v>1</v>
      </c>
      <c r="B38" s="225">
        <f>SUBTOTAL(103,$A$16:A38)</f>
        <v>23</v>
      </c>
      <c r="C38" s="215" t="s">
        <v>507</v>
      </c>
      <c r="D38" s="217">
        <v>1994</v>
      </c>
      <c r="E38" s="217"/>
      <c r="F38" s="226" t="s">
        <v>311</v>
      </c>
      <c r="G38" s="217">
        <v>9</v>
      </c>
      <c r="H38" s="217" t="s">
        <v>312</v>
      </c>
      <c r="I38" s="190">
        <v>5491.1</v>
      </c>
      <c r="J38" s="190">
        <v>5491.1</v>
      </c>
      <c r="K38" s="190">
        <v>5444.9</v>
      </c>
      <c r="L38" s="219">
        <v>236</v>
      </c>
      <c r="M38" s="217" t="s">
        <v>265</v>
      </c>
      <c r="N38" s="217" t="s">
        <v>269</v>
      </c>
      <c r="O38" s="220" t="s">
        <v>348</v>
      </c>
      <c r="P38" s="190">
        <v>3433160.05</v>
      </c>
      <c r="Q38" s="190">
        <v>0</v>
      </c>
      <c r="R38" s="190">
        <v>0</v>
      </c>
      <c r="S38" s="190">
        <f t="shared" si="1"/>
        <v>3433160.05</v>
      </c>
      <c r="T38" s="190">
        <f t="shared" si="0"/>
        <v>625.22264209356956</v>
      </c>
      <c r="U38" s="190">
        <v>895.19404126677705</v>
      </c>
      <c r="V38" s="221">
        <f t="shared" si="2"/>
        <v>269.97139917320749</v>
      </c>
      <c r="W38" s="221">
        <f t="shared" si="3"/>
        <v>886.22494582142008</v>
      </c>
      <c r="X38" s="221">
        <v>0</v>
      </c>
      <c r="Y38" s="222">
        <v>0</v>
      </c>
      <c r="Z38" s="222">
        <v>0</v>
      </c>
      <c r="AA38" s="222">
        <v>0</v>
      </c>
      <c r="AB38" s="222">
        <v>0</v>
      </c>
      <c r="AC38" s="222">
        <v>0</v>
      </c>
      <c r="AD38" s="222">
        <v>0</v>
      </c>
      <c r="AE38" s="222">
        <v>780</v>
      </c>
      <c r="AF38" s="221">
        <f>6238.91*AE38/I38</f>
        <v>886.22494582142008</v>
      </c>
      <c r="AG38" s="222">
        <v>0</v>
      </c>
      <c r="AH38" s="221">
        <v>0</v>
      </c>
      <c r="AI38" s="222">
        <v>0</v>
      </c>
      <c r="AJ38" s="221">
        <v>0</v>
      </c>
      <c r="AK38" s="222">
        <v>0</v>
      </c>
      <c r="AL38" s="222">
        <v>0</v>
      </c>
      <c r="AM38" s="222">
        <v>0</v>
      </c>
      <c r="AN38" s="222"/>
      <c r="AO38" s="222">
        <v>0</v>
      </c>
    </row>
    <row r="39" spans="1:41" s="223" customFormat="1" ht="36" customHeight="1" x14ac:dyDescent="0.25">
      <c r="A39" s="223">
        <v>1</v>
      </c>
      <c r="B39" s="225">
        <f>SUBTOTAL(103,$A$16:A39)</f>
        <v>24</v>
      </c>
      <c r="C39" s="215" t="s">
        <v>508</v>
      </c>
      <c r="D39" s="217">
        <v>1993</v>
      </c>
      <c r="E39" s="217"/>
      <c r="F39" s="226" t="s">
        <v>311</v>
      </c>
      <c r="G39" s="217">
        <v>9</v>
      </c>
      <c r="H39" s="217" t="s">
        <v>304</v>
      </c>
      <c r="I39" s="190">
        <v>1614.7</v>
      </c>
      <c r="J39" s="190">
        <v>1614.7</v>
      </c>
      <c r="K39" s="190">
        <v>1585.9</v>
      </c>
      <c r="L39" s="219">
        <v>64</v>
      </c>
      <c r="M39" s="217" t="s">
        <v>265</v>
      </c>
      <c r="N39" s="217" t="s">
        <v>269</v>
      </c>
      <c r="O39" s="220" t="s">
        <v>348</v>
      </c>
      <c r="P39" s="190">
        <v>1772747.75</v>
      </c>
      <c r="Q39" s="190">
        <v>0</v>
      </c>
      <c r="R39" s="190">
        <v>0</v>
      </c>
      <c r="S39" s="190">
        <f t="shared" si="1"/>
        <v>1772747.75</v>
      </c>
      <c r="T39" s="190">
        <f t="shared" si="0"/>
        <v>1097.8805660494208</v>
      </c>
      <c r="U39" s="190">
        <v>1522.140335666068</v>
      </c>
      <c r="V39" s="221">
        <f t="shared" si="2"/>
        <v>424.25976961664719</v>
      </c>
      <c r="W39" s="221">
        <f t="shared" si="3"/>
        <v>10654.982349662476</v>
      </c>
      <c r="X39" s="221">
        <v>0</v>
      </c>
      <c r="Y39" s="222">
        <v>0</v>
      </c>
      <c r="Z39" s="222">
        <v>0</v>
      </c>
      <c r="AA39" s="222">
        <v>0</v>
      </c>
      <c r="AB39" s="222">
        <v>0</v>
      </c>
      <c r="AC39" s="222">
        <v>7</v>
      </c>
      <c r="AD39" s="221">
        <f>2457800*AC39/I39</f>
        <v>10654.982349662476</v>
      </c>
      <c r="AE39" s="222">
        <v>0</v>
      </c>
      <c r="AF39" s="221">
        <v>0</v>
      </c>
      <c r="AG39" s="222">
        <v>0</v>
      </c>
      <c r="AH39" s="221">
        <v>0</v>
      </c>
      <c r="AI39" s="222">
        <v>0</v>
      </c>
      <c r="AJ39" s="221">
        <v>0</v>
      </c>
      <c r="AK39" s="222">
        <v>0</v>
      </c>
      <c r="AL39" s="222">
        <v>0</v>
      </c>
      <c r="AM39" s="222">
        <v>0</v>
      </c>
      <c r="AN39" s="222"/>
      <c r="AO39" s="222">
        <v>0</v>
      </c>
    </row>
    <row r="40" spans="1:41" s="223" customFormat="1" ht="36" customHeight="1" x14ac:dyDescent="0.25">
      <c r="A40" s="223">
        <v>1</v>
      </c>
      <c r="B40" s="225">
        <f>SUBTOTAL(103,$A$16:A40)</f>
        <v>25</v>
      </c>
      <c r="C40" s="215" t="s">
        <v>509</v>
      </c>
      <c r="D40" s="217">
        <v>1993</v>
      </c>
      <c r="E40" s="217"/>
      <c r="F40" s="226" t="s">
        <v>311</v>
      </c>
      <c r="G40" s="217">
        <v>9</v>
      </c>
      <c r="H40" s="217" t="s">
        <v>303</v>
      </c>
      <c r="I40" s="190">
        <v>4490.3</v>
      </c>
      <c r="J40" s="190">
        <v>4490.3</v>
      </c>
      <c r="K40" s="190">
        <v>4474.6000000000004</v>
      </c>
      <c r="L40" s="219">
        <v>167</v>
      </c>
      <c r="M40" s="217" t="s">
        <v>265</v>
      </c>
      <c r="N40" s="217" t="s">
        <v>269</v>
      </c>
      <c r="O40" s="220" t="s">
        <v>348</v>
      </c>
      <c r="P40" s="190">
        <v>3535514.86</v>
      </c>
      <c r="Q40" s="190">
        <v>0</v>
      </c>
      <c r="R40" s="190">
        <v>0</v>
      </c>
      <c r="S40" s="190">
        <f t="shared" si="1"/>
        <v>3535514.86</v>
      </c>
      <c r="T40" s="190">
        <f t="shared" si="0"/>
        <v>787.36718259359054</v>
      </c>
      <c r="U40" s="190">
        <v>1094.7152751486537</v>
      </c>
      <c r="V40" s="221">
        <f t="shared" si="2"/>
        <v>307.3480925550632</v>
      </c>
      <c r="W40" s="221">
        <f t="shared" si="3"/>
        <v>1094.7152751486537</v>
      </c>
      <c r="X40" s="221">
        <v>0</v>
      </c>
      <c r="Y40" s="222">
        <v>0</v>
      </c>
      <c r="Z40" s="222">
        <v>0</v>
      </c>
      <c r="AA40" s="222">
        <v>0</v>
      </c>
      <c r="AB40" s="222">
        <v>0</v>
      </c>
      <c r="AC40" s="222">
        <v>2</v>
      </c>
      <c r="AD40" s="221">
        <f>2457800*AC40/I40</f>
        <v>1094.7152751486537</v>
      </c>
      <c r="AE40" s="222">
        <v>0</v>
      </c>
      <c r="AF40" s="221">
        <v>0</v>
      </c>
      <c r="AG40" s="222">
        <v>0</v>
      </c>
      <c r="AH40" s="221">
        <v>0</v>
      </c>
      <c r="AI40" s="222">
        <v>0</v>
      </c>
      <c r="AJ40" s="221">
        <v>0</v>
      </c>
      <c r="AK40" s="222">
        <v>0</v>
      </c>
      <c r="AL40" s="222">
        <v>0</v>
      </c>
      <c r="AM40" s="222">
        <v>0</v>
      </c>
      <c r="AN40" s="222"/>
      <c r="AO40" s="222">
        <v>0</v>
      </c>
    </row>
    <row r="41" spans="1:41" s="223" customFormat="1" ht="36" customHeight="1" x14ac:dyDescent="0.25">
      <c r="A41" s="223">
        <v>1</v>
      </c>
      <c r="B41" s="225">
        <f>SUBTOTAL(103,$A$16:A41)</f>
        <v>26</v>
      </c>
      <c r="C41" s="215" t="s">
        <v>510</v>
      </c>
      <c r="D41" s="217">
        <v>1987</v>
      </c>
      <c r="E41" s="217"/>
      <c r="F41" s="226" t="s">
        <v>267</v>
      </c>
      <c r="G41" s="217">
        <v>5</v>
      </c>
      <c r="H41" s="217" t="s">
        <v>303</v>
      </c>
      <c r="I41" s="190">
        <v>1670.9</v>
      </c>
      <c r="J41" s="190">
        <v>1146.4000000000001</v>
      </c>
      <c r="K41" s="190">
        <v>1146.4000000000001</v>
      </c>
      <c r="L41" s="219">
        <v>65</v>
      </c>
      <c r="M41" s="217" t="s">
        <v>265</v>
      </c>
      <c r="N41" s="217" t="s">
        <v>269</v>
      </c>
      <c r="O41" s="220" t="s">
        <v>1086</v>
      </c>
      <c r="P41" s="190">
        <v>1142069.99</v>
      </c>
      <c r="Q41" s="190">
        <v>0</v>
      </c>
      <c r="R41" s="190">
        <v>0</v>
      </c>
      <c r="S41" s="190">
        <f t="shared" si="1"/>
        <v>1142069.99</v>
      </c>
      <c r="T41" s="190">
        <f t="shared" si="0"/>
        <v>683.50588904183371</v>
      </c>
      <c r="U41" s="190">
        <v>1190.6960584116346</v>
      </c>
      <c r="V41" s="221">
        <f t="shared" si="2"/>
        <v>507.19016936980086</v>
      </c>
      <c r="W41" s="221">
        <f t="shared" si="3"/>
        <v>1470.9438027410376</v>
      </c>
      <c r="X41" s="221">
        <v>0</v>
      </c>
      <c r="Y41" s="222">
        <v>0</v>
      </c>
      <c r="Z41" s="222">
        <v>0</v>
      </c>
      <c r="AA41" s="222">
        <v>0</v>
      </c>
      <c r="AB41" s="222">
        <v>0</v>
      </c>
      <c r="AC41" s="222">
        <v>1</v>
      </c>
      <c r="AD41" s="221">
        <f>2457800*AC41/I41</f>
        <v>1470.9438027410376</v>
      </c>
      <c r="AE41" s="222">
        <v>0</v>
      </c>
      <c r="AF41" s="221">
        <v>0</v>
      </c>
      <c r="AG41" s="222">
        <v>0</v>
      </c>
      <c r="AH41" s="221">
        <v>0</v>
      </c>
      <c r="AI41" s="222">
        <v>0</v>
      </c>
      <c r="AJ41" s="221">
        <v>0</v>
      </c>
      <c r="AK41" s="222">
        <v>0</v>
      </c>
      <c r="AL41" s="222">
        <v>0</v>
      </c>
      <c r="AM41" s="222">
        <v>0</v>
      </c>
      <c r="AN41" s="222"/>
      <c r="AO41" s="222">
        <v>0</v>
      </c>
    </row>
    <row r="42" spans="1:41" s="223" customFormat="1" ht="36" customHeight="1" x14ac:dyDescent="0.25">
      <c r="A42" s="223">
        <v>1</v>
      </c>
      <c r="B42" s="225">
        <f>SUBTOTAL(103,$A$16:A42)</f>
        <v>27</v>
      </c>
      <c r="C42" s="215" t="s">
        <v>511</v>
      </c>
      <c r="D42" s="217">
        <v>1983</v>
      </c>
      <c r="E42" s="217"/>
      <c r="F42" s="226" t="s">
        <v>267</v>
      </c>
      <c r="G42" s="217">
        <v>5</v>
      </c>
      <c r="H42" s="217" t="s">
        <v>304</v>
      </c>
      <c r="I42" s="190">
        <v>628.5</v>
      </c>
      <c r="J42" s="190">
        <v>568.5</v>
      </c>
      <c r="K42" s="190">
        <v>568.5</v>
      </c>
      <c r="L42" s="219">
        <v>31</v>
      </c>
      <c r="M42" s="217" t="s">
        <v>265</v>
      </c>
      <c r="N42" s="217" t="s">
        <v>269</v>
      </c>
      <c r="O42" s="220" t="s">
        <v>1071</v>
      </c>
      <c r="P42" s="190">
        <v>715422.73</v>
      </c>
      <c r="Q42" s="190">
        <v>0</v>
      </c>
      <c r="R42" s="190">
        <v>0</v>
      </c>
      <c r="S42" s="190">
        <f t="shared" si="1"/>
        <v>715422.73</v>
      </c>
      <c r="T42" s="190">
        <f t="shared" si="0"/>
        <v>1138.301877486078</v>
      </c>
      <c r="U42" s="190">
        <v>1563.5046937151949</v>
      </c>
      <c r="V42" s="221">
        <f t="shared" si="2"/>
        <v>425.20281622911693</v>
      </c>
      <c r="W42" s="221">
        <f t="shared" si="3"/>
        <v>7821.161495624503</v>
      </c>
      <c r="X42" s="221">
        <v>0</v>
      </c>
      <c r="Y42" s="222">
        <v>0</v>
      </c>
      <c r="Z42" s="222">
        <v>0</v>
      </c>
      <c r="AA42" s="222">
        <v>0</v>
      </c>
      <c r="AB42" s="222">
        <v>0</v>
      </c>
      <c r="AC42" s="222">
        <v>2</v>
      </c>
      <c r="AD42" s="221">
        <f>2457800*AC42/I42</f>
        <v>7821.161495624503</v>
      </c>
      <c r="AE42" s="222">
        <v>0</v>
      </c>
      <c r="AF42" s="221">
        <v>0</v>
      </c>
      <c r="AG42" s="222">
        <v>0</v>
      </c>
      <c r="AH42" s="221">
        <v>0</v>
      </c>
      <c r="AI42" s="222">
        <v>0</v>
      </c>
      <c r="AJ42" s="221">
        <v>0</v>
      </c>
      <c r="AK42" s="222">
        <v>0</v>
      </c>
      <c r="AL42" s="222">
        <v>0</v>
      </c>
      <c r="AM42" s="222">
        <v>0</v>
      </c>
      <c r="AN42" s="222"/>
      <c r="AO42" s="222">
        <v>0</v>
      </c>
    </row>
    <row r="43" spans="1:41" s="223" customFormat="1" ht="36" customHeight="1" x14ac:dyDescent="0.25">
      <c r="A43" s="223">
        <v>1</v>
      </c>
      <c r="B43" s="225">
        <f>SUBTOTAL(103,$A$16:A43)</f>
        <v>28</v>
      </c>
      <c r="C43" s="215" t="s">
        <v>512</v>
      </c>
      <c r="D43" s="217">
        <v>1959</v>
      </c>
      <c r="E43" s="217"/>
      <c r="F43" s="226" t="s">
        <v>267</v>
      </c>
      <c r="G43" s="217">
        <v>2</v>
      </c>
      <c r="H43" s="217" t="s">
        <v>304</v>
      </c>
      <c r="I43" s="190">
        <v>313.3</v>
      </c>
      <c r="J43" s="190">
        <v>288.7</v>
      </c>
      <c r="K43" s="190">
        <v>288.7</v>
      </c>
      <c r="L43" s="219">
        <v>24</v>
      </c>
      <c r="M43" s="217" t="s">
        <v>265</v>
      </c>
      <c r="N43" s="217" t="s">
        <v>269</v>
      </c>
      <c r="O43" s="220" t="s">
        <v>1071</v>
      </c>
      <c r="P43" s="190">
        <v>1010260.5</v>
      </c>
      <c r="Q43" s="190">
        <v>0</v>
      </c>
      <c r="R43" s="190">
        <v>0</v>
      </c>
      <c r="S43" s="190">
        <f t="shared" si="1"/>
        <v>1010260.5</v>
      </c>
      <c r="T43" s="190">
        <f t="shared" si="0"/>
        <v>3224.5786785828277</v>
      </c>
      <c r="U43" s="190">
        <v>10067.597829556336</v>
      </c>
      <c r="V43" s="221">
        <f t="shared" si="2"/>
        <v>6843.0191509735087</v>
      </c>
      <c r="W43" s="221">
        <f t="shared" si="3"/>
        <v>6087.9654171720395</v>
      </c>
      <c r="X43" s="221">
        <v>0</v>
      </c>
      <c r="Y43" s="222">
        <v>0</v>
      </c>
      <c r="Z43" s="222">
        <v>0</v>
      </c>
      <c r="AA43" s="222">
        <v>0</v>
      </c>
      <c r="AB43" s="222">
        <v>0</v>
      </c>
      <c r="AC43" s="222">
        <v>0</v>
      </c>
      <c r="AD43" s="222">
        <v>0</v>
      </c>
      <c r="AE43" s="222">
        <v>305.72000000000003</v>
      </c>
      <c r="AF43" s="221">
        <f>6238.91*AE43/I43</f>
        <v>6087.9654171720395</v>
      </c>
      <c r="AG43" s="222">
        <v>0</v>
      </c>
      <c r="AH43" s="221">
        <v>0</v>
      </c>
      <c r="AI43" s="222">
        <v>0</v>
      </c>
      <c r="AJ43" s="221">
        <v>0</v>
      </c>
      <c r="AK43" s="222">
        <v>0</v>
      </c>
      <c r="AL43" s="222">
        <v>0</v>
      </c>
      <c r="AM43" s="222">
        <v>0</v>
      </c>
      <c r="AN43" s="222"/>
      <c r="AO43" s="222">
        <v>0</v>
      </c>
    </row>
    <row r="44" spans="1:41" s="223" customFormat="1" ht="36" customHeight="1" x14ac:dyDescent="0.25">
      <c r="A44" s="223">
        <v>1</v>
      </c>
      <c r="B44" s="225">
        <f>SUBTOTAL(103,$A$16:A44)</f>
        <v>29</v>
      </c>
      <c r="C44" s="215" t="s">
        <v>513</v>
      </c>
      <c r="D44" s="217">
        <v>1969</v>
      </c>
      <c r="E44" s="217"/>
      <c r="F44" s="226" t="s">
        <v>267</v>
      </c>
      <c r="G44" s="217">
        <v>9</v>
      </c>
      <c r="H44" s="217" t="s">
        <v>304</v>
      </c>
      <c r="I44" s="190">
        <v>2575.6999999999998</v>
      </c>
      <c r="J44" s="190">
        <v>2278.3000000000002</v>
      </c>
      <c r="K44" s="190">
        <v>2278.3000000000002</v>
      </c>
      <c r="L44" s="219">
        <v>84</v>
      </c>
      <c r="M44" s="217" t="s">
        <v>265</v>
      </c>
      <c r="N44" s="217" t="s">
        <v>269</v>
      </c>
      <c r="O44" s="220" t="s">
        <v>1071</v>
      </c>
      <c r="P44" s="190">
        <v>1761427.66</v>
      </c>
      <c r="Q44" s="190">
        <v>0</v>
      </c>
      <c r="R44" s="190">
        <v>0</v>
      </c>
      <c r="S44" s="190">
        <f t="shared" si="1"/>
        <v>1761427.66</v>
      </c>
      <c r="T44" s="190">
        <f t="shared" si="0"/>
        <v>683.86367201149199</v>
      </c>
      <c r="U44" s="190">
        <v>954.22603564079679</v>
      </c>
      <c r="V44" s="221">
        <f t="shared" si="2"/>
        <v>270.36236362930481</v>
      </c>
      <c r="W44" s="221">
        <f t="shared" si="3"/>
        <v>501.39937492720424</v>
      </c>
      <c r="X44" s="221">
        <v>0</v>
      </c>
      <c r="Y44" s="222">
        <v>0</v>
      </c>
      <c r="Z44" s="222">
        <v>0</v>
      </c>
      <c r="AA44" s="222">
        <v>0</v>
      </c>
      <c r="AB44" s="222">
        <v>0</v>
      </c>
      <c r="AC44" s="222">
        <v>0</v>
      </c>
      <c r="AD44" s="222">
        <v>0</v>
      </c>
      <c r="AE44" s="222">
        <v>207</v>
      </c>
      <c r="AF44" s="221">
        <f>6238.91*AE44/I44</f>
        <v>501.39937492720424</v>
      </c>
      <c r="AG44" s="222">
        <v>0</v>
      </c>
      <c r="AH44" s="221">
        <v>0</v>
      </c>
      <c r="AI44" s="222">
        <v>0</v>
      </c>
      <c r="AJ44" s="221">
        <v>0</v>
      </c>
      <c r="AK44" s="222">
        <v>0</v>
      </c>
      <c r="AL44" s="222">
        <v>0</v>
      </c>
      <c r="AM44" s="222">
        <v>0</v>
      </c>
      <c r="AN44" s="222"/>
      <c r="AO44" s="222">
        <v>0</v>
      </c>
    </row>
    <row r="45" spans="1:41" s="223" customFormat="1" ht="36" customHeight="1" x14ac:dyDescent="0.25">
      <c r="A45" s="223">
        <v>1</v>
      </c>
      <c r="B45" s="225">
        <f>SUBTOTAL(103,$A$16:A45)</f>
        <v>30</v>
      </c>
      <c r="C45" s="215" t="s">
        <v>514</v>
      </c>
      <c r="D45" s="217">
        <v>1983</v>
      </c>
      <c r="E45" s="217"/>
      <c r="F45" s="226" t="s">
        <v>267</v>
      </c>
      <c r="G45" s="217">
        <v>5</v>
      </c>
      <c r="H45" s="217" t="s">
        <v>312</v>
      </c>
      <c r="I45" s="190">
        <v>2943.9</v>
      </c>
      <c r="J45" s="190">
        <v>2711.7</v>
      </c>
      <c r="K45" s="190">
        <v>2711.7</v>
      </c>
      <c r="L45" s="219">
        <v>99</v>
      </c>
      <c r="M45" s="217" t="s">
        <v>265</v>
      </c>
      <c r="N45" s="217" t="s">
        <v>269</v>
      </c>
      <c r="O45" s="220" t="s">
        <v>1071</v>
      </c>
      <c r="P45" s="190">
        <v>2417044.6000000006</v>
      </c>
      <c r="Q45" s="190">
        <v>0</v>
      </c>
      <c r="R45" s="190">
        <v>0</v>
      </c>
      <c r="S45" s="190">
        <f t="shared" si="1"/>
        <v>2417044.6000000006</v>
      </c>
      <c r="T45" s="190">
        <f t="shared" si="0"/>
        <v>821.03488569584579</v>
      </c>
      <c r="U45" s="190">
        <v>2104.463602703896</v>
      </c>
      <c r="V45" s="221">
        <f t="shared" si="2"/>
        <v>1283.4287170080502</v>
      </c>
      <c r="W45" s="221">
        <f t="shared" si="3"/>
        <v>1072.4392948130032</v>
      </c>
      <c r="X45" s="221">
        <v>0</v>
      </c>
      <c r="Y45" s="222">
        <v>0</v>
      </c>
      <c r="Z45" s="222">
        <v>0</v>
      </c>
      <c r="AA45" s="222">
        <v>0</v>
      </c>
      <c r="AB45" s="222">
        <v>0</v>
      </c>
      <c r="AC45" s="222">
        <v>0</v>
      </c>
      <c r="AD45" s="222">
        <v>0</v>
      </c>
      <c r="AE45" s="222">
        <v>0</v>
      </c>
      <c r="AF45" s="221">
        <v>0</v>
      </c>
      <c r="AG45" s="222">
        <v>0</v>
      </c>
      <c r="AH45" s="221">
        <v>0</v>
      </c>
      <c r="AI45" s="222">
        <v>424.4</v>
      </c>
      <c r="AJ45" s="221">
        <f>7439.1*AI45/I45</f>
        <v>1072.4392948130032</v>
      </c>
      <c r="AK45" s="222">
        <v>0</v>
      </c>
      <c r="AL45" s="222">
        <v>0</v>
      </c>
      <c r="AM45" s="222">
        <v>0</v>
      </c>
      <c r="AN45" s="222"/>
      <c r="AO45" s="222">
        <v>0</v>
      </c>
    </row>
    <row r="46" spans="1:41" s="223" customFormat="1" ht="36" customHeight="1" x14ac:dyDescent="0.25">
      <c r="A46" s="223">
        <v>1</v>
      </c>
      <c r="B46" s="225">
        <f>SUBTOTAL(103,$A$16:A46)</f>
        <v>31</v>
      </c>
      <c r="C46" s="215" t="s">
        <v>515</v>
      </c>
      <c r="D46" s="217">
        <v>1989</v>
      </c>
      <c r="E46" s="217"/>
      <c r="F46" s="226" t="s">
        <v>267</v>
      </c>
      <c r="G46" s="217">
        <v>5</v>
      </c>
      <c r="H46" s="217" t="s">
        <v>308</v>
      </c>
      <c r="I46" s="190">
        <v>2894.3</v>
      </c>
      <c r="J46" s="190">
        <v>2645.3</v>
      </c>
      <c r="K46" s="190">
        <v>2645.3</v>
      </c>
      <c r="L46" s="219">
        <v>152</v>
      </c>
      <c r="M46" s="217" t="s">
        <v>265</v>
      </c>
      <c r="N46" s="217" t="s">
        <v>269</v>
      </c>
      <c r="O46" s="220" t="s">
        <v>1396</v>
      </c>
      <c r="P46" s="190">
        <v>2398202</v>
      </c>
      <c r="Q46" s="190">
        <v>0</v>
      </c>
      <c r="R46" s="190">
        <v>0</v>
      </c>
      <c r="S46" s="190">
        <f t="shared" si="1"/>
        <v>2398202</v>
      </c>
      <c r="T46" s="190">
        <f t="shared" si="0"/>
        <v>828.59482430985031</v>
      </c>
      <c r="U46" s="190">
        <v>1523.7771792834189</v>
      </c>
      <c r="V46" s="221">
        <f t="shared" si="2"/>
        <v>695.18235497356864</v>
      </c>
      <c r="W46" s="221">
        <f t="shared" si="3"/>
        <v>849.1863317555194</v>
      </c>
      <c r="X46" s="221">
        <v>0</v>
      </c>
      <c r="Y46" s="222">
        <v>0</v>
      </c>
      <c r="Z46" s="222">
        <v>0</v>
      </c>
      <c r="AA46" s="222">
        <v>0</v>
      </c>
      <c r="AB46" s="222">
        <v>0</v>
      </c>
      <c r="AC46" s="222">
        <v>1</v>
      </c>
      <c r="AD46" s="221">
        <f>2457800*AC46/I46</f>
        <v>849.1863317555194</v>
      </c>
      <c r="AE46" s="222">
        <v>0</v>
      </c>
      <c r="AF46" s="221">
        <v>0</v>
      </c>
      <c r="AG46" s="222">
        <v>0</v>
      </c>
      <c r="AH46" s="221">
        <v>0</v>
      </c>
      <c r="AI46" s="222">
        <v>0</v>
      </c>
      <c r="AJ46" s="221">
        <v>0</v>
      </c>
      <c r="AK46" s="222">
        <v>0</v>
      </c>
      <c r="AL46" s="222">
        <v>0</v>
      </c>
      <c r="AM46" s="222">
        <v>0</v>
      </c>
      <c r="AN46" s="222"/>
      <c r="AO46" s="222">
        <v>0</v>
      </c>
    </row>
    <row r="47" spans="1:41" s="223" customFormat="1" ht="36" customHeight="1" x14ac:dyDescent="0.25">
      <c r="A47" s="223">
        <v>1</v>
      </c>
      <c r="B47" s="225">
        <f>SUBTOTAL(103,$A$16:A47)</f>
        <v>32</v>
      </c>
      <c r="C47" s="215" t="s">
        <v>516</v>
      </c>
      <c r="D47" s="217">
        <v>1980</v>
      </c>
      <c r="E47" s="217"/>
      <c r="F47" s="226" t="s">
        <v>267</v>
      </c>
      <c r="G47" s="217">
        <v>5</v>
      </c>
      <c r="H47" s="217" t="s">
        <v>304</v>
      </c>
      <c r="I47" s="190">
        <v>1054.5999999999999</v>
      </c>
      <c r="J47" s="190">
        <v>994.1</v>
      </c>
      <c r="K47" s="190">
        <v>994.1</v>
      </c>
      <c r="L47" s="219">
        <v>39</v>
      </c>
      <c r="M47" s="217" t="s">
        <v>265</v>
      </c>
      <c r="N47" s="217" t="s">
        <v>269</v>
      </c>
      <c r="O47" s="220" t="s">
        <v>1396</v>
      </c>
      <c r="P47" s="190">
        <v>952298.84</v>
      </c>
      <c r="Q47" s="190">
        <v>0</v>
      </c>
      <c r="R47" s="190">
        <v>0</v>
      </c>
      <c r="S47" s="190">
        <f t="shared" si="1"/>
        <v>952298.84</v>
      </c>
      <c r="T47" s="190">
        <f t="shared" si="0"/>
        <v>902.99529679499346</v>
      </c>
      <c r="U47" s="190">
        <v>1540.9660952019724</v>
      </c>
      <c r="V47" s="221">
        <f t="shared" si="2"/>
        <v>637.97079840697893</v>
      </c>
      <c r="W47" s="221">
        <f t="shared" si="3"/>
        <v>5631.9384790441882</v>
      </c>
      <c r="X47" s="221">
        <v>0</v>
      </c>
      <c r="Y47" s="222">
        <v>0</v>
      </c>
      <c r="Z47" s="222">
        <v>0</v>
      </c>
      <c r="AA47" s="222">
        <v>0</v>
      </c>
      <c r="AB47" s="222">
        <v>0</v>
      </c>
      <c r="AC47" s="222">
        <v>0</v>
      </c>
      <c r="AD47" s="222">
        <v>0</v>
      </c>
      <c r="AE47" s="222">
        <v>952</v>
      </c>
      <c r="AF47" s="221">
        <f t="shared" ref="AF47:AF61" si="5">6238.91*AE47/I47</f>
        <v>5631.9384790441882</v>
      </c>
      <c r="AG47" s="222">
        <v>0</v>
      </c>
      <c r="AH47" s="221">
        <v>0</v>
      </c>
      <c r="AI47" s="222">
        <v>0</v>
      </c>
      <c r="AJ47" s="221">
        <v>0</v>
      </c>
      <c r="AK47" s="222">
        <v>0</v>
      </c>
      <c r="AL47" s="222">
        <v>0</v>
      </c>
      <c r="AM47" s="222">
        <v>0</v>
      </c>
      <c r="AN47" s="222"/>
      <c r="AO47" s="222">
        <v>0</v>
      </c>
    </row>
    <row r="48" spans="1:41" s="223" customFormat="1" ht="36" customHeight="1" x14ac:dyDescent="0.25">
      <c r="A48" s="223">
        <v>1</v>
      </c>
      <c r="B48" s="225">
        <f>SUBTOTAL(103,$A$16:A48)</f>
        <v>33</v>
      </c>
      <c r="C48" s="215" t="s">
        <v>517</v>
      </c>
      <c r="D48" s="217">
        <v>1981</v>
      </c>
      <c r="E48" s="217"/>
      <c r="F48" s="226" t="s">
        <v>311</v>
      </c>
      <c r="G48" s="217">
        <v>5</v>
      </c>
      <c r="H48" s="217" t="s">
        <v>2266</v>
      </c>
      <c r="I48" s="190">
        <v>7968.9</v>
      </c>
      <c r="J48" s="190">
        <v>6668.9</v>
      </c>
      <c r="K48" s="190">
        <v>6103.4</v>
      </c>
      <c r="L48" s="219">
        <v>317</v>
      </c>
      <c r="M48" s="217" t="s">
        <v>265</v>
      </c>
      <c r="N48" s="217" t="s">
        <v>269</v>
      </c>
      <c r="O48" s="220" t="s">
        <v>1396</v>
      </c>
      <c r="P48" s="190">
        <v>2602788.06</v>
      </c>
      <c r="Q48" s="190">
        <v>0</v>
      </c>
      <c r="R48" s="190">
        <v>0</v>
      </c>
      <c r="S48" s="190">
        <f t="shared" si="1"/>
        <v>2602788.06</v>
      </c>
      <c r="T48" s="190">
        <f t="shared" si="0"/>
        <v>326.61823589203027</v>
      </c>
      <c r="U48" s="190">
        <v>1235.09023290542</v>
      </c>
      <c r="V48" s="221">
        <f t="shared" si="2"/>
        <v>908.47199701338968</v>
      </c>
      <c r="W48" s="221">
        <f t="shared" si="3"/>
        <v>530.57627865828408</v>
      </c>
      <c r="X48" s="221">
        <v>0</v>
      </c>
      <c r="Y48" s="222">
        <v>0</v>
      </c>
      <c r="Z48" s="222">
        <v>0</v>
      </c>
      <c r="AA48" s="222">
        <v>0</v>
      </c>
      <c r="AB48" s="222">
        <v>0</v>
      </c>
      <c r="AC48" s="222">
        <v>0</v>
      </c>
      <c r="AD48" s="222">
        <v>0</v>
      </c>
      <c r="AE48" s="222">
        <v>677.7</v>
      </c>
      <c r="AF48" s="221">
        <f t="shared" si="5"/>
        <v>530.57627865828408</v>
      </c>
      <c r="AG48" s="222">
        <v>0</v>
      </c>
      <c r="AH48" s="221">
        <v>0</v>
      </c>
      <c r="AI48" s="222">
        <v>0</v>
      </c>
      <c r="AJ48" s="221">
        <v>0</v>
      </c>
      <c r="AK48" s="222">
        <v>0</v>
      </c>
      <c r="AL48" s="222">
        <v>0</v>
      </c>
      <c r="AM48" s="222">
        <v>0</v>
      </c>
      <c r="AN48" s="222"/>
      <c r="AO48" s="222">
        <v>0</v>
      </c>
    </row>
    <row r="49" spans="1:41" s="223" customFormat="1" ht="36" customHeight="1" x14ac:dyDescent="0.25">
      <c r="A49" s="223">
        <v>1</v>
      </c>
      <c r="B49" s="225">
        <f>SUBTOTAL(103,$A$16:A49)</f>
        <v>34</v>
      </c>
      <c r="C49" s="215" t="s">
        <v>518</v>
      </c>
      <c r="D49" s="217">
        <v>1993</v>
      </c>
      <c r="E49" s="217"/>
      <c r="F49" s="226" t="s">
        <v>311</v>
      </c>
      <c r="G49" s="217">
        <v>5</v>
      </c>
      <c r="H49" s="217" t="s">
        <v>351</v>
      </c>
      <c r="I49" s="190">
        <v>7577.6</v>
      </c>
      <c r="J49" s="190">
        <v>5713.2</v>
      </c>
      <c r="K49" s="190">
        <v>5713.2</v>
      </c>
      <c r="L49" s="219">
        <v>299</v>
      </c>
      <c r="M49" s="217" t="s">
        <v>265</v>
      </c>
      <c r="N49" s="217" t="s">
        <v>269</v>
      </c>
      <c r="O49" s="220" t="s">
        <v>1396</v>
      </c>
      <c r="P49" s="190">
        <v>4237431.1099999994</v>
      </c>
      <c r="Q49" s="190">
        <v>0</v>
      </c>
      <c r="R49" s="190">
        <v>0</v>
      </c>
      <c r="S49" s="190">
        <f t="shared" si="1"/>
        <v>4237431.1099999994</v>
      </c>
      <c r="T49" s="190">
        <f t="shared" si="0"/>
        <v>559.20490788640188</v>
      </c>
      <c r="U49" s="190">
        <v>1556.1592588682431</v>
      </c>
      <c r="V49" s="221">
        <f t="shared" si="2"/>
        <v>996.95435098184123</v>
      </c>
      <c r="W49" s="221">
        <f t="shared" si="3"/>
        <v>206.1633055320946</v>
      </c>
      <c r="X49" s="221">
        <v>0</v>
      </c>
      <c r="Y49" s="222">
        <v>0</v>
      </c>
      <c r="Z49" s="222">
        <v>0</v>
      </c>
      <c r="AA49" s="222">
        <v>0</v>
      </c>
      <c r="AB49" s="222">
        <v>0</v>
      </c>
      <c r="AC49" s="222">
        <v>0</v>
      </c>
      <c r="AD49" s="222">
        <v>0</v>
      </c>
      <c r="AE49" s="222">
        <v>250.4</v>
      </c>
      <c r="AF49" s="221">
        <f t="shared" si="5"/>
        <v>206.1633055320946</v>
      </c>
      <c r="AG49" s="222">
        <v>0</v>
      </c>
      <c r="AH49" s="221">
        <v>0</v>
      </c>
      <c r="AI49" s="222">
        <v>0</v>
      </c>
      <c r="AJ49" s="221">
        <v>0</v>
      </c>
      <c r="AK49" s="222">
        <v>0</v>
      </c>
      <c r="AL49" s="222">
        <v>0</v>
      </c>
      <c r="AM49" s="222">
        <v>0</v>
      </c>
      <c r="AN49" s="222"/>
      <c r="AO49" s="222">
        <v>0</v>
      </c>
    </row>
    <row r="50" spans="1:41" s="223" customFormat="1" ht="36" customHeight="1" x14ac:dyDescent="0.25">
      <c r="A50" s="223">
        <v>1</v>
      </c>
      <c r="B50" s="225">
        <f>SUBTOTAL(103,$A$16:A50)</f>
        <v>35</v>
      </c>
      <c r="C50" s="215" t="s">
        <v>519</v>
      </c>
      <c r="D50" s="217">
        <v>1986</v>
      </c>
      <c r="E50" s="217"/>
      <c r="F50" s="226" t="s">
        <v>267</v>
      </c>
      <c r="G50" s="217">
        <v>5</v>
      </c>
      <c r="H50" s="217" t="s">
        <v>308</v>
      </c>
      <c r="I50" s="190">
        <v>3600.3</v>
      </c>
      <c r="J50" s="190">
        <v>2713.5</v>
      </c>
      <c r="K50" s="190">
        <v>2713.5</v>
      </c>
      <c r="L50" s="219">
        <v>177</v>
      </c>
      <c r="M50" s="217" t="s">
        <v>265</v>
      </c>
      <c r="N50" s="217" t="s">
        <v>269</v>
      </c>
      <c r="O50" s="220" t="s">
        <v>1396</v>
      </c>
      <c r="P50" s="190">
        <v>2474623</v>
      </c>
      <c r="Q50" s="190">
        <v>0</v>
      </c>
      <c r="R50" s="190">
        <v>0</v>
      </c>
      <c r="S50" s="190">
        <f t="shared" si="1"/>
        <v>2474623</v>
      </c>
      <c r="T50" s="190">
        <f t="shared" si="0"/>
        <v>687.33799961114346</v>
      </c>
      <c r="U50" s="190">
        <v>1386.3861067133291</v>
      </c>
      <c r="V50" s="221">
        <f t="shared" si="2"/>
        <v>699.04810710218567</v>
      </c>
      <c r="W50" s="221">
        <f t="shared" si="3"/>
        <v>2620.8343396661385</v>
      </c>
      <c r="X50" s="221">
        <v>0</v>
      </c>
      <c r="Y50" s="222">
        <v>0</v>
      </c>
      <c r="Z50" s="222">
        <v>0</v>
      </c>
      <c r="AA50" s="222">
        <v>0</v>
      </c>
      <c r="AB50" s="222">
        <v>0</v>
      </c>
      <c r="AC50" s="222">
        <v>0</v>
      </c>
      <c r="AD50" s="222">
        <v>0</v>
      </c>
      <c r="AE50" s="222">
        <v>1512.41</v>
      </c>
      <c r="AF50" s="221">
        <f t="shared" si="5"/>
        <v>2620.8343396661385</v>
      </c>
      <c r="AG50" s="222">
        <v>0</v>
      </c>
      <c r="AH50" s="221">
        <v>0</v>
      </c>
      <c r="AI50" s="222">
        <v>0</v>
      </c>
      <c r="AJ50" s="221">
        <v>0</v>
      </c>
      <c r="AK50" s="222">
        <v>0</v>
      </c>
      <c r="AL50" s="222">
        <v>0</v>
      </c>
      <c r="AM50" s="222">
        <v>0</v>
      </c>
      <c r="AN50" s="222"/>
      <c r="AO50" s="222">
        <v>0</v>
      </c>
    </row>
    <row r="51" spans="1:41" s="223" customFormat="1" ht="36" customHeight="1" x14ac:dyDescent="0.25">
      <c r="A51" s="223">
        <v>1</v>
      </c>
      <c r="B51" s="225">
        <f>SUBTOTAL(103,$A$16:A51)</f>
        <v>36</v>
      </c>
      <c r="C51" s="215" t="s">
        <v>520</v>
      </c>
      <c r="D51" s="217">
        <v>1988</v>
      </c>
      <c r="E51" s="217"/>
      <c r="F51" s="226" t="s">
        <v>311</v>
      </c>
      <c r="G51" s="217">
        <v>5</v>
      </c>
      <c r="H51" s="217" t="s">
        <v>351</v>
      </c>
      <c r="I51" s="190">
        <v>5399</v>
      </c>
      <c r="J51" s="190">
        <v>3872.5</v>
      </c>
      <c r="K51" s="190">
        <v>3872.5</v>
      </c>
      <c r="L51" s="219">
        <v>192</v>
      </c>
      <c r="M51" s="217" t="s">
        <v>265</v>
      </c>
      <c r="N51" s="217" t="s">
        <v>269</v>
      </c>
      <c r="O51" s="220" t="s">
        <v>1086</v>
      </c>
      <c r="P51" s="190">
        <v>3215346.54</v>
      </c>
      <c r="Q51" s="190">
        <v>0</v>
      </c>
      <c r="R51" s="190">
        <v>0</v>
      </c>
      <c r="S51" s="190">
        <f t="shared" si="1"/>
        <v>3215346.54</v>
      </c>
      <c r="T51" s="190">
        <f t="shared" si="0"/>
        <v>595.54483052417118</v>
      </c>
      <c r="U51" s="190">
        <v>1176.4243748842377</v>
      </c>
      <c r="V51" s="221">
        <f t="shared" si="2"/>
        <v>580.87954436006657</v>
      </c>
      <c r="W51" s="221">
        <f t="shared" si="3"/>
        <v>2392.7531419336915</v>
      </c>
      <c r="X51" s="221">
        <v>0</v>
      </c>
      <c r="Y51" s="222">
        <v>0</v>
      </c>
      <c r="Z51" s="222">
        <v>0</v>
      </c>
      <c r="AA51" s="222">
        <v>0</v>
      </c>
      <c r="AB51" s="222">
        <v>0</v>
      </c>
      <c r="AC51" s="222">
        <v>0</v>
      </c>
      <c r="AD51" s="222">
        <v>0</v>
      </c>
      <c r="AE51" s="222">
        <v>2070.63</v>
      </c>
      <c r="AF51" s="221">
        <f t="shared" si="5"/>
        <v>2392.7531419336915</v>
      </c>
      <c r="AG51" s="222">
        <v>0</v>
      </c>
      <c r="AH51" s="221">
        <v>0</v>
      </c>
      <c r="AI51" s="222">
        <v>0</v>
      </c>
      <c r="AJ51" s="221">
        <v>0</v>
      </c>
      <c r="AK51" s="222">
        <v>0</v>
      </c>
      <c r="AL51" s="222">
        <v>0</v>
      </c>
      <c r="AM51" s="222">
        <v>0</v>
      </c>
      <c r="AN51" s="222"/>
      <c r="AO51" s="222">
        <v>0</v>
      </c>
    </row>
    <row r="52" spans="1:41" s="223" customFormat="1" ht="36" customHeight="1" x14ac:dyDescent="0.25">
      <c r="A52" s="223">
        <v>1</v>
      </c>
      <c r="B52" s="225">
        <f>SUBTOTAL(103,$A$16:A52)</f>
        <v>37</v>
      </c>
      <c r="C52" s="215" t="s">
        <v>521</v>
      </c>
      <c r="D52" s="217">
        <v>1987</v>
      </c>
      <c r="E52" s="217"/>
      <c r="F52" s="226" t="s">
        <v>311</v>
      </c>
      <c r="G52" s="217">
        <v>5</v>
      </c>
      <c r="H52" s="217" t="s">
        <v>312</v>
      </c>
      <c r="I52" s="190">
        <v>3281.4</v>
      </c>
      <c r="J52" s="190">
        <v>2306.6999999999998</v>
      </c>
      <c r="K52" s="190">
        <v>2306.6999999999998</v>
      </c>
      <c r="L52" s="219">
        <v>94</v>
      </c>
      <c r="M52" s="217" t="s">
        <v>265</v>
      </c>
      <c r="N52" s="217" t="s">
        <v>269</v>
      </c>
      <c r="O52" s="220" t="s">
        <v>1086</v>
      </c>
      <c r="P52" s="190">
        <v>2336593.7599999998</v>
      </c>
      <c r="Q52" s="190">
        <v>0</v>
      </c>
      <c r="R52" s="190">
        <v>0</v>
      </c>
      <c r="S52" s="190">
        <f t="shared" si="1"/>
        <v>2336593.7599999998</v>
      </c>
      <c r="T52" s="190">
        <f t="shared" si="0"/>
        <v>712.07221307978295</v>
      </c>
      <c r="U52" s="190">
        <v>1148.2776558785883</v>
      </c>
      <c r="V52" s="221">
        <f t="shared" si="2"/>
        <v>436.20544279880539</v>
      </c>
      <c r="W52" s="221">
        <f t="shared" si="3"/>
        <v>1446.8856311330528</v>
      </c>
      <c r="X52" s="221">
        <v>0</v>
      </c>
      <c r="Y52" s="222">
        <v>0</v>
      </c>
      <c r="Z52" s="222">
        <v>0</v>
      </c>
      <c r="AA52" s="222">
        <v>0</v>
      </c>
      <c r="AB52" s="222">
        <v>0</v>
      </c>
      <c r="AC52" s="222">
        <v>0</v>
      </c>
      <c r="AD52" s="222">
        <v>0</v>
      </c>
      <c r="AE52" s="222">
        <v>761</v>
      </c>
      <c r="AF52" s="221">
        <f t="shared" si="5"/>
        <v>1446.8856311330528</v>
      </c>
      <c r="AG52" s="222">
        <v>0</v>
      </c>
      <c r="AH52" s="221">
        <v>0</v>
      </c>
      <c r="AI52" s="222">
        <v>0</v>
      </c>
      <c r="AJ52" s="221">
        <v>0</v>
      </c>
      <c r="AK52" s="222">
        <v>0</v>
      </c>
      <c r="AL52" s="222">
        <v>0</v>
      </c>
      <c r="AM52" s="222">
        <v>0</v>
      </c>
      <c r="AN52" s="222"/>
      <c r="AO52" s="222">
        <v>0</v>
      </c>
    </row>
    <row r="53" spans="1:41" s="223" customFormat="1" ht="36" customHeight="1" x14ac:dyDescent="0.25">
      <c r="A53" s="223">
        <v>1</v>
      </c>
      <c r="B53" s="225">
        <f>SUBTOTAL(103,$A$16:A53)</f>
        <v>38</v>
      </c>
      <c r="C53" s="215" t="s">
        <v>522</v>
      </c>
      <c r="D53" s="217">
        <v>1952</v>
      </c>
      <c r="E53" s="217"/>
      <c r="F53" s="226" t="s">
        <v>267</v>
      </c>
      <c r="G53" s="217">
        <v>2</v>
      </c>
      <c r="H53" s="217" t="s">
        <v>303</v>
      </c>
      <c r="I53" s="190">
        <v>796</v>
      </c>
      <c r="J53" s="190">
        <v>722.8</v>
      </c>
      <c r="K53" s="190">
        <v>722.8</v>
      </c>
      <c r="L53" s="219">
        <v>49</v>
      </c>
      <c r="M53" s="217" t="s">
        <v>265</v>
      </c>
      <c r="N53" s="217" t="s">
        <v>269</v>
      </c>
      <c r="O53" s="220" t="s">
        <v>1380</v>
      </c>
      <c r="P53" s="190">
        <v>2470286.52</v>
      </c>
      <c r="Q53" s="190">
        <v>0</v>
      </c>
      <c r="R53" s="190">
        <v>0</v>
      </c>
      <c r="S53" s="190">
        <f t="shared" si="1"/>
        <v>2470286.52</v>
      </c>
      <c r="T53" s="190">
        <f t="shared" si="0"/>
        <v>3103.3750251256283</v>
      </c>
      <c r="U53" s="190">
        <v>6270.610427135678</v>
      </c>
      <c r="V53" s="221">
        <f t="shared" si="2"/>
        <v>3167.2354020100497</v>
      </c>
      <c r="W53" s="221">
        <f t="shared" si="3"/>
        <v>7837.8266331658288</v>
      </c>
      <c r="X53" s="221">
        <v>0</v>
      </c>
      <c r="Y53" s="222">
        <v>0</v>
      </c>
      <c r="Z53" s="222">
        <v>0</v>
      </c>
      <c r="AA53" s="222">
        <v>0</v>
      </c>
      <c r="AB53" s="222">
        <v>0</v>
      </c>
      <c r="AC53" s="222">
        <v>0</v>
      </c>
      <c r="AD53" s="222">
        <v>0</v>
      </c>
      <c r="AE53" s="222">
        <v>1000</v>
      </c>
      <c r="AF53" s="221">
        <f t="shared" si="5"/>
        <v>7837.8266331658288</v>
      </c>
      <c r="AG53" s="222">
        <v>0</v>
      </c>
      <c r="AH53" s="221">
        <v>0</v>
      </c>
      <c r="AI53" s="222">
        <v>0</v>
      </c>
      <c r="AJ53" s="221">
        <v>0</v>
      </c>
      <c r="AK53" s="222">
        <v>0</v>
      </c>
      <c r="AL53" s="222">
        <v>0</v>
      </c>
      <c r="AM53" s="222">
        <v>0</v>
      </c>
      <c r="AN53" s="222"/>
      <c r="AO53" s="222">
        <v>0</v>
      </c>
    </row>
    <row r="54" spans="1:41" s="223" customFormat="1" ht="36" customHeight="1" x14ac:dyDescent="0.25">
      <c r="A54" s="223">
        <v>1</v>
      </c>
      <c r="B54" s="225">
        <f>SUBTOTAL(103,$A$16:A54)</f>
        <v>39</v>
      </c>
      <c r="C54" s="215" t="s">
        <v>523</v>
      </c>
      <c r="D54" s="217">
        <v>1989</v>
      </c>
      <c r="E54" s="217"/>
      <c r="F54" s="226" t="s">
        <v>311</v>
      </c>
      <c r="G54" s="217">
        <v>5</v>
      </c>
      <c r="H54" s="217" t="s">
        <v>308</v>
      </c>
      <c r="I54" s="190">
        <v>4350.1000000000004</v>
      </c>
      <c r="J54" s="190">
        <v>3109.8</v>
      </c>
      <c r="K54" s="190">
        <v>3109.8</v>
      </c>
      <c r="L54" s="219">
        <v>137</v>
      </c>
      <c r="M54" s="217" t="s">
        <v>265</v>
      </c>
      <c r="N54" s="217" t="s">
        <v>269</v>
      </c>
      <c r="O54" s="220" t="s">
        <v>1086</v>
      </c>
      <c r="P54" s="190">
        <v>2594696.8800000004</v>
      </c>
      <c r="Q54" s="190">
        <v>0</v>
      </c>
      <c r="R54" s="190">
        <v>0</v>
      </c>
      <c r="S54" s="190">
        <f t="shared" si="1"/>
        <v>2594696.8800000004</v>
      </c>
      <c r="T54" s="190">
        <f t="shared" si="0"/>
        <v>596.46832946369057</v>
      </c>
      <c r="U54" s="190">
        <v>1214.7427415461711</v>
      </c>
      <c r="V54" s="221">
        <f t="shared" si="2"/>
        <v>618.27441208248058</v>
      </c>
      <c r="W54" s="221">
        <f t="shared" si="3"/>
        <v>860.51952828670596</v>
      </c>
      <c r="X54" s="221">
        <v>0</v>
      </c>
      <c r="Y54" s="222">
        <v>0</v>
      </c>
      <c r="Z54" s="222">
        <v>0</v>
      </c>
      <c r="AA54" s="222">
        <v>0</v>
      </c>
      <c r="AB54" s="222">
        <v>0</v>
      </c>
      <c r="AC54" s="222">
        <v>0</v>
      </c>
      <c r="AD54" s="222">
        <v>0</v>
      </c>
      <c r="AE54" s="222">
        <v>600</v>
      </c>
      <c r="AF54" s="221">
        <f t="shared" si="5"/>
        <v>860.51952828670596</v>
      </c>
      <c r="AG54" s="222">
        <v>0</v>
      </c>
      <c r="AH54" s="221">
        <v>0</v>
      </c>
      <c r="AI54" s="222">
        <v>0</v>
      </c>
      <c r="AJ54" s="221">
        <v>0</v>
      </c>
      <c r="AK54" s="222">
        <v>0</v>
      </c>
      <c r="AL54" s="222">
        <v>0</v>
      </c>
      <c r="AM54" s="222">
        <v>0</v>
      </c>
      <c r="AN54" s="222"/>
      <c r="AO54" s="222">
        <v>0</v>
      </c>
    </row>
    <row r="55" spans="1:41" s="223" customFormat="1" ht="36" customHeight="1" x14ac:dyDescent="0.25">
      <c r="A55" s="223">
        <v>1</v>
      </c>
      <c r="B55" s="225">
        <f>SUBTOTAL(103,$A$16:A55)</f>
        <v>40</v>
      </c>
      <c r="C55" s="215" t="s">
        <v>524</v>
      </c>
      <c r="D55" s="217">
        <v>1958</v>
      </c>
      <c r="E55" s="217"/>
      <c r="F55" s="226" t="s">
        <v>267</v>
      </c>
      <c r="G55" s="217">
        <v>3</v>
      </c>
      <c r="H55" s="217" t="s">
        <v>312</v>
      </c>
      <c r="I55" s="190">
        <v>3520.2</v>
      </c>
      <c r="J55" s="190">
        <v>1801.8</v>
      </c>
      <c r="K55" s="190">
        <v>1401.4</v>
      </c>
      <c r="L55" s="219">
        <v>68</v>
      </c>
      <c r="M55" s="217" t="s">
        <v>265</v>
      </c>
      <c r="N55" s="217" t="s">
        <v>269</v>
      </c>
      <c r="O55" s="220" t="s">
        <v>1395</v>
      </c>
      <c r="P55" s="190">
        <v>3746791.29</v>
      </c>
      <c r="Q55" s="190">
        <v>0</v>
      </c>
      <c r="R55" s="190">
        <v>0</v>
      </c>
      <c r="S55" s="190">
        <f t="shared" si="1"/>
        <v>3746791.29</v>
      </c>
      <c r="T55" s="190">
        <f t="shared" si="0"/>
        <v>1064.3688682461225</v>
      </c>
      <c r="U55" s="190">
        <v>1661.9573603772512</v>
      </c>
      <c r="V55" s="221">
        <f t="shared" si="2"/>
        <v>597.58849213112876</v>
      </c>
      <c r="W55" s="221">
        <f t="shared" si="3"/>
        <v>1020.7482033407194</v>
      </c>
      <c r="X55" s="221">
        <v>0</v>
      </c>
      <c r="Y55" s="222">
        <v>0</v>
      </c>
      <c r="Z55" s="222">
        <v>0</v>
      </c>
      <c r="AA55" s="222">
        <v>0</v>
      </c>
      <c r="AB55" s="222">
        <v>0</v>
      </c>
      <c r="AC55" s="222">
        <v>0</v>
      </c>
      <c r="AD55" s="222">
        <v>0</v>
      </c>
      <c r="AE55" s="222">
        <v>575.94000000000005</v>
      </c>
      <c r="AF55" s="221">
        <f t="shared" si="5"/>
        <v>1020.7482033407194</v>
      </c>
      <c r="AG55" s="222">
        <v>0</v>
      </c>
      <c r="AH55" s="221">
        <v>0</v>
      </c>
      <c r="AI55" s="222">
        <v>0</v>
      </c>
      <c r="AJ55" s="221">
        <v>0</v>
      </c>
      <c r="AK55" s="222">
        <v>0</v>
      </c>
      <c r="AL55" s="222">
        <v>0</v>
      </c>
      <c r="AM55" s="222">
        <v>0</v>
      </c>
      <c r="AN55" s="222"/>
      <c r="AO55" s="222">
        <v>0</v>
      </c>
    </row>
    <row r="56" spans="1:41" s="223" customFormat="1" ht="36" customHeight="1" x14ac:dyDescent="0.25">
      <c r="A56" s="223">
        <v>1</v>
      </c>
      <c r="B56" s="225">
        <f>SUBTOTAL(103,$A$16:A56)</f>
        <v>41</v>
      </c>
      <c r="C56" s="215" t="s">
        <v>526</v>
      </c>
      <c r="D56" s="217">
        <v>1995</v>
      </c>
      <c r="E56" s="217"/>
      <c r="F56" s="226" t="s">
        <v>311</v>
      </c>
      <c r="G56" s="217">
        <v>9</v>
      </c>
      <c r="H56" s="217" t="s">
        <v>308</v>
      </c>
      <c r="I56" s="190">
        <v>8787.9</v>
      </c>
      <c r="J56" s="190">
        <v>6287.1</v>
      </c>
      <c r="K56" s="190">
        <v>5664.6</v>
      </c>
      <c r="L56" s="219">
        <v>197</v>
      </c>
      <c r="M56" s="217" t="s">
        <v>265</v>
      </c>
      <c r="N56" s="217" t="s">
        <v>269</v>
      </c>
      <c r="O56" s="220" t="s">
        <v>1086</v>
      </c>
      <c r="P56" s="190">
        <v>2867076.98</v>
      </c>
      <c r="Q56" s="190">
        <v>0</v>
      </c>
      <c r="R56" s="190">
        <v>0</v>
      </c>
      <c r="S56" s="190">
        <f t="shared" si="1"/>
        <v>2867076.98</v>
      </c>
      <c r="T56" s="190">
        <f t="shared" si="0"/>
        <v>326.25279987255203</v>
      </c>
      <c r="U56" s="190">
        <v>993.92050432981716</v>
      </c>
      <c r="V56" s="221">
        <f t="shared" si="2"/>
        <v>667.66770445726513</v>
      </c>
      <c r="W56" s="221">
        <f t="shared" si="3"/>
        <v>756.0895265080394</v>
      </c>
      <c r="X56" s="221">
        <v>0</v>
      </c>
      <c r="Y56" s="222">
        <v>0</v>
      </c>
      <c r="Z56" s="222">
        <v>0</v>
      </c>
      <c r="AA56" s="222">
        <v>0</v>
      </c>
      <c r="AB56" s="222">
        <v>0</v>
      </c>
      <c r="AC56" s="222">
        <v>0</v>
      </c>
      <c r="AD56" s="222">
        <v>0</v>
      </c>
      <c r="AE56" s="222">
        <v>1065</v>
      </c>
      <c r="AF56" s="221">
        <f t="shared" si="5"/>
        <v>756.0895265080394</v>
      </c>
      <c r="AG56" s="222">
        <v>0</v>
      </c>
      <c r="AH56" s="221">
        <v>0</v>
      </c>
      <c r="AI56" s="222">
        <v>0</v>
      </c>
      <c r="AJ56" s="221">
        <v>0</v>
      </c>
      <c r="AK56" s="222">
        <v>0</v>
      </c>
      <c r="AL56" s="222">
        <v>0</v>
      </c>
      <c r="AM56" s="222">
        <v>0</v>
      </c>
      <c r="AN56" s="222"/>
      <c r="AO56" s="222">
        <v>0</v>
      </c>
    </row>
    <row r="57" spans="1:41" s="223" customFormat="1" ht="36" customHeight="1" x14ac:dyDescent="0.25">
      <c r="A57" s="223">
        <v>1</v>
      </c>
      <c r="B57" s="225">
        <f>SUBTOTAL(103,$A$16:A57)</f>
        <v>42</v>
      </c>
      <c r="C57" s="215" t="s">
        <v>527</v>
      </c>
      <c r="D57" s="217">
        <v>1988</v>
      </c>
      <c r="E57" s="217"/>
      <c r="F57" s="226" t="s">
        <v>267</v>
      </c>
      <c r="G57" s="217">
        <v>2</v>
      </c>
      <c r="H57" s="217" t="s">
        <v>303</v>
      </c>
      <c r="I57" s="190">
        <v>1063.8</v>
      </c>
      <c r="J57" s="190">
        <v>565.6</v>
      </c>
      <c r="K57" s="190">
        <v>565.6</v>
      </c>
      <c r="L57" s="219">
        <v>36</v>
      </c>
      <c r="M57" s="217" t="s">
        <v>265</v>
      </c>
      <c r="N57" s="217" t="s">
        <v>269</v>
      </c>
      <c r="O57" s="220" t="s">
        <v>1396</v>
      </c>
      <c r="P57" s="190">
        <v>62259.5</v>
      </c>
      <c r="Q57" s="190">
        <v>0</v>
      </c>
      <c r="R57" s="190">
        <v>0</v>
      </c>
      <c r="S57" s="190">
        <f t="shared" si="1"/>
        <v>62259.5</v>
      </c>
      <c r="T57" s="190">
        <f t="shared" si="0"/>
        <v>58.525568715924045</v>
      </c>
      <c r="U57" s="190">
        <v>58.525568715924045</v>
      </c>
      <c r="V57" s="221">
        <f t="shared" si="2"/>
        <v>0</v>
      </c>
      <c r="W57" s="221">
        <f t="shared" si="3"/>
        <v>5301.7246098890764</v>
      </c>
      <c r="X57" s="221">
        <v>0</v>
      </c>
      <c r="Y57" s="222">
        <v>0</v>
      </c>
      <c r="Z57" s="222">
        <v>0</v>
      </c>
      <c r="AA57" s="222">
        <v>0</v>
      </c>
      <c r="AB57" s="222">
        <v>0</v>
      </c>
      <c r="AC57" s="222">
        <v>0</v>
      </c>
      <c r="AD57" s="222">
        <v>0</v>
      </c>
      <c r="AE57" s="222">
        <v>904</v>
      </c>
      <c r="AF57" s="221">
        <f t="shared" si="5"/>
        <v>5301.7246098890764</v>
      </c>
      <c r="AG57" s="222">
        <v>0</v>
      </c>
      <c r="AH57" s="221">
        <v>0</v>
      </c>
      <c r="AI57" s="222">
        <v>0</v>
      </c>
      <c r="AJ57" s="221">
        <v>0</v>
      </c>
      <c r="AK57" s="222">
        <v>0</v>
      </c>
      <c r="AL57" s="222">
        <v>0</v>
      </c>
      <c r="AM57" s="222">
        <v>0</v>
      </c>
      <c r="AN57" s="222"/>
      <c r="AO57" s="222">
        <v>0</v>
      </c>
    </row>
    <row r="58" spans="1:41" s="223" customFormat="1" ht="36" customHeight="1" x14ac:dyDescent="0.25">
      <c r="A58" s="223">
        <v>1</v>
      </c>
      <c r="B58" s="225">
        <f>SUBTOTAL(103,$A$16:A58)</f>
        <v>43</v>
      </c>
      <c r="C58" s="215" t="s">
        <v>1369</v>
      </c>
      <c r="D58" s="217">
        <v>1971</v>
      </c>
      <c r="E58" s="217"/>
      <c r="F58" s="226" t="s">
        <v>267</v>
      </c>
      <c r="G58" s="217">
        <v>9</v>
      </c>
      <c r="H58" s="217" t="s">
        <v>304</v>
      </c>
      <c r="I58" s="190">
        <v>2016.9</v>
      </c>
      <c r="J58" s="190">
        <v>1902</v>
      </c>
      <c r="K58" s="190">
        <v>1902</v>
      </c>
      <c r="L58" s="219">
        <v>140</v>
      </c>
      <c r="M58" s="217" t="s">
        <v>265</v>
      </c>
      <c r="N58" s="217" t="s">
        <v>269</v>
      </c>
      <c r="O58" s="220" t="s">
        <v>1072</v>
      </c>
      <c r="P58" s="190">
        <v>605681</v>
      </c>
      <c r="Q58" s="190">
        <v>0</v>
      </c>
      <c r="R58" s="190">
        <v>0</v>
      </c>
      <c r="S58" s="190">
        <f t="shared" si="1"/>
        <v>605681</v>
      </c>
      <c r="T58" s="190">
        <f t="shared" si="0"/>
        <v>300.30294015568444</v>
      </c>
      <c r="U58" s="190">
        <v>945.81244563438929</v>
      </c>
      <c r="V58" s="221">
        <f t="shared" si="2"/>
        <v>645.5095054787048</v>
      </c>
      <c r="W58" s="221">
        <f t="shared" si="3"/>
        <v>3650.4227730675784</v>
      </c>
      <c r="X58" s="221">
        <v>0</v>
      </c>
      <c r="Y58" s="222">
        <v>0</v>
      </c>
      <c r="Z58" s="222">
        <v>0</v>
      </c>
      <c r="AA58" s="222">
        <v>0</v>
      </c>
      <c r="AB58" s="222">
        <v>0</v>
      </c>
      <c r="AC58" s="222">
        <v>0</v>
      </c>
      <c r="AD58" s="222">
        <v>0</v>
      </c>
      <c r="AE58" s="222">
        <v>1180.0999999999999</v>
      </c>
      <c r="AF58" s="221">
        <f t="shared" si="5"/>
        <v>3650.4227730675784</v>
      </c>
      <c r="AG58" s="222">
        <v>0</v>
      </c>
      <c r="AH58" s="221">
        <v>0</v>
      </c>
      <c r="AI58" s="222">
        <v>0</v>
      </c>
      <c r="AJ58" s="221">
        <v>0</v>
      </c>
      <c r="AK58" s="222">
        <v>0</v>
      </c>
      <c r="AL58" s="222">
        <v>0</v>
      </c>
      <c r="AM58" s="222">
        <v>0</v>
      </c>
      <c r="AN58" s="222"/>
      <c r="AO58" s="222">
        <v>0</v>
      </c>
    </row>
    <row r="59" spans="1:41" s="223" customFormat="1" ht="36" customHeight="1" x14ac:dyDescent="0.25">
      <c r="A59" s="223">
        <v>1</v>
      </c>
      <c r="B59" s="225">
        <f>SUBTOTAL(103,$A$16:A59)</f>
        <v>44</v>
      </c>
      <c r="C59" s="215" t="s">
        <v>1371</v>
      </c>
      <c r="D59" s="217">
        <v>1963</v>
      </c>
      <c r="E59" s="217"/>
      <c r="F59" s="226" t="s">
        <v>267</v>
      </c>
      <c r="G59" s="217">
        <v>5</v>
      </c>
      <c r="H59" s="217" t="s">
        <v>312</v>
      </c>
      <c r="I59" s="190">
        <v>2525.6</v>
      </c>
      <c r="J59" s="190">
        <v>1705.3</v>
      </c>
      <c r="K59" s="190">
        <v>1560.2</v>
      </c>
      <c r="L59" s="219">
        <v>98</v>
      </c>
      <c r="M59" s="217" t="s">
        <v>265</v>
      </c>
      <c r="N59" s="217" t="s">
        <v>269</v>
      </c>
      <c r="O59" s="220" t="s">
        <v>1383</v>
      </c>
      <c r="P59" s="190">
        <v>3492157.8499999996</v>
      </c>
      <c r="Q59" s="190">
        <v>0</v>
      </c>
      <c r="R59" s="190">
        <v>0</v>
      </c>
      <c r="S59" s="190">
        <f t="shared" si="1"/>
        <v>3492157.8499999996</v>
      </c>
      <c r="T59" s="190">
        <f t="shared" si="0"/>
        <v>1382.704248495407</v>
      </c>
      <c r="U59" s="190">
        <v>2071.6624960405447</v>
      </c>
      <c r="V59" s="221">
        <f t="shared" si="2"/>
        <v>688.95824754513774</v>
      </c>
      <c r="W59" s="221">
        <f t="shared" si="3"/>
        <v>1395.7016748495407</v>
      </c>
      <c r="X59" s="221">
        <v>0</v>
      </c>
      <c r="Y59" s="222">
        <v>0</v>
      </c>
      <c r="Z59" s="222">
        <v>0</v>
      </c>
      <c r="AA59" s="222">
        <v>0</v>
      </c>
      <c r="AB59" s="222">
        <v>0</v>
      </c>
      <c r="AC59" s="222">
        <v>0</v>
      </c>
      <c r="AD59" s="222">
        <v>0</v>
      </c>
      <c r="AE59" s="222">
        <v>565</v>
      </c>
      <c r="AF59" s="221">
        <f t="shared" si="5"/>
        <v>1395.7016748495407</v>
      </c>
      <c r="AG59" s="222">
        <v>0</v>
      </c>
      <c r="AH59" s="221">
        <v>0</v>
      </c>
      <c r="AI59" s="222">
        <v>0</v>
      </c>
      <c r="AJ59" s="221">
        <v>0</v>
      </c>
      <c r="AK59" s="222">
        <v>0</v>
      </c>
      <c r="AL59" s="222">
        <v>0</v>
      </c>
      <c r="AM59" s="222">
        <v>0</v>
      </c>
      <c r="AN59" s="222"/>
      <c r="AO59" s="222">
        <v>0</v>
      </c>
    </row>
    <row r="60" spans="1:41" s="223" customFormat="1" ht="36" customHeight="1" x14ac:dyDescent="0.25">
      <c r="A60" s="223">
        <v>1</v>
      </c>
      <c r="B60" s="225">
        <f>SUBTOTAL(103,$A$16:A60)</f>
        <v>45</v>
      </c>
      <c r="C60" s="215" t="s">
        <v>1091</v>
      </c>
      <c r="D60" s="217">
        <v>1991</v>
      </c>
      <c r="E60" s="217"/>
      <c r="F60" s="226" t="s">
        <v>311</v>
      </c>
      <c r="G60" s="217">
        <v>9</v>
      </c>
      <c r="H60" s="217" t="s">
        <v>312</v>
      </c>
      <c r="I60" s="190">
        <v>6295.6</v>
      </c>
      <c r="J60" s="190">
        <v>6295.6</v>
      </c>
      <c r="K60" s="190">
        <v>6088.2</v>
      </c>
      <c r="L60" s="219">
        <v>252</v>
      </c>
      <c r="M60" s="217" t="s">
        <v>265</v>
      </c>
      <c r="N60" s="217" t="s">
        <v>269</v>
      </c>
      <c r="O60" s="220" t="s">
        <v>1382</v>
      </c>
      <c r="P60" s="190">
        <v>4195168.8</v>
      </c>
      <c r="Q60" s="190">
        <v>0</v>
      </c>
      <c r="R60" s="190">
        <v>0</v>
      </c>
      <c r="S60" s="190">
        <f t="shared" si="1"/>
        <v>4195168.8</v>
      </c>
      <c r="T60" s="190">
        <f t="shared" si="0"/>
        <v>666.36520744647044</v>
      </c>
      <c r="U60" s="190">
        <v>1171.198932587839</v>
      </c>
      <c r="V60" s="221">
        <f t="shared" si="2"/>
        <v>504.83372514136852</v>
      </c>
      <c r="W60" s="221">
        <f t="shared" si="3"/>
        <v>303.00672240930169</v>
      </c>
      <c r="X60" s="221">
        <v>0</v>
      </c>
      <c r="Y60" s="222">
        <v>0</v>
      </c>
      <c r="Z60" s="222">
        <v>0</v>
      </c>
      <c r="AA60" s="222">
        <v>0</v>
      </c>
      <c r="AB60" s="222">
        <v>0</v>
      </c>
      <c r="AC60" s="222">
        <v>0</v>
      </c>
      <c r="AD60" s="222">
        <v>0</v>
      </c>
      <c r="AE60" s="222">
        <v>305.76</v>
      </c>
      <c r="AF60" s="221">
        <f t="shared" si="5"/>
        <v>303.00672240930169</v>
      </c>
      <c r="AG60" s="222">
        <v>0</v>
      </c>
      <c r="AH60" s="221">
        <v>0</v>
      </c>
      <c r="AI60" s="222">
        <v>0</v>
      </c>
      <c r="AJ60" s="221">
        <v>0</v>
      </c>
      <c r="AK60" s="222">
        <v>0</v>
      </c>
      <c r="AL60" s="222">
        <v>0</v>
      </c>
      <c r="AM60" s="222">
        <v>0</v>
      </c>
      <c r="AN60" s="222"/>
      <c r="AO60" s="222">
        <v>0</v>
      </c>
    </row>
    <row r="61" spans="1:41" s="223" customFormat="1" ht="36" customHeight="1" x14ac:dyDescent="0.25">
      <c r="A61" s="223">
        <v>1</v>
      </c>
      <c r="B61" s="225">
        <f>SUBTOTAL(103,$A$16:A61)</f>
        <v>46</v>
      </c>
      <c r="C61" s="215" t="s">
        <v>1092</v>
      </c>
      <c r="D61" s="217">
        <v>1956</v>
      </c>
      <c r="E61" s="217"/>
      <c r="F61" s="226" t="s">
        <v>267</v>
      </c>
      <c r="G61" s="217">
        <v>5</v>
      </c>
      <c r="H61" s="217" t="s">
        <v>371</v>
      </c>
      <c r="I61" s="190">
        <v>6143.7</v>
      </c>
      <c r="J61" s="190">
        <v>6143.7</v>
      </c>
      <c r="K61" s="190">
        <v>5025</v>
      </c>
      <c r="L61" s="219">
        <v>163</v>
      </c>
      <c r="M61" s="217" t="s">
        <v>265</v>
      </c>
      <c r="N61" s="217" t="s">
        <v>341</v>
      </c>
      <c r="O61" s="220" t="s">
        <v>1634</v>
      </c>
      <c r="P61" s="190">
        <v>11667617.030000001</v>
      </c>
      <c r="Q61" s="190">
        <v>0</v>
      </c>
      <c r="R61" s="190">
        <v>0</v>
      </c>
      <c r="S61" s="190">
        <f t="shared" si="1"/>
        <v>11667617.030000001</v>
      </c>
      <c r="T61" s="190">
        <f t="shared" si="0"/>
        <v>1899.1189397268749</v>
      </c>
      <c r="U61" s="190">
        <v>7870.5259045851853</v>
      </c>
      <c r="V61" s="221">
        <f t="shared" si="2"/>
        <v>5971.4069648583099</v>
      </c>
      <c r="W61" s="221">
        <f t="shared" si="3"/>
        <v>801.22727183944539</v>
      </c>
      <c r="X61" s="221">
        <v>0</v>
      </c>
      <c r="Y61" s="222">
        <v>0</v>
      </c>
      <c r="Z61" s="222">
        <v>0</v>
      </c>
      <c r="AA61" s="222">
        <v>0</v>
      </c>
      <c r="AB61" s="222">
        <v>0</v>
      </c>
      <c r="AC61" s="222">
        <v>0</v>
      </c>
      <c r="AD61" s="222">
        <v>0</v>
      </c>
      <c r="AE61" s="222">
        <v>789</v>
      </c>
      <c r="AF61" s="221">
        <f t="shared" si="5"/>
        <v>801.22727183944539</v>
      </c>
      <c r="AG61" s="222">
        <v>0</v>
      </c>
      <c r="AH61" s="221">
        <v>0</v>
      </c>
      <c r="AI61" s="222">
        <v>0</v>
      </c>
      <c r="AJ61" s="221">
        <v>0</v>
      </c>
      <c r="AK61" s="222">
        <v>0</v>
      </c>
      <c r="AL61" s="222">
        <v>0</v>
      </c>
      <c r="AM61" s="222">
        <v>0</v>
      </c>
      <c r="AN61" s="222"/>
      <c r="AO61" s="222">
        <v>0</v>
      </c>
    </row>
    <row r="62" spans="1:41" s="223" customFormat="1" ht="36" customHeight="1" x14ac:dyDescent="0.25">
      <c r="A62" s="223">
        <v>1</v>
      </c>
      <c r="B62" s="225">
        <f>SUBTOTAL(103,$A$16:A62)</f>
        <v>47</v>
      </c>
      <c r="C62" s="215" t="s">
        <v>1093</v>
      </c>
      <c r="D62" s="217">
        <v>1959</v>
      </c>
      <c r="E62" s="217"/>
      <c r="F62" s="226" t="s">
        <v>267</v>
      </c>
      <c r="G62" s="217">
        <v>5</v>
      </c>
      <c r="H62" s="217" t="s">
        <v>308</v>
      </c>
      <c r="I62" s="190">
        <v>6884.6</v>
      </c>
      <c r="J62" s="190">
        <v>5562.9</v>
      </c>
      <c r="K62" s="190">
        <v>4628.7</v>
      </c>
      <c r="L62" s="219">
        <v>154</v>
      </c>
      <c r="M62" s="217" t="s">
        <v>265</v>
      </c>
      <c r="N62" s="217" t="s">
        <v>269</v>
      </c>
      <c r="O62" s="220" t="s">
        <v>1380</v>
      </c>
      <c r="P62" s="190">
        <v>7709925.1399999997</v>
      </c>
      <c r="Q62" s="190">
        <v>0</v>
      </c>
      <c r="R62" s="190">
        <v>0</v>
      </c>
      <c r="S62" s="190">
        <f t="shared" si="1"/>
        <v>7709925.1399999997</v>
      </c>
      <c r="T62" s="190">
        <f t="shared" si="0"/>
        <v>1119.8798971617812</v>
      </c>
      <c r="U62" s="190">
        <v>4162.4209766725735</v>
      </c>
      <c r="V62" s="221">
        <f t="shared" si="2"/>
        <v>3042.5410795107923</v>
      </c>
      <c r="W62" s="221">
        <f t="shared" si="3"/>
        <v>795.27897045579994</v>
      </c>
      <c r="X62" s="221">
        <v>0</v>
      </c>
      <c r="Y62" s="222">
        <v>0</v>
      </c>
      <c r="Z62" s="222">
        <v>0</v>
      </c>
      <c r="AA62" s="222">
        <v>0</v>
      </c>
      <c r="AB62" s="222">
        <v>0</v>
      </c>
      <c r="AC62" s="222">
        <v>0</v>
      </c>
      <c r="AD62" s="222">
        <v>0</v>
      </c>
      <c r="AE62" s="222">
        <v>0</v>
      </c>
      <c r="AF62" s="221">
        <v>0</v>
      </c>
      <c r="AG62" s="222">
        <v>0</v>
      </c>
      <c r="AH62" s="221">
        <v>0</v>
      </c>
      <c r="AI62" s="222">
        <v>736</v>
      </c>
      <c r="AJ62" s="221">
        <f>7439.1*AI62/I62</f>
        <v>795.27897045579994</v>
      </c>
      <c r="AK62" s="222">
        <v>0</v>
      </c>
      <c r="AL62" s="222">
        <v>0</v>
      </c>
      <c r="AM62" s="222">
        <v>0</v>
      </c>
      <c r="AN62" s="222"/>
      <c r="AO62" s="222">
        <v>0</v>
      </c>
    </row>
    <row r="63" spans="1:41" s="223" customFormat="1" ht="36" customHeight="1" x14ac:dyDescent="0.25">
      <c r="A63" s="223">
        <v>1</v>
      </c>
      <c r="B63" s="225">
        <f>SUBTOTAL(103,$A$16:A63)</f>
        <v>48</v>
      </c>
      <c r="C63" s="215" t="s">
        <v>1095</v>
      </c>
      <c r="D63" s="217">
        <v>1972</v>
      </c>
      <c r="E63" s="217"/>
      <c r="F63" s="226" t="s">
        <v>267</v>
      </c>
      <c r="G63" s="217">
        <v>4</v>
      </c>
      <c r="H63" s="217" t="s">
        <v>304</v>
      </c>
      <c r="I63" s="190">
        <v>2171.9</v>
      </c>
      <c r="J63" s="190">
        <v>2022.4</v>
      </c>
      <c r="K63" s="190">
        <v>225.6</v>
      </c>
      <c r="L63" s="219">
        <v>26</v>
      </c>
      <c r="M63" s="217" t="s">
        <v>265</v>
      </c>
      <c r="N63" s="217" t="s">
        <v>269</v>
      </c>
      <c r="O63" s="220" t="s">
        <v>1383</v>
      </c>
      <c r="P63" s="190">
        <v>726648.72000000009</v>
      </c>
      <c r="Q63" s="190">
        <v>0</v>
      </c>
      <c r="R63" s="190">
        <v>0</v>
      </c>
      <c r="S63" s="190">
        <f t="shared" si="1"/>
        <v>726648.72000000009</v>
      </c>
      <c r="T63" s="190">
        <f t="shared" si="0"/>
        <v>334.56822137299145</v>
      </c>
      <c r="U63" s="190">
        <v>617.84048068511436</v>
      </c>
      <c r="V63" s="221">
        <f t="shared" si="2"/>
        <v>283.27225931212291</v>
      </c>
      <c r="W63" s="221">
        <f t="shared" si="3"/>
        <v>3394.9076845158615</v>
      </c>
      <c r="X63" s="221">
        <v>0</v>
      </c>
      <c r="Y63" s="222">
        <v>0</v>
      </c>
      <c r="Z63" s="222">
        <v>0</v>
      </c>
      <c r="AA63" s="222">
        <v>0</v>
      </c>
      <c r="AB63" s="222">
        <v>0</v>
      </c>
      <c r="AC63" s="222">
        <v>3</v>
      </c>
      <c r="AD63" s="221">
        <f>2457800*AC63/I63</f>
        <v>3394.9076845158615</v>
      </c>
      <c r="AE63" s="222">
        <v>0</v>
      </c>
      <c r="AF63" s="221">
        <v>0</v>
      </c>
      <c r="AG63" s="222">
        <v>0</v>
      </c>
      <c r="AH63" s="221">
        <v>0</v>
      </c>
      <c r="AI63" s="222">
        <v>0</v>
      </c>
      <c r="AJ63" s="221">
        <v>0</v>
      </c>
      <c r="AK63" s="222">
        <v>0</v>
      </c>
      <c r="AL63" s="222">
        <v>0</v>
      </c>
      <c r="AM63" s="222">
        <v>0</v>
      </c>
      <c r="AN63" s="222"/>
      <c r="AO63" s="222">
        <v>0</v>
      </c>
    </row>
    <row r="64" spans="1:41" s="223" customFormat="1" ht="36" customHeight="1" x14ac:dyDescent="0.25">
      <c r="A64" s="223">
        <v>1</v>
      </c>
      <c r="B64" s="225">
        <f>SUBTOTAL(103,$A$16:A64)</f>
        <v>49</v>
      </c>
      <c r="C64" s="215" t="s">
        <v>1096</v>
      </c>
      <c r="D64" s="217">
        <v>1975</v>
      </c>
      <c r="E64" s="217"/>
      <c r="F64" s="226" t="s">
        <v>267</v>
      </c>
      <c r="G64" s="217">
        <v>5</v>
      </c>
      <c r="H64" s="217" t="s">
        <v>312</v>
      </c>
      <c r="I64" s="190">
        <v>2962.8</v>
      </c>
      <c r="J64" s="190">
        <v>2688.5</v>
      </c>
      <c r="K64" s="190">
        <v>2688.5</v>
      </c>
      <c r="L64" s="219">
        <v>117</v>
      </c>
      <c r="M64" s="217" t="s">
        <v>265</v>
      </c>
      <c r="N64" s="217" t="s">
        <v>269</v>
      </c>
      <c r="O64" s="220" t="s">
        <v>1321</v>
      </c>
      <c r="P64" s="190">
        <v>3306287.7600000002</v>
      </c>
      <c r="Q64" s="190">
        <v>0</v>
      </c>
      <c r="R64" s="190">
        <v>0</v>
      </c>
      <c r="S64" s="190">
        <f t="shared" si="1"/>
        <v>3306287.7600000002</v>
      </c>
      <c r="T64" s="190">
        <f t="shared" si="0"/>
        <v>1115.9334953422438</v>
      </c>
      <c r="U64" s="190">
        <v>2011.9661131362225</v>
      </c>
      <c r="V64" s="221">
        <f t="shared" si="2"/>
        <v>896.03261779397872</v>
      </c>
      <c r="W64" s="221">
        <f t="shared" si="3"/>
        <v>14533.788852774403</v>
      </c>
      <c r="X64" s="221">
        <v>0</v>
      </c>
      <c r="Y64" s="222">
        <v>0</v>
      </c>
      <c r="Z64" s="222">
        <v>0</v>
      </c>
      <c r="AA64" s="222">
        <v>0</v>
      </c>
      <c r="AB64" s="222">
        <v>0</v>
      </c>
      <c r="AC64" s="222">
        <v>0</v>
      </c>
      <c r="AD64" s="222">
        <v>0</v>
      </c>
      <c r="AE64" s="222">
        <v>0</v>
      </c>
      <c r="AF64" s="221">
        <v>0</v>
      </c>
      <c r="AG64" s="222">
        <v>0</v>
      </c>
      <c r="AH64" s="221">
        <v>0</v>
      </c>
      <c r="AI64" s="222">
        <v>5788.43</v>
      </c>
      <c r="AJ64" s="221">
        <f>7439.1*AI64/I64</f>
        <v>14533.788852774403</v>
      </c>
      <c r="AK64" s="222">
        <v>0</v>
      </c>
      <c r="AL64" s="222">
        <v>0</v>
      </c>
      <c r="AM64" s="222">
        <v>0</v>
      </c>
      <c r="AN64" s="222"/>
      <c r="AO64" s="222">
        <v>0</v>
      </c>
    </row>
    <row r="65" spans="1:41" s="223" customFormat="1" ht="36" customHeight="1" x14ac:dyDescent="0.25">
      <c r="A65" s="223">
        <v>1</v>
      </c>
      <c r="B65" s="225">
        <f>SUBTOTAL(103,$A$16:A65)</f>
        <v>50</v>
      </c>
      <c r="C65" s="215" t="s">
        <v>1098</v>
      </c>
      <c r="D65" s="217">
        <v>1971</v>
      </c>
      <c r="E65" s="217"/>
      <c r="F65" s="226" t="s">
        <v>267</v>
      </c>
      <c r="G65" s="217">
        <v>5</v>
      </c>
      <c r="H65" s="217" t="s">
        <v>308</v>
      </c>
      <c r="I65" s="190">
        <v>4188.1000000000004</v>
      </c>
      <c r="J65" s="190">
        <v>3145.1</v>
      </c>
      <c r="K65" s="190">
        <v>3145.1</v>
      </c>
      <c r="L65" s="219">
        <v>146</v>
      </c>
      <c r="M65" s="217" t="s">
        <v>265</v>
      </c>
      <c r="N65" s="217" t="s">
        <v>269</v>
      </c>
      <c r="O65" s="220" t="s">
        <v>1635</v>
      </c>
      <c r="P65" s="190">
        <v>4193947.02</v>
      </c>
      <c r="Q65" s="190">
        <v>0</v>
      </c>
      <c r="R65" s="190">
        <v>0</v>
      </c>
      <c r="S65" s="190">
        <f t="shared" si="1"/>
        <v>4193947.02</v>
      </c>
      <c r="T65" s="190">
        <f t="shared" si="0"/>
        <v>1001.3961032449081</v>
      </c>
      <c r="U65" s="190">
        <v>1600.3205033308659</v>
      </c>
      <c r="V65" s="221">
        <f t="shared" si="2"/>
        <v>598.92440008595781</v>
      </c>
      <c r="W65" s="221">
        <f t="shared" si="3"/>
        <v>6842.3875876889279</v>
      </c>
      <c r="X65" s="221">
        <v>0</v>
      </c>
      <c r="Y65" s="222">
        <v>0</v>
      </c>
      <c r="Z65" s="222">
        <v>0</v>
      </c>
      <c r="AA65" s="222">
        <v>0</v>
      </c>
      <c r="AB65" s="222">
        <v>0</v>
      </c>
      <c r="AC65" s="222">
        <v>0</v>
      </c>
      <c r="AD65" s="222">
        <v>0</v>
      </c>
      <c r="AE65" s="222">
        <v>0</v>
      </c>
      <c r="AF65" s="221">
        <v>0</v>
      </c>
      <c r="AG65" s="222">
        <v>0</v>
      </c>
      <c r="AH65" s="221">
        <v>0</v>
      </c>
      <c r="AI65" s="222">
        <v>3852.16</v>
      </c>
      <c r="AJ65" s="221">
        <f>7439.1*AI65/I65</f>
        <v>6842.3875876889279</v>
      </c>
      <c r="AK65" s="222">
        <v>0</v>
      </c>
      <c r="AL65" s="222">
        <v>0</v>
      </c>
      <c r="AM65" s="222">
        <v>0</v>
      </c>
      <c r="AN65" s="222"/>
      <c r="AO65" s="222">
        <v>0</v>
      </c>
    </row>
    <row r="66" spans="1:41" s="223" customFormat="1" ht="36" customHeight="1" x14ac:dyDescent="0.25">
      <c r="A66" s="223">
        <v>1</v>
      </c>
      <c r="B66" s="225">
        <f>SUBTOTAL(103,$A$16:A66)</f>
        <v>51</v>
      </c>
      <c r="C66" s="215" t="s">
        <v>1099</v>
      </c>
      <c r="D66" s="217">
        <v>1969</v>
      </c>
      <c r="E66" s="217"/>
      <c r="F66" s="226" t="s">
        <v>267</v>
      </c>
      <c r="G66" s="217">
        <v>5</v>
      </c>
      <c r="H66" s="217" t="s">
        <v>308</v>
      </c>
      <c r="I66" s="190">
        <v>4279.8</v>
      </c>
      <c r="J66" s="190">
        <v>4279.8</v>
      </c>
      <c r="K66" s="190">
        <v>3174.6</v>
      </c>
      <c r="L66" s="219">
        <v>136</v>
      </c>
      <c r="M66" s="217" t="s">
        <v>265</v>
      </c>
      <c r="N66" s="217" t="s">
        <v>269</v>
      </c>
      <c r="O66" s="220" t="s">
        <v>1636</v>
      </c>
      <c r="P66" s="190">
        <v>3323174.92</v>
      </c>
      <c r="Q66" s="190">
        <v>0</v>
      </c>
      <c r="R66" s="190">
        <v>0</v>
      </c>
      <c r="S66" s="190">
        <f t="shared" si="1"/>
        <v>3323174.92</v>
      </c>
      <c r="T66" s="190">
        <f t="shared" si="0"/>
        <v>776.47902238422353</v>
      </c>
      <c r="U66" s="190">
        <v>1437.0828706948921</v>
      </c>
      <c r="V66" s="221">
        <f t="shared" si="2"/>
        <v>660.60384831066858</v>
      </c>
      <c r="W66" s="221">
        <f t="shared" si="3"/>
        <v>1784.2950231319219</v>
      </c>
      <c r="X66" s="221">
        <v>0</v>
      </c>
      <c r="Y66" s="222">
        <v>0</v>
      </c>
      <c r="Z66" s="222">
        <v>0</v>
      </c>
      <c r="AA66" s="222">
        <v>0</v>
      </c>
      <c r="AB66" s="222">
        <v>0</v>
      </c>
      <c r="AC66" s="222">
        <v>0</v>
      </c>
      <c r="AD66" s="222">
        <v>0</v>
      </c>
      <c r="AE66" s="222">
        <v>1224</v>
      </c>
      <c r="AF66" s="221">
        <f>6238.91*AE66/I66</f>
        <v>1784.2950231319219</v>
      </c>
      <c r="AG66" s="222">
        <v>0</v>
      </c>
      <c r="AH66" s="221">
        <v>0</v>
      </c>
      <c r="AI66" s="222"/>
      <c r="AJ66" s="221">
        <v>0</v>
      </c>
      <c r="AK66" s="222">
        <v>0</v>
      </c>
      <c r="AL66" s="222">
        <v>0</v>
      </c>
      <c r="AM66" s="222">
        <v>0</v>
      </c>
      <c r="AN66" s="222"/>
      <c r="AO66" s="222">
        <v>0</v>
      </c>
    </row>
    <row r="67" spans="1:41" s="223" customFormat="1" ht="36" customHeight="1" x14ac:dyDescent="0.25">
      <c r="A67" s="223">
        <v>1</v>
      </c>
      <c r="B67" s="225">
        <f>SUBTOTAL(103,$A$16:A67)</f>
        <v>52</v>
      </c>
      <c r="C67" s="215" t="s">
        <v>1100</v>
      </c>
      <c r="D67" s="217">
        <v>1968</v>
      </c>
      <c r="E67" s="217"/>
      <c r="F67" s="226" t="s">
        <v>311</v>
      </c>
      <c r="G67" s="217">
        <v>5</v>
      </c>
      <c r="H67" s="217" t="s">
        <v>308</v>
      </c>
      <c r="I67" s="190">
        <v>3877.8</v>
      </c>
      <c r="J67" s="190">
        <v>3554.6</v>
      </c>
      <c r="K67" s="190">
        <v>3554.6</v>
      </c>
      <c r="L67" s="219">
        <v>167</v>
      </c>
      <c r="M67" s="217" t="s">
        <v>265</v>
      </c>
      <c r="N67" s="217" t="s">
        <v>269</v>
      </c>
      <c r="O67" s="220" t="s">
        <v>1071</v>
      </c>
      <c r="P67" s="190">
        <v>4024360.63</v>
      </c>
      <c r="Q67" s="190">
        <v>0</v>
      </c>
      <c r="R67" s="190">
        <v>0</v>
      </c>
      <c r="S67" s="190">
        <f t="shared" si="1"/>
        <v>4024360.63</v>
      </c>
      <c r="T67" s="190">
        <f t="shared" si="0"/>
        <v>1037.7947882820156</v>
      </c>
      <c r="U67" s="190">
        <v>1623.5518304193099</v>
      </c>
      <c r="V67" s="221">
        <f t="shared" si="2"/>
        <v>585.75704213729432</v>
      </c>
      <c r="W67" s="221">
        <f t="shared" si="3"/>
        <v>352.02266955490228</v>
      </c>
      <c r="X67" s="221">
        <v>0</v>
      </c>
      <c r="Y67" s="222">
        <v>0</v>
      </c>
      <c r="Z67" s="222">
        <v>0</v>
      </c>
      <c r="AA67" s="222">
        <v>0</v>
      </c>
      <c r="AB67" s="222">
        <v>0</v>
      </c>
      <c r="AC67" s="222">
        <v>0</v>
      </c>
      <c r="AD67" s="222">
        <v>0</v>
      </c>
      <c r="AE67" s="222">
        <v>218.8</v>
      </c>
      <c r="AF67" s="221">
        <f>6238.91*AE67/I67</f>
        <v>352.02266955490228</v>
      </c>
      <c r="AG67" s="222">
        <v>0</v>
      </c>
      <c r="AH67" s="221">
        <v>0</v>
      </c>
      <c r="AI67" s="222">
        <v>0</v>
      </c>
      <c r="AJ67" s="221">
        <v>0</v>
      </c>
      <c r="AK67" s="222">
        <v>0</v>
      </c>
      <c r="AL67" s="222">
        <v>0</v>
      </c>
      <c r="AM67" s="222">
        <v>0</v>
      </c>
      <c r="AN67" s="222"/>
      <c r="AO67" s="222">
        <v>0</v>
      </c>
    </row>
    <row r="68" spans="1:41" s="223" customFormat="1" ht="36" customHeight="1" x14ac:dyDescent="0.25">
      <c r="A68" s="223">
        <v>1</v>
      </c>
      <c r="B68" s="225">
        <f>SUBTOTAL(103,$A$16:A68)</f>
        <v>53</v>
      </c>
      <c r="C68" s="215" t="s">
        <v>1101</v>
      </c>
      <c r="D68" s="217">
        <v>1968</v>
      </c>
      <c r="E68" s="217"/>
      <c r="F68" s="226" t="s">
        <v>311</v>
      </c>
      <c r="G68" s="217">
        <v>5</v>
      </c>
      <c r="H68" s="217" t="s">
        <v>312</v>
      </c>
      <c r="I68" s="190">
        <v>2807.9</v>
      </c>
      <c r="J68" s="190">
        <v>2603.9</v>
      </c>
      <c r="K68" s="190">
        <v>2603.9</v>
      </c>
      <c r="L68" s="219">
        <v>114</v>
      </c>
      <c r="M68" s="217" t="s">
        <v>265</v>
      </c>
      <c r="N68" s="217" t="s">
        <v>269</v>
      </c>
      <c r="O68" s="220" t="s">
        <v>1071</v>
      </c>
      <c r="P68" s="190">
        <v>2994194.1500000004</v>
      </c>
      <c r="Q68" s="190">
        <v>0</v>
      </c>
      <c r="R68" s="190">
        <v>0</v>
      </c>
      <c r="S68" s="190">
        <f t="shared" si="1"/>
        <v>2994194.1500000004</v>
      </c>
      <c r="T68" s="190">
        <f t="shared" si="0"/>
        <v>1066.3464332775384</v>
      </c>
      <c r="U68" s="190">
        <v>1661.747533744079</v>
      </c>
      <c r="V68" s="221">
        <f t="shared" si="2"/>
        <v>595.40110046654058</v>
      </c>
      <c r="W68" s="221">
        <f t="shared" si="3"/>
        <v>2026.9847308308699</v>
      </c>
      <c r="X68" s="221">
        <v>0</v>
      </c>
      <c r="Y68" s="222">
        <v>0</v>
      </c>
      <c r="Z68" s="222">
        <v>0</v>
      </c>
      <c r="AA68" s="222">
        <v>0</v>
      </c>
      <c r="AB68" s="222">
        <v>0</v>
      </c>
      <c r="AC68" s="222">
        <v>0</v>
      </c>
      <c r="AD68" s="222">
        <v>0</v>
      </c>
      <c r="AE68" s="222">
        <v>912.27</v>
      </c>
      <c r="AF68" s="221">
        <f>6238.91*AE68/I68</f>
        <v>2026.9847308308699</v>
      </c>
      <c r="AG68" s="222">
        <v>0</v>
      </c>
      <c r="AH68" s="221">
        <v>0</v>
      </c>
      <c r="AI68" s="222">
        <v>0</v>
      </c>
      <c r="AJ68" s="221">
        <v>0</v>
      </c>
      <c r="AK68" s="222">
        <v>0</v>
      </c>
      <c r="AL68" s="222">
        <v>0</v>
      </c>
      <c r="AM68" s="222">
        <v>0</v>
      </c>
      <c r="AN68" s="222"/>
      <c r="AO68" s="222">
        <v>0</v>
      </c>
    </row>
    <row r="69" spans="1:41" s="223" customFormat="1" ht="36" customHeight="1" x14ac:dyDescent="0.25">
      <c r="A69" s="223">
        <v>1</v>
      </c>
      <c r="B69" s="225">
        <f>SUBTOTAL(103,$A$16:A69)</f>
        <v>54</v>
      </c>
      <c r="C69" s="215" t="s">
        <v>1103</v>
      </c>
      <c r="D69" s="217">
        <v>1959</v>
      </c>
      <c r="E69" s="217"/>
      <c r="F69" s="226" t="s">
        <v>267</v>
      </c>
      <c r="G69" s="217">
        <v>3</v>
      </c>
      <c r="H69" s="217" t="s">
        <v>312</v>
      </c>
      <c r="I69" s="190">
        <v>1338.5</v>
      </c>
      <c r="J69" s="190">
        <v>1165.2</v>
      </c>
      <c r="K69" s="190">
        <v>1165.2</v>
      </c>
      <c r="L69" s="219">
        <v>45</v>
      </c>
      <c r="M69" s="217" t="s">
        <v>265</v>
      </c>
      <c r="N69" s="217" t="s">
        <v>269</v>
      </c>
      <c r="O69" s="220" t="s">
        <v>1321</v>
      </c>
      <c r="P69" s="190">
        <v>4839579.08</v>
      </c>
      <c r="Q69" s="190">
        <v>0</v>
      </c>
      <c r="R69" s="190">
        <v>0</v>
      </c>
      <c r="S69" s="190">
        <f t="shared" si="1"/>
        <v>4839579.08</v>
      </c>
      <c r="T69" s="190">
        <f t="shared" si="0"/>
        <v>3615.6735748972733</v>
      </c>
      <c r="U69" s="190">
        <v>6030.2005976839746</v>
      </c>
      <c r="V69" s="221">
        <f t="shared" si="2"/>
        <v>2414.5270227867013</v>
      </c>
      <c r="W69" s="221">
        <f t="shared" si="3"/>
        <v>6288.0819872992161</v>
      </c>
      <c r="X69" s="221">
        <v>0</v>
      </c>
      <c r="Y69" s="222">
        <v>0</v>
      </c>
      <c r="Z69" s="222">
        <v>0</v>
      </c>
      <c r="AA69" s="222">
        <v>0</v>
      </c>
      <c r="AB69" s="222">
        <v>0</v>
      </c>
      <c r="AC69" s="222">
        <v>0</v>
      </c>
      <c r="AD69" s="222">
        <v>0</v>
      </c>
      <c r="AE69" s="222">
        <v>0</v>
      </c>
      <c r="AF69" s="221">
        <v>0</v>
      </c>
      <c r="AG69" s="222">
        <v>0</v>
      </c>
      <c r="AH69" s="221">
        <v>0</v>
      </c>
      <c r="AI69" s="222">
        <v>1131.4000000000001</v>
      </c>
      <c r="AJ69" s="221">
        <f>7439.1*AI69/I69</f>
        <v>6288.0819872992161</v>
      </c>
      <c r="AK69" s="222">
        <v>0</v>
      </c>
      <c r="AL69" s="222">
        <v>0</v>
      </c>
      <c r="AM69" s="222">
        <v>0</v>
      </c>
      <c r="AN69" s="222"/>
      <c r="AO69" s="222">
        <v>0</v>
      </c>
    </row>
    <row r="70" spans="1:41" s="223" customFormat="1" ht="36" customHeight="1" x14ac:dyDescent="0.25">
      <c r="A70" s="223">
        <v>1</v>
      </c>
      <c r="B70" s="225">
        <f>SUBTOTAL(103,$A$16:A70)</f>
        <v>55</v>
      </c>
      <c r="C70" s="215" t="s">
        <v>1104</v>
      </c>
      <c r="D70" s="217">
        <v>1974</v>
      </c>
      <c r="E70" s="217"/>
      <c r="F70" s="226" t="s">
        <v>311</v>
      </c>
      <c r="G70" s="217">
        <v>5</v>
      </c>
      <c r="H70" s="217" t="s">
        <v>351</v>
      </c>
      <c r="I70" s="190">
        <v>3933</v>
      </c>
      <c r="J70" s="190">
        <v>3385.49</v>
      </c>
      <c r="K70" s="190">
        <v>3385.49</v>
      </c>
      <c r="L70" s="219">
        <v>147</v>
      </c>
      <c r="M70" s="217" t="s">
        <v>265</v>
      </c>
      <c r="N70" s="217" t="s">
        <v>269</v>
      </c>
      <c r="O70" s="220" t="s">
        <v>1637</v>
      </c>
      <c r="P70" s="190">
        <v>1872015.22</v>
      </c>
      <c r="Q70" s="190">
        <v>0</v>
      </c>
      <c r="R70" s="190">
        <v>0</v>
      </c>
      <c r="S70" s="190">
        <f t="shared" si="1"/>
        <v>1872015.22</v>
      </c>
      <c r="T70" s="190">
        <f t="shared" si="0"/>
        <v>475.97640986524283</v>
      </c>
      <c r="U70" s="190">
        <v>1365.0781845919146</v>
      </c>
      <c r="V70" s="221">
        <f t="shared" si="2"/>
        <v>889.10177472667169</v>
      </c>
      <c r="W70" s="221">
        <f t="shared" si="3"/>
        <v>1722.5996440376305</v>
      </c>
      <c r="X70" s="221">
        <v>0</v>
      </c>
      <c r="Y70" s="222">
        <v>0</v>
      </c>
      <c r="Z70" s="222">
        <v>0</v>
      </c>
      <c r="AA70" s="222">
        <v>0</v>
      </c>
      <c r="AB70" s="222">
        <v>0</v>
      </c>
      <c r="AC70" s="222">
        <v>0</v>
      </c>
      <c r="AD70" s="222">
        <v>0</v>
      </c>
      <c r="AE70" s="222">
        <v>0</v>
      </c>
      <c r="AF70" s="221">
        <v>0</v>
      </c>
      <c r="AG70" s="222">
        <v>0</v>
      </c>
      <c r="AH70" s="221">
        <v>0</v>
      </c>
      <c r="AI70" s="222">
        <v>0</v>
      </c>
      <c r="AJ70" s="221">
        <v>0</v>
      </c>
      <c r="AK70" s="222">
        <v>0</v>
      </c>
      <c r="AL70" s="222">
        <v>0</v>
      </c>
      <c r="AM70" s="222">
        <v>970</v>
      </c>
      <c r="AN70" s="222">
        <f>6984.52*AM70/I70</f>
        <v>1722.5996440376305</v>
      </c>
      <c r="AO70" s="222">
        <v>0</v>
      </c>
    </row>
    <row r="71" spans="1:41" s="223" customFormat="1" ht="36" customHeight="1" x14ac:dyDescent="0.25">
      <c r="A71" s="223">
        <v>1</v>
      </c>
      <c r="B71" s="225">
        <f>SUBTOTAL(103,$A$16:A71)</f>
        <v>56</v>
      </c>
      <c r="C71" s="215" t="s">
        <v>1105</v>
      </c>
      <c r="D71" s="217">
        <v>1959</v>
      </c>
      <c r="E71" s="217"/>
      <c r="F71" s="226" t="s">
        <v>267</v>
      </c>
      <c r="G71" s="217">
        <v>2</v>
      </c>
      <c r="H71" s="217" t="s">
        <v>304</v>
      </c>
      <c r="I71" s="190">
        <v>445.1</v>
      </c>
      <c r="J71" s="190">
        <v>400.5</v>
      </c>
      <c r="K71" s="190">
        <v>400.5</v>
      </c>
      <c r="L71" s="219">
        <v>25</v>
      </c>
      <c r="M71" s="217" t="s">
        <v>265</v>
      </c>
      <c r="N71" s="217" t="s">
        <v>269</v>
      </c>
      <c r="O71" s="220" t="s">
        <v>1321</v>
      </c>
      <c r="P71" s="190">
        <v>2373016.2799999998</v>
      </c>
      <c r="Q71" s="190">
        <v>0</v>
      </c>
      <c r="R71" s="190">
        <v>0</v>
      </c>
      <c r="S71" s="190">
        <f t="shared" si="1"/>
        <v>2373016.2799999998</v>
      </c>
      <c r="T71" s="190">
        <f t="shared" si="0"/>
        <v>5331.4227813974385</v>
      </c>
      <c r="U71" s="190">
        <v>9333.5551449112572</v>
      </c>
      <c r="V71" s="221">
        <f t="shared" si="2"/>
        <v>4002.1323635138187</v>
      </c>
      <c r="W71" s="221">
        <f t="shared" si="3"/>
        <v>13247.346306447989</v>
      </c>
      <c r="X71" s="221">
        <v>0</v>
      </c>
      <c r="Y71" s="222">
        <v>0</v>
      </c>
      <c r="Z71" s="222">
        <v>0</v>
      </c>
      <c r="AA71" s="222">
        <v>0</v>
      </c>
      <c r="AB71" s="222">
        <v>0</v>
      </c>
      <c r="AC71" s="222">
        <v>0</v>
      </c>
      <c r="AD71" s="222">
        <v>0</v>
      </c>
      <c r="AE71" s="222">
        <v>945.1</v>
      </c>
      <c r="AF71" s="221">
        <f>6238.91*AE71/I71</f>
        <v>13247.346306447989</v>
      </c>
      <c r="AG71" s="222">
        <v>0</v>
      </c>
      <c r="AH71" s="221">
        <v>0</v>
      </c>
      <c r="AI71" s="222">
        <v>0</v>
      </c>
      <c r="AJ71" s="221">
        <v>0</v>
      </c>
      <c r="AK71" s="222">
        <v>0</v>
      </c>
      <c r="AL71" s="222">
        <v>0</v>
      </c>
      <c r="AM71" s="222">
        <v>0</v>
      </c>
      <c r="AN71" s="222"/>
      <c r="AO71" s="222">
        <v>0</v>
      </c>
    </row>
    <row r="72" spans="1:41" s="223" customFormat="1" ht="36" customHeight="1" x14ac:dyDescent="0.25">
      <c r="A72" s="223">
        <v>1</v>
      </c>
      <c r="B72" s="225">
        <f>SUBTOTAL(103,$A$16:A72)</f>
        <v>57</v>
      </c>
      <c r="C72" s="215" t="s">
        <v>1106</v>
      </c>
      <c r="D72" s="217">
        <v>1972</v>
      </c>
      <c r="E72" s="217"/>
      <c r="F72" s="226" t="s">
        <v>267</v>
      </c>
      <c r="G72" s="217">
        <v>5</v>
      </c>
      <c r="H72" s="217" t="s">
        <v>308</v>
      </c>
      <c r="I72" s="190">
        <v>4186.3</v>
      </c>
      <c r="J72" s="190">
        <v>4186.3</v>
      </c>
      <c r="K72" s="190">
        <v>2706.5</v>
      </c>
      <c r="L72" s="219">
        <v>111</v>
      </c>
      <c r="M72" s="217" t="s">
        <v>265</v>
      </c>
      <c r="N72" s="217" t="s">
        <v>269</v>
      </c>
      <c r="O72" s="220" t="s">
        <v>1071</v>
      </c>
      <c r="P72" s="190">
        <v>3249268.89</v>
      </c>
      <c r="Q72" s="190">
        <v>0</v>
      </c>
      <c r="R72" s="190">
        <v>0</v>
      </c>
      <c r="S72" s="190">
        <f t="shared" si="1"/>
        <v>3249268.89</v>
      </c>
      <c r="T72" s="190">
        <f t="shared" si="0"/>
        <v>776.16723359529897</v>
      </c>
      <c r="U72" s="190">
        <v>1819.7247258915986</v>
      </c>
      <c r="V72" s="221">
        <f t="shared" si="2"/>
        <v>1043.5574922962996</v>
      </c>
      <c r="W72" s="221">
        <f t="shared" si="3"/>
        <v>1441.7913408976901</v>
      </c>
      <c r="X72" s="221">
        <v>0</v>
      </c>
      <c r="Y72" s="222">
        <v>0</v>
      </c>
      <c r="Z72" s="222">
        <v>0</v>
      </c>
      <c r="AA72" s="222">
        <v>0</v>
      </c>
      <c r="AB72" s="222">
        <v>0</v>
      </c>
      <c r="AC72" s="222">
        <v>0</v>
      </c>
      <c r="AD72" s="222">
        <v>0</v>
      </c>
      <c r="AE72" s="222">
        <v>967.44</v>
      </c>
      <c r="AF72" s="221">
        <f>6238.91*AE72/I72</f>
        <v>1441.7913408976901</v>
      </c>
      <c r="AG72" s="222">
        <v>0</v>
      </c>
      <c r="AH72" s="221">
        <v>0</v>
      </c>
      <c r="AI72" s="222">
        <v>0</v>
      </c>
      <c r="AJ72" s="221">
        <v>0</v>
      </c>
      <c r="AK72" s="222">
        <v>0</v>
      </c>
      <c r="AL72" s="222">
        <v>0</v>
      </c>
      <c r="AM72" s="222">
        <v>0</v>
      </c>
      <c r="AN72" s="222"/>
      <c r="AO72" s="222">
        <v>0</v>
      </c>
    </row>
    <row r="73" spans="1:41" s="223" customFormat="1" ht="36" customHeight="1" x14ac:dyDescent="0.25">
      <c r="A73" s="223">
        <v>1</v>
      </c>
      <c r="B73" s="225">
        <f>SUBTOTAL(103,$A$16:A73)</f>
        <v>58</v>
      </c>
      <c r="C73" s="215" t="s">
        <v>1107</v>
      </c>
      <c r="D73" s="217">
        <v>1969</v>
      </c>
      <c r="E73" s="217"/>
      <c r="F73" s="226" t="s">
        <v>267</v>
      </c>
      <c r="G73" s="217">
        <v>9</v>
      </c>
      <c r="H73" s="217" t="s">
        <v>304</v>
      </c>
      <c r="I73" s="190">
        <v>3727.1</v>
      </c>
      <c r="J73" s="190">
        <v>3470.9</v>
      </c>
      <c r="K73" s="190">
        <v>2066.9</v>
      </c>
      <c r="L73" s="219">
        <v>77</v>
      </c>
      <c r="M73" s="217" t="s">
        <v>265</v>
      </c>
      <c r="N73" s="217" t="s">
        <v>269</v>
      </c>
      <c r="O73" s="220" t="s">
        <v>1071</v>
      </c>
      <c r="P73" s="190">
        <v>2561819.3000000003</v>
      </c>
      <c r="Q73" s="190">
        <v>0</v>
      </c>
      <c r="R73" s="190">
        <v>0</v>
      </c>
      <c r="S73" s="190">
        <f t="shared" si="1"/>
        <v>2561819.3000000003</v>
      </c>
      <c r="T73" s="190">
        <f t="shared" si="0"/>
        <v>687.34922593973874</v>
      </c>
      <c r="U73" s="190">
        <v>1555.0823401572268</v>
      </c>
      <c r="V73" s="221">
        <f t="shared" si="2"/>
        <v>867.73311421748804</v>
      </c>
      <c r="W73" s="221">
        <f t="shared" si="3"/>
        <v>1200.2088674841029</v>
      </c>
      <c r="X73" s="221">
        <v>0</v>
      </c>
      <c r="Y73" s="222">
        <v>0</v>
      </c>
      <c r="Z73" s="222">
        <v>0</v>
      </c>
      <c r="AA73" s="222">
        <v>0</v>
      </c>
      <c r="AB73" s="222">
        <v>0</v>
      </c>
      <c r="AC73" s="222">
        <v>0</v>
      </c>
      <c r="AD73" s="222">
        <v>0</v>
      </c>
      <c r="AE73" s="222">
        <v>717</v>
      </c>
      <c r="AF73" s="221">
        <f>6238.91*AE73/I73</f>
        <v>1200.2088674841029</v>
      </c>
      <c r="AG73" s="222">
        <v>0</v>
      </c>
      <c r="AH73" s="221">
        <v>0</v>
      </c>
      <c r="AI73" s="222">
        <v>0</v>
      </c>
      <c r="AJ73" s="221">
        <v>0</v>
      </c>
      <c r="AK73" s="222">
        <v>0</v>
      </c>
      <c r="AL73" s="222">
        <v>0</v>
      </c>
      <c r="AM73" s="222">
        <v>0</v>
      </c>
      <c r="AN73" s="222"/>
      <c r="AO73" s="222">
        <v>0</v>
      </c>
    </row>
    <row r="74" spans="1:41" s="223" customFormat="1" ht="36" customHeight="1" x14ac:dyDescent="0.25">
      <c r="A74" s="223">
        <v>1</v>
      </c>
      <c r="B74" s="225">
        <f>SUBTOTAL(103,$A$16:A74)</f>
        <v>59</v>
      </c>
      <c r="C74" s="215" t="s">
        <v>1108</v>
      </c>
      <c r="D74" s="217">
        <v>1968</v>
      </c>
      <c r="E74" s="217"/>
      <c r="F74" s="226" t="s">
        <v>267</v>
      </c>
      <c r="G74" s="217">
        <v>9</v>
      </c>
      <c r="H74" s="217" t="s">
        <v>304</v>
      </c>
      <c r="I74" s="190">
        <v>3105.6</v>
      </c>
      <c r="J74" s="190">
        <v>2845.2</v>
      </c>
      <c r="K74" s="190">
        <v>2051.8000000000002</v>
      </c>
      <c r="L74" s="219">
        <v>100</v>
      </c>
      <c r="M74" s="217" t="s">
        <v>265</v>
      </c>
      <c r="N74" s="217" t="s">
        <v>269</v>
      </c>
      <c r="O74" s="220" t="s">
        <v>1071</v>
      </c>
      <c r="P74" s="190">
        <v>967510.08</v>
      </c>
      <c r="Q74" s="190">
        <v>0</v>
      </c>
      <c r="R74" s="190">
        <v>0</v>
      </c>
      <c r="S74" s="190">
        <f t="shared" si="1"/>
        <v>967510.08</v>
      </c>
      <c r="T74" s="190">
        <f t="shared" si="0"/>
        <v>311.53724884080373</v>
      </c>
      <c r="U74" s="190">
        <v>733.2567458784132</v>
      </c>
      <c r="V74" s="221">
        <f t="shared" si="2"/>
        <v>421.71949703760947</v>
      </c>
      <c r="W74" s="221">
        <f t="shared" si="3"/>
        <v>2598.9900502318392</v>
      </c>
      <c r="X74" s="221">
        <v>0</v>
      </c>
      <c r="Y74" s="222">
        <v>0</v>
      </c>
      <c r="Z74" s="222">
        <v>0</v>
      </c>
      <c r="AA74" s="222">
        <v>0</v>
      </c>
      <c r="AB74" s="222">
        <v>0</v>
      </c>
      <c r="AC74" s="222">
        <v>0</v>
      </c>
      <c r="AD74" s="222">
        <v>0</v>
      </c>
      <c r="AE74" s="222">
        <v>0</v>
      </c>
      <c r="AF74" s="221">
        <v>0</v>
      </c>
      <c r="AG74" s="222">
        <v>0</v>
      </c>
      <c r="AH74" s="221">
        <v>0</v>
      </c>
      <c r="AI74" s="222">
        <v>1085</v>
      </c>
      <c r="AJ74" s="221">
        <f>7439.1*AI74/I74</f>
        <v>2598.9900502318392</v>
      </c>
      <c r="AK74" s="222">
        <v>0</v>
      </c>
      <c r="AL74" s="222">
        <v>0</v>
      </c>
      <c r="AM74" s="222">
        <v>0</v>
      </c>
      <c r="AN74" s="222"/>
      <c r="AO74" s="222">
        <v>0</v>
      </c>
    </row>
    <row r="75" spans="1:41" s="223" customFormat="1" ht="36" customHeight="1" x14ac:dyDescent="0.25">
      <c r="A75" s="223">
        <v>1</v>
      </c>
      <c r="B75" s="225">
        <f>SUBTOTAL(103,$A$16:A75)</f>
        <v>60</v>
      </c>
      <c r="C75" s="215" t="s">
        <v>1109</v>
      </c>
      <c r="D75" s="217">
        <v>1968</v>
      </c>
      <c r="E75" s="217"/>
      <c r="F75" s="226" t="s">
        <v>267</v>
      </c>
      <c r="G75" s="217">
        <v>9</v>
      </c>
      <c r="H75" s="217" t="s">
        <v>304</v>
      </c>
      <c r="I75" s="190">
        <v>3131.6</v>
      </c>
      <c r="J75" s="190">
        <v>3111.4</v>
      </c>
      <c r="K75" s="190">
        <v>2076</v>
      </c>
      <c r="L75" s="219">
        <v>82</v>
      </c>
      <c r="M75" s="217" t="s">
        <v>265</v>
      </c>
      <c r="N75" s="217" t="s">
        <v>269</v>
      </c>
      <c r="O75" s="220" t="s">
        <v>1071</v>
      </c>
      <c r="P75" s="190">
        <v>966024.86</v>
      </c>
      <c r="Q75" s="190">
        <v>0</v>
      </c>
      <c r="R75" s="190">
        <v>0</v>
      </c>
      <c r="S75" s="190">
        <f t="shared" si="1"/>
        <v>966024.86</v>
      </c>
      <c r="T75" s="190">
        <f t="shared" si="0"/>
        <v>308.47645293140886</v>
      </c>
      <c r="U75" s="190">
        <v>713.22320219695996</v>
      </c>
      <c r="V75" s="221">
        <f t="shared" si="2"/>
        <v>404.7467492655511</v>
      </c>
      <c r="W75" s="221">
        <f t="shared" si="3"/>
        <v>1741.5794941244092</v>
      </c>
      <c r="X75" s="221">
        <v>0</v>
      </c>
      <c r="Y75" s="222">
        <v>0</v>
      </c>
      <c r="Z75" s="222">
        <v>0</v>
      </c>
      <c r="AA75" s="222">
        <v>0</v>
      </c>
      <c r="AB75" s="222">
        <v>0</v>
      </c>
      <c r="AC75" s="222">
        <v>0</v>
      </c>
      <c r="AD75" s="222">
        <v>0</v>
      </c>
      <c r="AE75" s="222">
        <v>874.18</v>
      </c>
      <c r="AF75" s="221">
        <f>6238.91*AE75/I75</f>
        <v>1741.5794941244092</v>
      </c>
      <c r="AG75" s="222">
        <v>0</v>
      </c>
      <c r="AH75" s="221">
        <v>0</v>
      </c>
      <c r="AI75" s="222">
        <v>0</v>
      </c>
      <c r="AJ75" s="221">
        <v>0</v>
      </c>
      <c r="AK75" s="222">
        <v>0</v>
      </c>
      <c r="AL75" s="222">
        <v>0</v>
      </c>
      <c r="AM75" s="222">
        <v>0</v>
      </c>
      <c r="AN75" s="222"/>
      <c r="AO75" s="222">
        <v>0</v>
      </c>
    </row>
    <row r="76" spans="1:41" s="223" customFormat="1" ht="36" customHeight="1" x14ac:dyDescent="0.25">
      <c r="A76" s="223">
        <v>1</v>
      </c>
      <c r="B76" s="225">
        <f>SUBTOTAL(103,$A$16:A76)</f>
        <v>61</v>
      </c>
      <c r="C76" s="215" t="s">
        <v>1110</v>
      </c>
      <c r="D76" s="217">
        <v>1991</v>
      </c>
      <c r="E76" s="217"/>
      <c r="F76" s="226" t="s">
        <v>267</v>
      </c>
      <c r="G76" s="217">
        <v>10</v>
      </c>
      <c r="H76" s="217" t="s">
        <v>303</v>
      </c>
      <c r="I76" s="190">
        <v>5027.3999999999996</v>
      </c>
      <c r="J76" s="190">
        <v>5027.3999999999996</v>
      </c>
      <c r="K76" s="190">
        <v>4982.1000000000004</v>
      </c>
      <c r="L76" s="219">
        <v>264</v>
      </c>
      <c r="M76" s="217" t="s">
        <v>265</v>
      </c>
      <c r="N76" s="217" t="s">
        <v>269</v>
      </c>
      <c r="O76" s="220" t="s">
        <v>1382</v>
      </c>
      <c r="P76" s="190">
        <v>2880785.14</v>
      </c>
      <c r="Q76" s="190">
        <v>0</v>
      </c>
      <c r="R76" s="190">
        <v>0</v>
      </c>
      <c r="S76" s="190">
        <f t="shared" si="1"/>
        <v>2880785.14</v>
      </c>
      <c r="T76" s="190">
        <f t="shared" si="0"/>
        <v>573.01689541313613</v>
      </c>
      <c r="U76" s="190">
        <v>1058.940605481959</v>
      </c>
      <c r="V76" s="221">
        <f t="shared" si="2"/>
        <v>485.92371006882286</v>
      </c>
      <c r="W76" s="221">
        <f t="shared" si="3"/>
        <v>826.34470998925906</v>
      </c>
      <c r="X76" s="221">
        <v>0</v>
      </c>
      <c r="Y76" s="222">
        <v>0</v>
      </c>
      <c r="Z76" s="222">
        <v>0</v>
      </c>
      <c r="AA76" s="222">
        <v>0</v>
      </c>
      <c r="AB76" s="222">
        <v>0</v>
      </c>
      <c r="AC76" s="222">
        <v>0</v>
      </c>
      <c r="AD76" s="222">
        <v>0</v>
      </c>
      <c r="AE76" s="222">
        <v>0</v>
      </c>
      <c r="AF76" s="221">
        <v>0</v>
      </c>
      <c r="AG76" s="222">
        <v>0</v>
      </c>
      <c r="AH76" s="221">
        <v>0</v>
      </c>
      <c r="AI76" s="222">
        <v>558.45000000000005</v>
      </c>
      <c r="AJ76" s="221">
        <f>7439.1*AI76/I76</f>
        <v>826.34470998925906</v>
      </c>
      <c r="AK76" s="222">
        <v>0</v>
      </c>
      <c r="AL76" s="222">
        <v>0</v>
      </c>
      <c r="AM76" s="222">
        <v>0</v>
      </c>
      <c r="AN76" s="222"/>
      <c r="AO76" s="222">
        <v>0</v>
      </c>
    </row>
    <row r="77" spans="1:41" s="223" customFormat="1" ht="36" customHeight="1" x14ac:dyDescent="0.25">
      <c r="A77" s="223">
        <v>1</v>
      </c>
      <c r="B77" s="225">
        <f>SUBTOTAL(103,$A$16:A77)</f>
        <v>62</v>
      </c>
      <c r="C77" s="215" t="s">
        <v>1111</v>
      </c>
      <c r="D77" s="217">
        <v>1984</v>
      </c>
      <c r="E77" s="217"/>
      <c r="F77" s="226" t="s">
        <v>311</v>
      </c>
      <c r="G77" s="217">
        <v>16</v>
      </c>
      <c r="H77" s="217" t="s">
        <v>304</v>
      </c>
      <c r="I77" s="190">
        <v>4635.7</v>
      </c>
      <c r="J77" s="190">
        <v>4635.7</v>
      </c>
      <c r="K77" s="190">
        <v>4568</v>
      </c>
      <c r="L77" s="219">
        <v>218</v>
      </c>
      <c r="M77" s="217" t="s">
        <v>265</v>
      </c>
      <c r="N77" s="217" t="s">
        <v>269</v>
      </c>
      <c r="O77" s="220" t="s">
        <v>1382</v>
      </c>
      <c r="P77" s="190">
        <v>3859190.52</v>
      </c>
      <c r="Q77" s="190">
        <v>0</v>
      </c>
      <c r="R77" s="190">
        <v>0</v>
      </c>
      <c r="S77" s="190">
        <f t="shared" si="1"/>
        <v>3859190.52</v>
      </c>
      <c r="T77" s="190">
        <f t="shared" ref="T77:T140" si="6">P77/I77</f>
        <v>832.4935867290809</v>
      </c>
      <c r="U77" s="190">
        <v>1396.6848588131243</v>
      </c>
      <c r="V77" s="221">
        <f t="shared" si="2"/>
        <v>564.19127208404336</v>
      </c>
      <c r="W77" s="221">
        <f t="shared" si="3"/>
        <v>1575.440180770973</v>
      </c>
      <c r="X77" s="221">
        <v>0</v>
      </c>
      <c r="Y77" s="222">
        <v>0</v>
      </c>
      <c r="Z77" s="222">
        <v>0</v>
      </c>
      <c r="AA77" s="222">
        <v>0</v>
      </c>
      <c r="AB77" s="222">
        <v>0</v>
      </c>
      <c r="AC77" s="222">
        <v>0</v>
      </c>
      <c r="AD77" s="222">
        <v>0</v>
      </c>
      <c r="AE77" s="222">
        <v>1170.5999999999999</v>
      </c>
      <c r="AF77" s="221">
        <f>6238.91*AE77/I77</f>
        <v>1575.440180770973</v>
      </c>
      <c r="AG77" s="222">
        <v>0</v>
      </c>
      <c r="AH77" s="221">
        <v>0</v>
      </c>
      <c r="AI77" s="222">
        <v>0</v>
      </c>
      <c r="AJ77" s="221">
        <v>0</v>
      </c>
      <c r="AK77" s="222">
        <v>0</v>
      </c>
      <c r="AL77" s="222">
        <v>0</v>
      </c>
      <c r="AM77" s="222">
        <v>0</v>
      </c>
      <c r="AN77" s="222"/>
      <c r="AO77" s="222">
        <v>0</v>
      </c>
    </row>
    <row r="78" spans="1:41" s="223" customFormat="1" ht="36" customHeight="1" x14ac:dyDescent="0.25">
      <c r="A78" s="223">
        <v>1</v>
      </c>
      <c r="B78" s="225">
        <f>SUBTOTAL(103,$A$16:A78)</f>
        <v>63</v>
      </c>
      <c r="C78" s="215" t="s">
        <v>1114</v>
      </c>
      <c r="D78" s="217">
        <v>1932</v>
      </c>
      <c r="E78" s="217"/>
      <c r="F78" s="226" t="s">
        <v>267</v>
      </c>
      <c r="G78" s="217">
        <v>4</v>
      </c>
      <c r="H78" s="217" t="s">
        <v>312</v>
      </c>
      <c r="I78" s="190">
        <v>2130.17</v>
      </c>
      <c r="J78" s="190">
        <v>1904.67</v>
      </c>
      <c r="K78" s="190">
        <v>1323.47</v>
      </c>
      <c r="L78" s="219">
        <v>68</v>
      </c>
      <c r="M78" s="217" t="s">
        <v>265</v>
      </c>
      <c r="N78" s="217" t="s">
        <v>269</v>
      </c>
      <c r="O78" s="220" t="s">
        <v>1321</v>
      </c>
      <c r="P78" s="190">
        <v>216770.67</v>
      </c>
      <c r="Q78" s="190">
        <v>0</v>
      </c>
      <c r="R78" s="190">
        <v>0</v>
      </c>
      <c r="S78" s="190">
        <f t="shared" si="1"/>
        <v>216770.67</v>
      </c>
      <c r="T78" s="190">
        <f t="shared" si="6"/>
        <v>101.76214574423638</v>
      </c>
      <c r="U78" s="190">
        <v>298.07</v>
      </c>
      <c r="V78" s="221">
        <f t="shared" si="2"/>
        <v>196.30785425576363</v>
      </c>
      <c r="W78" s="221">
        <f t="shared" si="3"/>
        <v>2770.6750447147406</v>
      </c>
      <c r="X78" s="221">
        <v>0</v>
      </c>
      <c r="Y78" s="222">
        <v>0</v>
      </c>
      <c r="Z78" s="222">
        <v>0</v>
      </c>
      <c r="AA78" s="222">
        <v>0</v>
      </c>
      <c r="AB78" s="222">
        <v>0</v>
      </c>
      <c r="AC78" s="222">
        <v>0</v>
      </c>
      <c r="AD78" s="222">
        <v>0</v>
      </c>
      <c r="AE78" s="222">
        <v>946</v>
      </c>
      <c r="AF78" s="221">
        <f>6238.91*AE78/I78</f>
        <v>2770.6750447147406</v>
      </c>
      <c r="AG78" s="222">
        <v>0</v>
      </c>
      <c r="AH78" s="221">
        <v>0</v>
      </c>
      <c r="AI78" s="222">
        <v>0</v>
      </c>
      <c r="AJ78" s="221">
        <v>0</v>
      </c>
      <c r="AK78" s="222">
        <v>0</v>
      </c>
      <c r="AL78" s="222">
        <v>0</v>
      </c>
      <c r="AM78" s="222">
        <v>0</v>
      </c>
      <c r="AN78" s="222"/>
      <c r="AO78" s="222">
        <v>0</v>
      </c>
    </row>
    <row r="79" spans="1:41" s="223" customFormat="1" ht="36" customHeight="1" x14ac:dyDescent="0.25">
      <c r="A79" s="223">
        <v>1</v>
      </c>
      <c r="B79" s="225">
        <f>SUBTOTAL(103,$A$16:A79)</f>
        <v>64</v>
      </c>
      <c r="C79" s="215" t="s">
        <v>1120</v>
      </c>
      <c r="D79" s="217">
        <v>1946</v>
      </c>
      <c r="E79" s="217"/>
      <c r="F79" s="226" t="s">
        <v>267</v>
      </c>
      <c r="G79" s="217">
        <v>3</v>
      </c>
      <c r="H79" s="217" t="s">
        <v>312</v>
      </c>
      <c r="I79" s="190">
        <v>2194.1999999999998</v>
      </c>
      <c r="J79" s="190">
        <v>1984.5</v>
      </c>
      <c r="K79" s="190">
        <v>1584.8</v>
      </c>
      <c r="L79" s="219">
        <v>44</v>
      </c>
      <c r="M79" s="217" t="s">
        <v>265</v>
      </c>
      <c r="N79" s="217" t="s">
        <v>269</v>
      </c>
      <c r="O79" s="220" t="s">
        <v>1638</v>
      </c>
      <c r="P79" s="190">
        <v>3764827.4299999997</v>
      </c>
      <c r="Q79" s="190">
        <v>0</v>
      </c>
      <c r="R79" s="190">
        <v>0</v>
      </c>
      <c r="S79" s="190">
        <f t="shared" si="1"/>
        <v>3764827.4299999997</v>
      </c>
      <c r="T79" s="190">
        <f t="shared" si="6"/>
        <v>1715.8086910947043</v>
      </c>
      <c r="U79" s="190">
        <v>3481.9249840488565</v>
      </c>
      <c r="V79" s="221">
        <f t="shared" si="2"/>
        <v>1766.1162929541522</v>
      </c>
      <c r="W79" s="221">
        <f t="shared" si="3"/>
        <v>1039.249660468508</v>
      </c>
      <c r="X79" s="221">
        <v>0</v>
      </c>
      <c r="Y79" s="222">
        <v>0</v>
      </c>
      <c r="Z79" s="222">
        <v>0</v>
      </c>
      <c r="AA79" s="222">
        <v>0</v>
      </c>
      <c r="AB79" s="222">
        <v>0</v>
      </c>
      <c r="AC79" s="222">
        <v>0</v>
      </c>
      <c r="AD79" s="222">
        <v>0</v>
      </c>
      <c r="AE79" s="222">
        <v>365.5</v>
      </c>
      <c r="AF79" s="221">
        <f>6238.91*AE79/I79</f>
        <v>1039.249660468508</v>
      </c>
      <c r="AG79" s="222">
        <v>0</v>
      </c>
      <c r="AH79" s="221">
        <v>0</v>
      </c>
      <c r="AI79" s="222">
        <v>0</v>
      </c>
      <c r="AJ79" s="221">
        <v>0</v>
      </c>
      <c r="AK79" s="222">
        <v>0</v>
      </c>
      <c r="AL79" s="222">
        <v>0</v>
      </c>
      <c r="AM79" s="222">
        <v>0</v>
      </c>
      <c r="AN79" s="222"/>
      <c r="AO79" s="222">
        <v>0</v>
      </c>
    </row>
    <row r="80" spans="1:41" s="223" customFormat="1" ht="36" customHeight="1" x14ac:dyDescent="0.25">
      <c r="A80" s="223">
        <v>1</v>
      </c>
      <c r="B80" s="225">
        <f>SUBTOTAL(103,$A$16:A80)</f>
        <v>65</v>
      </c>
      <c r="C80" s="215" t="s">
        <v>1121</v>
      </c>
      <c r="D80" s="217">
        <v>1949</v>
      </c>
      <c r="E80" s="217"/>
      <c r="F80" s="226" t="s">
        <v>267</v>
      </c>
      <c r="G80" s="217" t="s">
        <v>303</v>
      </c>
      <c r="H80" s="217" t="s">
        <v>303</v>
      </c>
      <c r="I80" s="190">
        <v>939.7</v>
      </c>
      <c r="J80" s="190">
        <v>558</v>
      </c>
      <c r="K80" s="190">
        <v>558</v>
      </c>
      <c r="L80" s="219">
        <v>16</v>
      </c>
      <c r="M80" s="217" t="s">
        <v>265</v>
      </c>
      <c r="N80" s="217" t="s">
        <v>269</v>
      </c>
      <c r="O80" s="220" t="s">
        <v>1381</v>
      </c>
      <c r="P80" s="190">
        <v>3712372.02</v>
      </c>
      <c r="Q80" s="190">
        <v>0</v>
      </c>
      <c r="R80" s="190">
        <v>0</v>
      </c>
      <c r="S80" s="190">
        <f t="shared" ref="S80:S119" si="7">P80-Q80-R80</f>
        <v>3712372.02</v>
      </c>
      <c r="T80" s="190">
        <f t="shared" si="6"/>
        <v>3950.5927636479728</v>
      </c>
      <c r="U80" s="190">
        <v>6491.499414706821</v>
      </c>
      <c r="V80" s="221">
        <f t="shared" si="2"/>
        <v>2540.9066510588482</v>
      </c>
      <c r="W80" s="221">
        <f t="shared" si="3"/>
        <v>2376.8540810897093</v>
      </c>
      <c r="X80" s="221">
        <v>0</v>
      </c>
      <c r="Y80" s="222">
        <v>0</v>
      </c>
      <c r="Z80" s="222">
        <v>0</v>
      </c>
      <c r="AA80" s="222">
        <v>0</v>
      </c>
      <c r="AB80" s="222">
        <v>0</v>
      </c>
      <c r="AC80" s="222">
        <v>0</v>
      </c>
      <c r="AD80" s="222">
        <v>0</v>
      </c>
      <c r="AE80" s="222">
        <v>358</v>
      </c>
      <c r="AF80" s="221">
        <f>6238.91*AE80/I80</f>
        <v>2376.8540810897093</v>
      </c>
      <c r="AG80" s="222">
        <v>0</v>
      </c>
      <c r="AH80" s="221">
        <v>0</v>
      </c>
      <c r="AI80" s="222">
        <v>0</v>
      </c>
      <c r="AJ80" s="221">
        <v>0</v>
      </c>
      <c r="AK80" s="222">
        <v>0</v>
      </c>
      <c r="AL80" s="222">
        <v>0</v>
      </c>
      <c r="AM80" s="222">
        <v>0</v>
      </c>
      <c r="AN80" s="222"/>
      <c r="AO80" s="222">
        <v>0</v>
      </c>
    </row>
    <row r="81" spans="1:41" s="223" customFormat="1" ht="36" customHeight="1" x14ac:dyDescent="0.25">
      <c r="A81" s="223">
        <v>1</v>
      </c>
      <c r="B81" s="225">
        <f>SUBTOTAL(103,$A$16:A81)</f>
        <v>66</v>
      </c>
      <c r="C81" s="215" t="s">
        <v>1122</v>
      </c>
      <c r="D81" s="217">
        <v>1958</v>
      </c>
      <c r="E81" s="217"/>
      <c r="F81" s="226" t="s">
        <v>267</v>
      </c>
      <c r="G81" s="217">
        <v>2</v>
      </c>
      <c r="H81" s="217" t="s">
        <v>304</v>
      </c>
      <c r="I81" s="190">
        <v>429.9</v>
      </c>
      <c r="J81" s="190">
        <v>389.3</v>
      </c>
      <c r="K81" s="190">
        <v>389.3</v>
      </c>
      <c r="L81" s="219">
        <v>24</v>
      </c>
      <c r="M81" s="217" t="s">
        <v>265</v>
      </c>
      <c r="N81" s="217" t="s">
        <v>269</v>
      </c>
      <c r="O81" s="220" t="s">
        <v>1321</v>
      </c>
      <c r="P81" s="190">
        <v>1900391.55</v>
      </c>
      <c r="Q81" s="190">
        <v>0</v>
      </c>
      <c r="R81" s="190">
        <v>0</v>
      </c>
      <c r="S81" s="190">
        <f t="shared" si="7"/>
        <v>1900391.55</v>
      </c>
      <c r="T81" s="190">
        <f t="shared" si="6"/>
        <v>4420.5432658757854</v>
      </c>
      <c r="U81" s="190">
        <v>8928.9965108164688</v>
      </c>
      <c r="V81" s="221">
        <f t="shared" ref="V81:V144" si="8">U81-T81</f>
        <v>4508.4532449406834</v>
      </c>
      <c r="W81" s="221">
        <f t="shared" ref="W81:W119" si="9">X81+Y81+Z81+AA81+AB81+AD81+AF81+AH81+AJ81+AL81+AN81+AO81</f>
        <v>12383.61944638288</v>
      </c>
      <c r="X81" s="221">
        <v>0</v>
      </c>
      <c r="Y81" s="222">
        <v>0</v>
      </c>
      <c r="Z81" s="222">
        <v>0</v>
      </c>
      <c r="AA81" s="222">
        <v>0</v>
      </c>
      <c r="AB81" s="222">
        <v>0</v>
      </c>
      <c r="AC81" s="222">
        <v>2</v>
      </c>
      <c r="AD81" s="221">
        <f>2661859*AC81/I81</f>
        <v>12383.61944638288</v>
      </c>
      <c r="AE81" s="222">
        <v>0</v>
      </c>
      <c r="AF81" s="221">
        <v>0</v>
      </c>
      <c r="AG81" s="222">
        <v>0</v>
      </c>
      <c r="AH81" s="221">
        <v>0</v>
      </c>
      <c r="AI81" s="222">
        <v>0</v>
      </c>
      <c r="AJ81" s="221">
        <v>0</v>
      </c>
      <c r="AK81" s="222">
        <v>0</v>
      </c>
      <c r="AL81" s="222">
        <v>0</v>
      </c>
      <c r="AM81" s="222">
        <v>0</v>
      </c>
      <c r="AN81" s="222"/>
      <c r="AO81" s="222">
        <v>0</v>
      </c>
    </row>
    <row r="82" spans="1:41" s="223" customFormat="1" ht="36" customHeight="1" x14ac:dyDescent="0.25">
      <c r="A82" s="223">
        <v>1</v>
      </c>
      <c r="B82" s="225">
        <f>SUBTOTAL(103,$A$16:A82)</f>
        <v>67</v>
      </c>
      <c r="C82" s="215" t="s">
        <v>1123</v>
      </c>
      <c r="D82" s="217">
        <v>1958</v>
      </c>
      <c r="E82" s="217"/>
      <c r="F82" s="226" t="s">
        <v>267</v>
      </c>
      <c r="G82" s="217">
        <v>2</v>
      </c>
      <c r="H82" s="217" t="s">
        <v>304</v>
      </c>
      <c r="I82" s="190">
        <v>447.3</v>
      </c>
      <c r="J82" s="190">
        <v>384.9</v>
      </c>
      <c r="K82" s="190">
        <v>384.9</v>
      </c>
      <c r="L82" s="219">
        <v>21</v>
      </c>
      <c r="M82" s="217" t="s">
        <v>265</v>
      </c>
      <c r="N82" s="217" t="s">
        <v>269</v>
      </c>
      <c r="O82" s="220" t="s">
        <v>1321</v>
      </c>
      <c r="P82" s="190">
        <v>2106147.9500000002</v>
      </c>
      <c r="Q82" s="190">
        <v>0</v>
      </c>
      <c r="R82" s="190">
        <v>0</v>
      </c>
      <c r="S82" s="190">
        <f t="shared" si="7"/>
        <v>2106147.9500000002</v>
      </c>
      <c r="T82" s="190">
        <f t="shared" si="6"/>
        <v>4708.5802593337803</v>
      </c>
      <c r="U82" s="190">
        <v>9296.7961099932945</v>
      </c>
      <c r="V82" s="221">
        <f t="shared" si="8"/>
        <v>4588.2158506595142</v>
      </c>
      <c r="W82" s="221">
        <f t="shared" si="9"/>
        <v>14474.875922199866</v>
      </c>
      <c r="X82" s="221">
        <v>0</v>
      </c>
      <c r="Y82" s="222">
        <v>0</v>
      </c>
      <c r="Z82" s="222">
        <v>0</v>
      </c>
      <c r="AA82" s="222">
        <v>0</v>
      </c>
      <c r="AB82" s="222">
        <v>0</v>
      </c>
      <c r="AC82" s="222">
        <v>2</v>
      </c>
      <c r="AD82" s="221">
        <f>3237306*AC82/I82</f>
        <v>14474.875922199866</v>
      </c>
      <c r="AE82" s="222">
        <v>0</v>
      </c>
      <c r="AF82" s="221">
        <v>0</v>
      </c>
      <c r="AG82" s="222">
        <v>0</v>
      </c>
      <c r="AH82" s="221">
        <v>0</v>
      </c>
      <c r="AI82" s="222">
        <v>0</v>
      </c>
      <c r="AJ82" s="221">
        <v>0</v>
      </c>
      <c r="AK82" s="222">
        <v>0</v>
      </c>
      <c r="AL82" s="222">
        <v>0</v>
      </c>
      <c r="AM82" s="222">
        <v>0</v>
      </c>
      <c r="AN82" s="222"/>
      <c r="AO82" s="222">
        <v>0</v>
      </c>
    </row>
    <row r="83" spans="1:41" s="223" customFormat="1" ht="36" customHeight="1" x14ac:dyDescent="0.25">
      <c r="A83" s="223">
        <v>1</v>
      </c>
      <c r="B83" s="225">
        <f>SUBTOTAL(103,$A$16:A83)</f>
        <v>68</v>
      </c>
      <c r="C83" s="215" t="s">
        <v>1124</v>
      </c>
      <c r="D83" s="217">
        <v>1963</v>
      </c>
      <c r="E83" s="217"/>
      <c r="F83" s="226" t="s">
        <v>267</v>
      </c>
      <c r="G83" s="217">
        <v>5</v>
      </c>
      <c r="H83" s="217" t="s">
        <v>303</v>
      </c>
      <c r="I83" s="190">
        <v>1750.2</v>
      </c>
      <c r="J83" s="190">
        <v>1623.4</v>
      </c>
      <c r="K83" s="190">
        <v>1623.4</v>
      </c>
      <c r="L83" s="219">
        <v>89</v>
      </c>
      <c r="M83" s="217" t="s">
        <v>265</v>
      </c>
      <c r="N83" s="217" t="s">
        <v>269</v>
      </c>
      <c r="O83" s="220" t="s">
        <v>1639</v>
      </c>
      <c r="P83" s="190">
        <v>2813385.7399999998</v>
      </c>
      <c r="Q83" s="190">
        <v>0</v>
      </c>
      <c r="R83" s="190">
        <v>0</v>
      </c>
      <c r="S83" s="190">
        <f t="shared" si="7"/>
        <v>2813385.7399999998</v>
      </c>
      <c r="T83" s="190">
        <f t="shared" si="6"/>
        <v>1607.4652839675464</v>
      </c>
      <c r="U83" s="190">
        <v>6472.552553993829</v>
      </c>
      <c r="V83" s="221">
        <f t="shared" si="8"/>
        <v>4865.0872700262826</v>
      </c>
      <c r="W83" s="221">
        <f t="shared" si="9"/>
        <v>286.52999999999997</v>
      </c>
      <c r="X83" s="221">
        <v>101.55</v>
      </c>
      <c r="Y83" s="222">
        <v>0</v>
      </c>
      <c r="Z83" s="222">
        <v>0</v>
      </c>
      <c r="AA83" s="222">
        <v>184.98</v>
      </c>
      <c r="AB83" s="222">
        <v>0</v>
      </c>
      <c r="AC83" s="222">
        <v>0</v>
      </c>
      <c r="AD83" s="222">
        <v>0</v>
      </c>
      <c r="AE83" s="222">
        <v>0</v>
      </c>
      <c r="AF83" s="221">
        <v>0</v>
      </c>
      <c r="AG83" s="222">
        <v>0</v>
      </c>
      <c r="AH83" s="221">
        <v>0</v>
      </c>
      <c r="AI83" s="222">
        <v>0</v>
      </c>
      <c r="AJ83" s="221">
        <v>0</v>
      </c>
      <c r="AK83" s="222">
        <v>0</v>
      </c>
      <c r="AL83" s="222">
        <v>0</v>
      </c>
      <c r="AM83" s="222">
        <v>0</v>
      </c>
      <c r="AN83" s="222"/>
      <c r="AO83" s="222">
        <v>0</v>
      </c>
    </row>
    <row r="84" spans="1:41" s="223" customFormat="1" ht="36" customHeight="1" x14ac:dyDescent="0.25">
      <c r="A84" s="223">
        <v>1</v>
      </c>
      <c r="B84" s="225">
        <f>SUBTOTAL(103,$A$16:A84)</f>
        <v>69</v>
      </c>
      <c r="C84" s="215" t="s">
        <v>1125</v>
      </c>
      <c r="D84" s="217">
        <v>1958</v>
      </c>
      <c r="E84" s="217"/>
      <c r="F84" s="226" t="s">
        <v>267</v>
      </c>
      <c r="G84" s="217">
        <v>3</v>
      </c>
      <c r="H84" s="217" t="s">
        <v>303</v>
      </c>
      <c r="I84" s="190">
        <v>1081</v>
      </c>
      <c r="J84" s="190">
        <v>633.6</v>
      </c>
      <c r="K84" s="190">
        <v>633.6</v>
      </c>
      <c r="L84" s="219">
        <v>48</v>
      </c>
      <c r="M84" s="217" t="s">
        <v>265</v>
      </c>
      <c r="N84" s="217" t="s">
        <v>269</v>
      </c>
      <c r="O84" s="220" t="s">
        <v>1381</v>
      </c>
      <c r="P84" s="190">
        <v>2278510.5799999996</v>
      </c>
      <c r="Q84" s="190">
        <v>0</v>
      </c>
      <c r="R84" s="190">
        <v>0</v>
      </c>
      <c r="S84" s="190">
        <f t="shared" si="7"/>
        <v>2278510.5799999996</v>
      </c>
      <c r="T84" s="190">
        <f t="shared" si="6"/>
        <v>2107.7803700277518</v>
      </c>
      <c r="U84" s="190">
        <v>3350.7731914893616</v>
      </c>
      <c r="V84" s="221">
        <f t="shared" si="8"/>
        <v>1242.9928214616098</v>
      </c>
      <c r="W84" s="221">
        <f t="shared" si="9"/>
        <v>6491.4098265494913</v>
      </c>
      <c r="X84" s="221">
        <v>0</v>
      </c>
      <c r="Y84" s="222">
        <v>0</v>
      </c>
      <c r="Z84" s="222">
        <v>0</v>
      </c>
      <c r="AA84" s="222">
        <v>0</v>
      </c>
      <c r="AB84" s="222">
        <v>0</v>
      </c>
      <c r="AC84" s="222">
        <v>0</v>
      </c>
      <c r="AD84" s="222">
        <v>0</v>
      </c>
      <c r="AE84" s="222">
        <v>1124.75</v>
      </c>
      <c r="AF84" s="221">
        <f>6238.91*AE84/I84</f>
        <v>6491.4098265494913</v>
      </c>
      <c r="AG84" s="222">
        <v>0</v>
      </c>
      <c r="AH84" s="221">
        <v>0</v>
      </c>
      <c r="AI84" s="222">
        <v>0</v>
      </c>
      <c r="AJ84" s="221">
        <v>0</v>
      </c>
      <c r="AK84" s="222">
        <v>0</v>
      </c>
      <c r="AL84" s="222">
        <v>0</v>
      </c>
      <c r="AM84" s="222">
        <v>0</v>
      </c>
      <c r="AN84" s="222"/>
      <c r="AO84" s="222">
        <v>0</v>
      </c>
    </row>
    <row r="85" spans="1:41" s="223" customFormat="1" ht="36" customHeight="1" x14ac:dyDescent="0.25">
      <c r="A85" s="223">
        <v>1</v>
      </c>
      <c r="B85" s="225">
        <f>SUBTOTAL(103,$A$16:A85)</f>
        <v>70</v>
      </c>
      <c r="C85" s="215" t="s">
        <v>1126</v>
      </c>
      <c r="D85" s="217">
        <v>1959</v>
      </c>
      <c r="E85" s="217"/>
      <c r="F85" s="226" t="s">
        <v>267</v>
      </c>
      <c r="G85" s="217">
        <v>2</v>
      </c>
      <c r="H85" s="217" t="s">
        <v>304</v>
      </c>
      <c r="I85" s="190">
        <v>495</v>
      </c>
      <c r="J85" s="190">
        <v>308.10000000000002</v>
      </c>
      <c r="K85" s="190">
        <v>308.10000000000002</v>
      </c>
      <c r="L85" s="219">
        <v>20</v>
      </c>
      <c r="M85" s="217" t="s">
        <v>265</v>
      </c>
      <c r="N85" s="217" t="s">
        <v>269</v>
      </c>
      <c r="O85" s="220" t="s">
        <v>1633</v>
      </c>
      <c r="P85" s="190">
        <v>2391493.25</v>
      </c>
      <c r="Q85" s="190">
        <v>0</v>
      </c>
      <c r="R85" s="190">
        <v>0</v>
      </c>
      <c r="S85" s="190">
        <f t="shared" si="7"/>
        <v>2391493.25</v>
      </c>
      <c r="T85" s="190">
        <f t="shared" si="6"/>
        <v>4831.2994949494951</v>
      </c>
      <c r="U85" s="190">
        <v>9663.3157575757577</v>
      </c>
      <c r="V85" s="221">
        <f t="shared" si="8"/>
        <v>4832.0162626262627</v>
      </c>
      <c r="W85" s="221">
        <f t="shared" si="9"/>
        <v>12323.357575757576</v>
      </c>
      <c r="X85" s="221">
        <v>0</v>
      </c>
      <c r="Y85" s="222">
        <v>0</v>
      </c>
      <c r="Z85" s="222">
        <v>0</v>
      </c>
      <c r="AA85" s="222">
        <v>0</v>
      </c>
      <c r="AB85" s="222">
        <v>0</v>
      </c>
      <c r="AC85" s="222">
        <v>0</v>
      </c>
      <c r="AD85" s="222">
        <v>0</v>
      </c>
      <c r="AE85" s="222">
        <v>0</v>
      </c>
      <c r="AF85" s="221">
        <v>0</v>
      </c>
      <c r="AG85" s="222">
        <v>0</v>
      </c>
      <c r="AH85" s="221">
        <v>0</v>
      </c>
      <c r="AI85" s="222">
        <v>820</v>
      </c>
      <c r="AJ85" s="221">
        <f>7439.1*AI85/I85</f>
        <v>12323.357575757576</v>
      </c>
      <c r="AK85" s="222">
        <v>0</v>
      </c>
      <c r="AL85" s="222">
        <v>0</v>
      </c>
      <c r="AM85" s="222">
        <v>0</v>
      </c>
      <c r="AN85" s="222"/>
      <c r="AO85" s="222">
        <v>0</v>
      </c>
    </row>
    <row r="86" spans="1:41" s="223" customFormat="1" ht="36" customHeight="1" x14ac:dyDescent="0.25">
      <c r="A86" s="223">
        <v>1</v>
      </c>
      <c r="B86" s="225">
        <f>SUBTOTAL(103,$A$16:A86)</f>
        <v>71</v>
      </c>
      <c r="C86" s="215" t="s">
        <v>1128</v>
      </c>
      <c r="D86" s="217">
        <v>1974</v>
      </c>
      <c r="E86" s="217"/>
      <c r="F86" s="226" t="s">
        <v>311</v>
      </c>
      <c r="G86" s="217">
        <v>5</v>
      </c>
      <c r="H86" s="217" t="s">
        <v>371</v>
      </c>
      <c r="I86" s="190">
        <v>5153.3999999999996</v>
      </c>
      <c r="J86" s="190">
        <v>4574.1000000000004</v>
      </c>
      <c r="K86" s="190">
        <v>4574.1000000000004</v>
      </c>
      <c r="L86" s="219">
        <v>190</v>
      </c>
      <c r="M86" s="217" t="s">
        <v>265</v>
      </c>
      <c r="N86" s="217" t="s">
        <v>269</v>
      </c>
      <c r="O86" s="220" t="s">
        <v>1319</v>
      </c>
      <c r="P86" s="190">
        <v>4355328.45</v>
      </c>
      <c r="Q86" s="190">
        <v>0</v>
      </c>
      <c r="R86" s="190">
        <v>0</v>
      </c>
      <c r="S86" s="190">
        <f t="shared" si="7"/>
        <v>4355328.45</v>
      </c>
      <c r="T86" s="190">
        <f t="shared" si="6"/>
        <v>845.13689020840616</v>
      </c>
      <c r="U86" s="190">
        <v>1368.4935169014632</v>
      </c>
      <c r="V86" s="221">
        <f t="shared" si="8"/>
        <v>523.35662669305702</v>
      </c>
      <c r="W86" s="221">
        <f t="shared" si="9"/>
        <v>744.86273140062883</v>
      </c>
      <c r="X86" s="221">
        <v>0</v>
      </c>
      <c r="Y86" s="222">
        <v>0</v>
      </c>
      <c r="Z86" s="222">
        <v>0</v>
      </c>
      <c r="AA86" s="222">
        <v>0</v>
      </c>
      <c r="AB86" s="222">
        <v>0</v>
      </c>
      <c r="AC86" s="222">
        <v>0</v>
      </c>
      <c r="AD86" s="222">
        <v>0</v>
      </c>
      <c r="AE86" s="222">
        <v>0</v>
      </c>
      <c r="AF86" s="221">
        <v>0</v>
      </c>
      <c r="AG86" s="222">
        <v>0</v>
      </c>
      <c r="AH86" s="221">
        <v>0</v>
      </c>
      <c r="AI86" s="222">
        <v>516</v>
      </c>
      <c r="AJ86" s="221">
        <f>7439.1*AI86/I86</f>
        <v>744.86273140062883</v>
      </c>
      <c r="AK86" s="222">
        <v>0</v>
      </c>
      <c r="AL86" s="222">
        <v>0</v>
      </c>
      <c r="AM86" s="222">
        <v>0</v>
      </c>
      <c r="AN86" s="222"/>
      <c r="AO86" s="222">
        <v>0</v>
      </c>
    </row>
    <row r="87" spans="1:41" s="223" customFormat="1" ht="36" customHeight="1" x14ac:dyDescent="0.25">
      <c r="A87" s="223">
        <v>1</v>
      </c>
      <c r="B87" s="225">
        <f>SUBTOTAL(103,$A$16:A87)</f>
        <v>72</v>
      </c>
      <c r="C87" s="215" t="s">
        <v>1131</v>
      </c>
      <c r="D87" s="217">
        <v>1959</v>
      </c>
      <c r="E87" s="217"/>
      <c r="F87" s="226" t="s">
        <v>267</v>
      </c>
      <c r="G87" s="217">
        <v>2</v>
      </c>
      <c r="H87" s="217" t="s">
        <v>303</v>
      </c>
      <c r="I87" s="190">
        <v>572.79999999999995</v>
      </c>
      <c r="J87" s="190">
        <v>339.4</v>
      </c>
      <c r="K87" s="190">
        <v>339.4</v>
      </c>
      <c r="L87" s="219">
        <v>21</v>
      </c>
      <c r="M87" s="217" t="s">
        <v>265</v>
      </c>
      <c r="N87" s="217" t="s">
        <v>269</v>
      </c>
      <c r="O87" s="220" t="s">
        <v>1321</v>
      </c>
      <c r="P87" s="190">
        <v>1505981.24</v>
      </c>
      <c r="Q87" s="190">
        <v>0</v>
      </c>
      <c r="R87" s="190">
        <v>0</v>
      </c>
      <c r="S87" s="190">
        <f t="shared" si="7"/>
        <v>1505981.24</v>
      </c>
      <c r="T87" s="190">
        <f t="shared" si="6"/>
        <v>2629.1571927374303</v>
      </c>
      <c r="U87" s="190">
        <v>8831.3337988826825</v>
      </c>
      <c r="V87" s="221">
        <f t="shared" si="8"/>
        <v>6202.1766061452527</v>
      </c>
      <c r="W87" s="221">
        <f t="shared" si="9"/>
        <v>7259.8758729050296</v>
      </c>
      <c r="X87" s="221">
        <v>0</v>
      </c>
      <c r="Y87" s="222">
        <v>0</v>
      </c>
      <c r="Z87" s="222">
        <v>0</v>
      </c>
      <c r="AA87" s="222">
        <v>0</v>
      </c>
      <c r="AB87" s="222">
        <v>0</v>
      </c>
      <c r="AC87" s="222">
        <v>0</v>
      </c>
      <c r="AD87" s="222">
        <v>0</v>
      </c>
      <c r="AE87" s="222">
        <v>0</v>
      </c>
      <c r="AF87" s="221">
        <v>0</v>
      </c>
      <c r="AG87" s="222">
        <v>0</v>
      </c>
      <c r="AH87" s="221">
        <v>0</v>
      </c>
      <c r="AI87" s="222">
        <v>559</v>
      </c>
      <c r="AJ87" s="221">
        <f>7439.1*AI87/I87</f>
        <v>7259.8758729050296</v>
      </c>
      <c r="AK87" s="222">
        <v>0</v>
      </c>
      <c r="AL87" s="222">
        <v>0</v>
      </c>
      <c r="AM87" s="222">
        <v>0</v>
      </c>
      <c r="AN87" s="222"/>
      <c r="AO87" s="222">
        <v>0</v>
      </c>
    </row>
    <row r="88" spans="1:41" s="223" customFormat="1" ht="36" customHeight="1" x14ac:dyDescent="0.25">
      <c r="A88" s="223">
        <v>1</v>
      </c>
      <c r="B88" s="225">
        <f>SUBTOTAL(103,$A$16:A88)</f>
        <v>73</v>
      </c>
      <c r="C88" s="215" t="s">
        <v>1132</v>
      </c>
      <c r="D88" s="217">
        <v>1955</v>
      </c>
      <c r="E88" s="217"/>
      <c r="F88" s="226" t="s">
        <v>267</v>
      </c>
      <c r="G88" s="217">
        <v>2</v>
      </c>
      <c r="H88" s="217" t="s">
        <v>304</v>
      </c>
      <c r="I88" s="190">
        <v>727.66</v>
      </c>
      <c r="J88" s="190">
        <v>427.66</v>
      </c>
      <c r="K88" s="190">
        <v>427.66</v>
      </c>
      <c r="L88" s="219">
        <v>168</v>
      </c>
      <c r="M88" s="217" t="s">
        <v>265</v>
      </c>
      <c r="N88" s="217" t="s">
        <v>269</v>
      </c>
      <c r="O88" s="220" t="s">
        <v>1319</v>
      </c>
      <c r="P88" s="190">
        <v>820883.7</v>
      </c>
      <c r="Q88" s="190">
        <v>0</v>
      </c>
      <c r="R88" s="190">
        <v>0</v>
      </c>
      <c r="S88" s="190">
        <f t="shared" si="7"/>
        <v>820883.7</v>
      </c>
      <c r="T88" s="190">
        <f t="shared" si="6"/>
        <v>1128.1143665997856</v>
      </c>
      <c r="U88" s="190">
        <v>4416.4736277932006</v>
      </c>
      <c r="V88" s="221">
        <f t="shared" si="8"/>
        <v>3288.359261193415</v>
      </c>
      <c r="W88" s="221">
        <f t="shared" si="9"/>
        <v>15568.069537971032</v>
      </c>
      <c r="X88" s="221">
        <v>0</v>
      </c>
      <c r="Y88" s="222">
        <v>0</v>
      </c>
      <c r="Z88" s="222">
        <v>0</v>
      </c>
      <c r="AA88" s="222">
        <v>0</v>
      </c>
      <c r="AB88" s="222">
        <v>0</v>
      </c>
      <c r="AC88" s="222">
        <v>0</v>
      </c>
      <c r="AD88" s="222">
        <v>0</v>
      </c>
      <c r="AE88" s="222">
        <v>0</v>
      </c>
      <c r="AF88" s="221">
        <v>0</v>
      </c>
      <c r="AG88" s="222">
        <v>0</v>
      </c>
      <c r="AH88" s="221">
        <v>0</v>
      </c>
      <c r="AI88" s="222">
        <v>1522.8</v>
      </c>
      <c r="AJ88" s="221">
        <f>7439.1*AI88/I88</f>
        <v>15568.069537971032</v>
      </c>
      <c r="AK88" s="222">
        <v>0</v>
      </c>
      <c r="AL88" s="222">
        <v>0</v>
      </c>
      <c r="AM88" s="222">
        <v>0</v>
      </c>
      <c r="AN88" s="222"/>
      <c r="AO88" s="222">
        <v>0</v>
      </c>
    </row>
    <row r="89" spans="1:41" s="223" customFormat="1" ht="36" customHeight="1" x14ac:dyDescent="0.25">
      <c r="A89" s="223">
        <v>1</v>
      </c>
      <c r="B89" s="225">
        <f>SUBTOTAL(103,$A$16:A89)</f>
        <v>74</v>
      </c>
      <c r="C89" s="215" t="s">
        <v>1541</v>
      </c>
      <c r="D89" s="217">
        <v>1949</v>
      </c>
      <c r="E89" s="217"/>
      <c r="F89" s="226" t="s">
        <v>267</v>
      </c>
      <c r="G89" s="217">
        <v>2</v>
      </c>
      <c r="H89" s="217" t="s">
        <v>304</v>
      </c>
      <c r="I89" s="190">
        <v>564.9</v>
      </c>
      <c r="J89" s="190">
        <v>519.9</v>
      </c>
      <c r="K89" s="190">
        <v>519.9</v>
      </c>
      <c r="L89" s="219">
        <v>22</v>
      </c>
      <c r="M89" s="217" t="s">
        <v>265</v>
      </c>
      <c r="N89" s="217" t="s">
        <v>269</v>
      </c>
      <c r="O89" s="220" t="s">
        <v>1380</v>
      </c>
      <c r="P89" s="190">
        <v>1677475.96</v>
      </c>
      <c r="Q89" s="190">
        <v>0</v>
      </c>
      <c r="R89" s="190">
        <v>0</v>
      </c>
      <c r="S89" s="190">
        <f t="shared" si="7"/>
        <v>1677475.96</v>
      </c>
      <c r="T89" s="190">
        <f t="shared" si="6"/>
        <v>2969.5095769162685</v>
      </c>
      <c r="U89" s="190">
        <v>5369.745307134006</v>
      </c>
      <c r="V89" s="221">
        <f t="shared" si="8"/>
        <v>2400.2357302177375</v>
      </c>
      <c r="W89" s="221">
        <f t="shared" si="9"/>
        <v>6147.2425314214906</v>
      </c>
      <c r="X89" s="221">
        <v>0</v>
      </c>
      <c r="Y89" s="222">
        <v>0</v>
      </c>
      <c r="Z89" s="222">
        <v>0</v>
      </c>
      <c r="AA89" s="222">
        <v>0</v>
      </c>
      <c r="AB89" s="222">
        <v>0</v>
      </c>
      <c r="AC89" s="222">
        <v>0</v>
      </c>
      <c r="AD89" s="222">
        <v>0</v>
      </c>
      <c r="AE89" s="222">
        <v>556.6</v>
      </c>
      <c r="AF89" s="221">
        <f>6238.91*AE89/I89</f>
        <v>6147.2425314214906</v>
      </c>
      <c r="AG89" s="222">
        <v>0</v>
      </c>
      <c r="AH89" s="221">
        <v>0</v>
      </c>
      <c r="AI89" s="222">
        <v>0</v>
      </c>
      <c r="AJ89" s="221">
        <v>0</v>
      </c>
      <c r="AK89" s="222">
        <v>0</v>
      </c>
      <c r="AL89" s="222">
        <v>0</v>
      </c>
      <c r="AM89" s="222">
        <v>0</v>
      </c>
      <c r="AN89" s="222"/>
      <c r="AO89" s="222">
        <v>0</v>
      </c>
    </row>
    <row r="90" spans="1:41" s="223" customFormat="1" ht="36" customHeight="1" x14ac:dyDescent="0.25">
      <c r="A90" s="223">
        <v>1</v>
      </c>
      <c r="B90" s="225">
        <f>SUBTOTAL(103,$A$16:A90)</f>
        <v>75</v>
      </c>
      <c r="C90" s="215" t="s">
        <v>1537</v>
      </c>
      <c r="D90" s="217">
        <v>1969</v>
      </c>
      <c r="E90" s="217"/>
      <c r="F90" s="226" t="s">
        <v>267</v>
      </c>
      <c r="G90" s="217">
        <v>5</v>
      </c>
      <c r="H90" s="217" t="s">
        <v>312</v>
      </c>
      <c r="I90" s="190">
        <v>2989.1</v>
      </c>
      <c r="J90" s="190">
        <v>2769.1</v>
      </c>
      <c r="K90" s="190">
        <v>2016</v>
      </c>
      <c r="L90" s="219">
        <v>72</v>
      </c>
      <c r="M90" s="217" t="s">
        <v>265</v>
      </c>
      <c r="N90" s="217" t="s">
        <v>269</v>
      </c>
      <c r="O90" s="220" t="s">
        <v>1638</v>
      </c>
      <c r="P90" s="190">
        <v>3647517.81</v>
      </c>
      <c r="Q90" s="190">
        <v>0</v>
      </c>
      <c r="R90" s="190">
        <v>0</v>
      </c>
      <c r="S90" s="190">
        <f t="shared" si="7"/>
        <v>3647517.81</v>
      </c>
      <c r="T90" s="190">
        <f t="shared" si="6"/>
        <v>1220.2729283061792</v>
      </c>
      <c r="U90" s="190">
        <v>1870.1663711485062</v>
      </c>
      <c r="V90" s="221">
        <f t="shared" si="8"/>
        <v>649.89344284232698</v>
      </c>
      <c r="W90" s="221">
        <f t="shared" si="9"/>
        <v>1616.6870830684823</v>
      </c>
      <c r="X90" s="221">
        <v>0</v>
      </c>
      <c r="Y90" s="222">
        <v>0</v>
      </c>
      <c r="Z90" s="222">
        <v>0</v>
      </c>
      <c r="AA90" s="222">
        <v>0</v>
      </c>
      <c r="AB90" s="222">
        <v>0</v>
      </c>
      <c r="AC90" s="222">
        <v>0</v>
      </c>
      <c r="AD90" s="222">
        <v>0</v>
      </c>
      <c r="AE90" s="222">
        <v>0</v>
      </c>
      <c r="AF90" s="221">
        <v>0</v>
      </c>
      <c r="AG90" s="222">
        <v>0</v>
      </c>
      <c r="AH90" s="221">
        <v>0</v>
      </c>
      <c r="AI90" s="222">
        <v>649.6</v>
      </c>
      <c r="AJ90" s="221">
        <f>7439.1*AI90/I90</f>
        <v>1616.6870830684823</v>
      </c>
      <c r="AK90" s="222">
        <v>0</v>
      </c>
      <c r="AL90" s="222">
        <v>0</v>
      </c>
      <c r="AM90" s="222">
        <v>0</v>
      </c>
      <c r="AN90" s="222"/>
      <c r="AO90" s="222">
        <v>0</v>
      </c>
    </row>
    <row r="91" spans="1:41" s="223" customFormat="1" ht="36" customHeight="1" x14ac:dyDescent="0.25">
      <c r="A91" s="223">
        <v>1</v>
      </c>
      <c r="B91" s="225">
        <f>SUBTOTAL(103,$A$16:A91)</f>
        <v>76</v>
      </c>
      <c r="C91" s="215" t="s">
        <v>1540</v>
      </c>
      <c r="D91" s="217">
        <v>1938</v>
      </c>
      <c r="E91" s="217"/>
      <c r="F91" s="226" t="s">
        <v>267</v>
      </c>
      <c r="G91" s="217">
        <v>5</v>
      </c>
      <c r="H91" s="217" t="s">
        <v>308</v>
      </c>
      <c r="I91" s="190">
        <v>2927.1</v>
      </c>
      <c r="J91" s="190">
        <v>1576</v>
      </c>
      <c r="K91" s="190">
        <v>1576</v>
      </c>
      <c r="L91" s="219">
        <v>88</v>
      </c>
      <c r="M91" s="217" t="s">
        <v>265</v>
      </c>
      <c r="N91" s="217" t="s">
        <v>269</v>
      </c>
      <c r="O91" s="220" t="s">
        <v>1383</v>
      </c>
      <c r="P91" s="190">
        <v>5096776.0799999991</v>
      </c>
      <c r="Q91" s="190">
        <v>0</v>
      </c>
      <c r="R91" s="190">
        <v>0</v>
      </c>
      <c r="S91" s="190">
        <f t="shared" si="7"/>
        <v>5096776.0799999991</v>
      </c>
      <c r="T91" s="190">
        <f t="shared" si="6"/>
        <v>1741.2374295377674</v>
      </c>
      <c r="U91" s="190">
        <v>2214.3654811929896</v>
      </c>
      <c r="V91" s="221">
        <f t="shared" si="8"/>
        <v>473.12805165522218</v>
      </c>
      <c r="W91" s="221">
        <f t="shared" si="9"/>
        <v>2363.7322947627349</v>
      </c>
      <c r="X91" s="221">
        <v>0</v>
      </c>
      <c r="Y91" s="222">
        <v>0</v>
      </c>
      <c r="Z91" s="222">
        <v>0</v>
      </c>
      <c r="AA91" s="222">
        <v>0</v>
      </c>
      <c r="AB91" s="222">
        <v>0</v>
      </c>
      <c r="AC91" s="222">
        <v>0</v>
      </c>
      <c r="AD91" s="222">
        <v>0</v>
      </c>
      <c r="AE91" s="222">
        <v>0</v>
      </c>
      <c r="AF91" s="221">
        <v>0</v>
      </c>
      <c r="AG91" s="222">
        <v>780</v>
      </c>
      <c r="AH91" s="221">
        <f>8870.36*AG91/I91</f>
        <v>2363.7322947627349</v>
      </c>
      <c r="AI91" s="222">
        <v>0</v>
      </c>
      <c r="AJ91" s="221">
        <v>0</v>
      </c>
      <c r="AK91" s="222">
        <v>0</v>
      </c>
      <c r="AL91" s="222">
        <v>0</v>
      </c>
      <c r="AM91" s="222">
        <v>0</v>
      </c>
      <c r="AN91" s="222"/>
      <c r="AO91" s="222">
        <v>0</v>
      </c>
    </row>
    <row r="92" spans="1:41" s="223" customFormat="1" ht="36" customHeight="1" x14ac:dyDescent="0.25">
      <c r="A92" s="223">
        <v>1</v>
      </c>
      <c r="B92" s="225">
        <f>SUBTOTAL(103,$A$16:A92)</f>
        <v>77</v>
      </c>
      <c r="C92" s="215" t="s">
        <v>1536</v>
      </c>
      <c r="D92" s="217">
        <v>1962</v>
      </c>
      <c r="E92" s="217"/>
      <c r="F92" s="226" t="s">
        <v>267</v>
      </c>
      <c r="G92" s="217">
        <v>5</v>
      </c>
      <c r="H92" s="217" t="s">
        <v>308</v>
      </c>
      <c r="I92" s="190">
        <v>3481.5</v>
      </c>
      <c r="J92" s="190">
        <v>3181.1</v>
      </c>
      <c r="K92" s="190">
        <v>3181.1</v>
      </c>
      <c r="L92" s="219">
        <v>160</v>
      </c>
      <c r="M92" s="217" t="s">
        <v>265</v>
      </c>
      <c r="N92" s="217" t="s">
        <v>269</v>
      </c>
      <c r="O92" s="220" t="s">
        <v>1638</v>
      </c>
      <c r="P92" s="190">
        <v>3789473.9</v>
      </c>
      <c r="Q92" s="190">
        <v>0</v>
      </c>
      <c r="R92" s="190">
        <v>0</v>
      </c>
      <c r="S92" s="190">
        <f t="shared" si="7"/>
        <v>3789473.9</v>
      </c>
      <c r="T92" s="190">
        <f t="shared" si="6"/>
        <v>1088.460117765331</v>
      </c>
      <c r="U92" s="190">
        <v>1922.4958925750395</v>
      </c>
      <c r="V92" s="221">
        <f t="shared" si="8"/>
        <v>834.03577480970853</v>
      </c>
      <c r="W92" s="221">
        <f t="shared" si="9"/>
        <v>2150.4213700990954</v>
      </c>
      <c r="X92" s="221">
        <v>0</v>
      </c>
      <c r="Y92" s="222">
        <v>0</v>
      </c>
      <c r="Z92" s="222">
        <v>0</v>
      </c>
      <c r="AA92" s="222">
        <v>0</v>
      </c>
      <c r="AB92" s="222">
        <v>0</v>
      </c>
      <c r="AC92" s="222">
        <v>0</v>
      </c>
      <c r="AD92" s="222">
        <v>0</v>
      </c>
      <c r="AE92" s="222">
        <v>1200</v>
      </c>
      <c r="AF92" s="221">
        <f>6238.91*AE92/I92</f>
        <v>2150.4213700990954</v>
      </c>
      <c r="AG92" s="222">
        <v>0</v>
      </c>
      <c r="AH92" s="221">
        <v>0</v>
      </c>
      <c r="AI92" s="222">
        <v>0</v>
      </c>
      <c r="AJ92" s="221">
        <v>0</v>
      </c>
      <c r="AK92" s="222">
        <v>0</v>
      </c>
      <c r="AL92" s="222">
        <v>0</v>
      </c>
      <c r="AM92" s="222">
        <v>0</v>
      </c>
      <c r="AN92" s="222"/>
      <c r="AO92" s="222">
        <v>0</v>
      </c>
    </row>
    <row r="93" spans="1:41" s="223" customFormat="1" ht="36" customHeight="1" x14ac:dyDescent="0.25">
      <c r="A93" s="223">
        <v>1</v>
      </c>
      <c r="B93" s="225">
        <f>SUBTOTAL(103,$A$16:A93)</f>
        <v>78</v>
      </c>
      <c r="C93" s="215" t="s">
        <v>1526</v>
      </c>
      <c r="D93" s="217">
        <v>1970</v>
      </c>
      <c r="E93" s="217"/>
      <c r="F93" s="226" t="s">
        <v>267</v>
      </c>
      <c r="G93" s="217">
        <v>9</v>
      </c>
      <c r="H93" s="217" t="s">
        <v>304</v>
      </c>
      <c r="I93" s="190">
        <v>1920.2</v>
      </c>
      <c r="J93" s="190">
        <v>1163.2</v>
      </c>
      <c r="K93" s="190">
        <v>1163.2</v>
      </c>
      <c r="L93" s="219">
        <v>94</v>
      </c>
      <c r="M93" s="217" t="s">
        <v>265</v>
      </c>
      <c r="N93" s="217" t="s">
        <v>269</v>
      </c>
      <c r="O93" s="220" t="s">
        <v>1383</v>
      </c>
      <c r="P93" s="190">
        <v>597387.81000000006</v>
      </c>
      <c r="Q93" s="190">
        <v>0</v>
      </c>
      <c r="R93" s="190">
        <v>0</v>
      </c>
      <c r="S93" s="190">
        <f t="shared" si="7"/>
        <v>597387.81000000006</v>
      </c>
      <c r="T93" s="190">
        <f t="shared" si="6"/>
        <v>311.10707738777211</v>
      </c>
      <c r="U93" s="190">
        <v>955.23359025101547</v>
      </c>
      <c r="V93" s="221">
        <f t="shared" si="8"/>
        <v>644.12651286324331</v>
      </c>
      <c r="W93" s="221">
        <f t="shared" si="9"/>
        <v>2634.4455738985521</v>
      </c>
      <c r="X93" s="221">
        <v>0</v>
      </c>
      <c r="Y93" s="222">
        <v>0</v>
      </c>
      <c r="Z93" s="222">
        <v>0</v>
      </c>
      <c r="AA93" s="222">
        <v>0</v>
      </c>
      <c r="AB93" s="222">
        <v>0</v>
      </c>
      <c r="AC93" s="222">
        <v>0</v>
      </c>
      <c r="AD93" s="222">
        <v>0</v>
      </c>
      <c r="AE93" s="222">
        <v>0</v>
      </c>
      <c r="AF93" s="221">
        <v>0</v>
      </c>
      <c r="AG93" s="222">
        <v>0</v>
      </c>
      <c r="AH93" s="221">
        <v>0</v>
      </c>
      <c r="AI93" s="222">
        <v>680.01</v>
      </c>
      <c r="AJ93" s="221">
        <f>7439.1*AI93/I93</f>
        <v>2634.4455738985521</v>
      </c>
      <c r="AK93" s="222">
        <v>0</v>
      </c>
      <c r="AL93" s="222">
        <v>0</v>
      </c>
      <c r="AM93" s="222">
        <v>0</v>
      </c>
      <c r="AN93" s="222"/>
      <c r="AO93" s="222">
        <v>0</v>
      </c>
    </row>
    <row r="94" spans="1:41" s="223" customFormat="1" ht="36" customHeight="1" x14ac:dyDescent="0.25">
      <c r="A94" s="223">
        <v>1</v>
      </c>
      <c r="B94" s="225">
        <f>SUBTOTAL(103,$A$16:A94)</f>
        <v>79</v>
      </c>
      <c r="C94" s="215" t="s">
        <v>1538</v>
      </c>
      <c r="D94" s="217">
        <v>1976</v>
      </c>
      <c r="E94" s="217"/>
      <c r="F94" s="226" t="s">
        <v>267</v>
      </c>
      <c r="G94" s="217">
        <v>5</v>
      </c>
      <c r="H94" s="217" t="s">
        <v>2267</v>
      </c>
      <c r="I94" s="190">
        <v>6239.3</v>
      </c>
      <c r="J94" s="190">
        <v>5776.2</v>
      </c>
      <c r="K94" s="190">
        <v>5061.7</v>
      </c>
      <c r="L94" s="219">
        <v>280</v>
      </c>
      <c r="M94" s="217" t="s">
        <v>265</v>
      </c>
      <c r="N94" s="217" t="s">
        <v>269</v>
      </c>
      <c r="O94" s="220" t="s">
        <v>1381</v>
      </c>
      <c r="P94" s="190">
        <v>4468866.21</v>
      </c>
      <c r="Q94" s="190">
        <v>0</v>
      </c>
      <c r="R94" s="190">
        <v>0</v>
      </c>
      <c r="S94" s="190">
        <f t="shared" si="7"/>
        <v>4468866.21</v>
      </c>
      <c r="T94" s="190">
        <f t="shared" si="6"/>
        <v>716.24480470565607</v>
      </c>
      <c r="U94" s="190">
        <v>1611.4622633949321</v>
      </c>
      <c r="V94" s="221">
        <f t="shared" si="8"/>
        <v>895.21745868927599</v>
      </c>
      <c r="W94" s="221">
        <f t="shared" si="9"/>
        <v>493.45604747327428</v>
      </c>
      <c r="X94" s="221">
        <v>0</v>
      </c>
      <c r="Y94" s="222">
        <v>0</v>
      </c>
      <c r="Z94" s="222">
        <v>0</v>
      </c>
      <c r="AA94" s="222">
        <v>0</v>
      </c>
      <c r="AB94" s="222">
        <v>0</v>
      </c>
      <c r="AC94" s="222">
        <v>0</v>
      </c>
      <c r="AD94" s="222">
        <v>0</v>
      </c>
      <c r="AE94" s="222">
        <v>0</v>
      </c>
      <c r="AF94" s="221">
        <v>0</v>
      </c>
      <c r="AG94" s="222">
        <v>0</v>
      </c>
      <c r="AH94" s="221">
        <v>0</v>
      </c>
      <c r="AI94" s="222">
        <v>413.87</v>
      </c>
      <c r="AJ94" s="221">
        <f>7439.1*AI94/I94</f>
        <v>493.45604747327428</v>
      </c>
      <c r="AK94" s="222">
        <v>0</v>
      </c>
      <c r="AL94" s="222">
        <v>0</v>
      </c>
      <c r="AM94" s="222">
        <v>0</v>
      </c>
      <c r="AN94" s="222"/>
      <c r="AO94" s="222">
        <v>0</v>
      </c>
    </row>
    <row r="95" spans="1:41" s="223" customFormat="1" ht="36" customHeight="1" x14ac:dyDescent="0.25">
      <c r="A95" s="223">
        <v>1</v>
      </c>
      <c r="B95" s="225">
        <f>SUBTOTAL(103,$A$16:A95)</f>
        <v>80</v>
      </c>
      <c r="C95" s="215" t="s">
        <v>1539</v>
      </c>
      <c r="D95" s="217">
        <v>1972</v>
      </c>
      <c r="E95" s="217"/>
      <c r="F95" s="226" t="s">
        <v>267</v>
      </c>
      <c r="G95" s="217">
        <v>5</v>
      </c>
      <c r="H95" s="217" t="s">
        <v>2266</v>
      </c>
      <c r="I95" s="190">
        <v>6466</v>
      </c>
      <c r="J95" s="190">
        <v>6466</v>
      </c>
      <c r="K95" s="190">
        <v>5918.8</v>
      </c>
      <c r="L95" s="219">
        <v>277</v>
      </c>
      <c r="M95" s="217" t="s">
        <v>265</v>
      </c>
      <c r="N95" s="217" t="s">
        <v>269</v>
      </c>
      <c r="O95" s="220" t="s">
        <v>1382</v>
      </c>
      <c r="P95" s="190">
        <v>6330505.6400000006</v>
      </c>
      <c r="Q95" s="190">
        <v>0</v>
      </c>
      <c r="R95" s="190">
        <v>0</v>
      </c>
      <c r="S95" s="190">
        <f t="shared" si="7"/>
        <v>6330505.6400000006</v>
      </c>
      <c r="T95" s="190">
        <f t="shared" si="6"/>
        <v>979.04510361892983</v>
      </c>
      <c r="U95" s="190">
        <v>1674.127463656047</v>
      </c>
      <c r="V95" s="221">
        <f t="shared" si="8"/>
        <v>695.08236003711716</v>
      </c>
      <c r="W95" s="221">
        <f t="shared" si="9"/>
        <v>449.74957148159604</v>
      </c>
      <c r="X95" s="221">
        <v>0</v>
      </c>
      <c r="Y95" s="222">
        <v>0</v>
      </c>
      <c r="Z95" s="222">
        <v>0</v>
      </c>
      <c r="AA95" s="222">
        <v>0</v>
      </c>
      <c r="AB95" s="222">
        <v>0</v>
      </c>
      <c r="AC95" s="222">
        <v>0</v>
      </c>
      <c r="AD95" s="222">
        <v>0</v>
      </c>
      <c r="AE95" s="222">
        <v>466.12</v>
      </c>
      <c r="AF95" s="221">
        <f t="shared" ref="AF95:AF104" si="10">6238.91*AE95/I95</f>
        <v>449.74957148159604</v>
      </c>
      <c r="AG95" s="222">
        <v>0</v>
      </c>
      <c r="AH95" s="221">
        <v>0</v>
      </c>
      <c r="AI95" s="222">
        <v>0</v>
      </c>
      <c r="AJ95" s="221">
        <v>0</v>
      </c>
      <c r="AK95" s="222">
        <v>0</v>
      </c>
      <c r="AL95" s="222">
        <v>0</v>
      </c>
      <c r="AM95" s="222">
        <v>0</v>
      </c>
      <c r="AN95" s="222"/>
      <c r="AO95" s="222">
        <v>0</v>
      </c>
    </row>
    <row r="96" spans="1:41" s="223" customFormat="1" ht="36" customHeight="1" x14ac:dyDescent="0.25">
      <c r="A96" s="223">
        <v>1</v>
      </c>
      <c r="B96" s="225">
        <f>SUBTOTAL(103,$A$16:A96)</f>
        <v>81</v>
      </c>
      <c r="C96" s="215" t="s">
        <v>1527</v>
      </c>
      <c r="D96" s="217">
        <v>1976</v>
      </c>
      <c r="E96" s="217"/>
      <c r="F96" s="226" t="s">
        <v>267</v>
      </c>
      <c r="G96" s="217">
        <v>3</v>
      </c>
      <c r="H96" s="217" t="s">
        <v>303</v>
      </c>
      <c r="I96" s="190">
        <v>1178.4000000000001</v>
      </c>
      <c r="J96" s="190">
        <v>1080.5</v>
      </c>
      <c r="K96" s="190">
        <v>1080.5</v>
      </c>
      <c r="L96" s="219">
        <v>59</v>
      </c>
      <c r="M96" s="217" t="s">
        <v>265</v>
      </c>
      <c r="N96" s="217" t="s">
        <v>269</v>
      </c>
      <c r="O96" s="220" t="s">
        <v>1380</v>
      </c>
      <c r="P96" s="190">
        <v>1913423.73</v>
      </c>
      <c r="Q96" s="190">
        <v>0</v>
      </c>
      <c r="R96" s="190">
        <v>0</v>
      </c>
      <c r="S96" s="190">
        <f t="shared" si="7"/>
        <v>1913423.73</v>
      </c>
      <c r="T96" s="190">
        <f t="shared" si="6"/>
        <v>1623.7472250509163</v>
      </c>
      <c r="U96" s="190">
        <v>2805.4239646978954</v>
      </c>
      <c r="V96" s="221">
        <f t="shared" si="8"/>
        <v>1181.6767396469791</v>
      </c>
      <c r="W96" s="221">
        <f t="shared" si="9"/>
        <v>4547.8816106585191</v>
      </c>
      <c r="X96" s="221">
        <v>0</v>
      </c>
      <c r="Y96" s="222">
        <v>0</v>
      </c>
      <c r="Z96" s="222">
        <v>0</v>
      </c>
      <c r="AA96" s="222">
        <v>0</v>
      </c>
      <c r="AB96" s="222">
        <v>0</v>
      </c>
      <c r="AC96" s="222">
        <v>0</v>
      </c>
      <c r="AD96" s="222">
        <v>0</v>
      </c>
      <c r="AE96" s="222">
        <v>859</v>
      </c>
      <c r="AF96" s="221">
        <f t="shared" si="10"/>
        <v>4547.8816106585191</v>
      </c>
      <c r="AG96" s="222">
        <v>0</v>
      </c>
      <c r="AH96" s="221">
        <v>0</v>
      </c>
      <c r="AI96" s="222">
        <v>0</v>
      </c>
      <c r="AJ96" s="221">
        <v>0</v>
      </c>
      <c r="AK96" s="222">
        <v>0</v>
      </c>
      <c r="AL96" s="222">
        <v>0</v>
      </c>
      <c r="AM96" s="222">
        <v>0</v>
      </c>
      <c r="AN96" s="222"/>
      <c r="AO96" s="222">
        <v>0</v>
      </c>
    </row>
    <row r="97" spans="1:41" s="223" customFormat="1" ht="36" customHeight="1" x14ac:dyDescent="0.25">
      <c r="A97" s="223">
        <v>1</v>
      </c>
      <c r="B97" s="225">
        <f>SUBTOTAL(103,$A$16:A97)</f>
        <v>82</v>
      </c>
      <c r="C97" s="215" t="s">
        <v>1581</v>
      </c>
      <c r="D97" s="217">
        <v>1959</v>
      </c>
      <c r="E97" s="217"/>
      <c r="F97" s="226" t="s">
        <v>267</v>
      </c>
      <c r="G97" s="217">
        <v>2</v>
      </c>
      <c r="H97" s="217" t="s">
        <v>303</v>
      </c>
      <c r="I97" s="190">
        <v>595.5</v>
      </c>
      <c r="J97" s="190">
        <v>548.5</v>
      </c>
      <c r="K97" s="190">
        <v>548.5</v>
      </c>
      <c r="L97" s="219">
        <v>41</v>
      </c>
      <c r="M97" s="217" t="s">
        <v>265</v>
      </c>
      <c r="N97" s="217" t="s">
        <v>269</v>
      </c>
      <c r="O97" s="220" t="s">
        <v>1380</v>
      </c>
      <c r="P97" s="190">
        <v>1963557.73</v>
      </c>
      <c r="Q97" s="190">
        <v>0</v>
      </c>
      <c r="R97" s="190">
        <v>0</v>
      </c>
      <c r="S97" s="190">
        <f t="shared" si="7"/>
        <v>1963557.73</v>
      </c>
      <c r="T97" s="190">
        <f t="shared" si="6"/>
        <v>3297.3261628883292</v>
      </c>
      <c r="U97" s="190">
        <v>5478.2703778337527</v>
      </c>
      <c r="V97" s="221">
        <f t="shared" si="8"/>
        <v>2180.9442149454235</v>
      </c>
      <c r="W97" s="221">
        <f t="shared" si="9"/>
        <v>10521.809089840468</v>
      </c>
      <c r="X97" s="221">
        <v>0</v>
      </c>
      <c r="Y97" s="222">
        <v>0</v>
      </c>
      <c r="Z97" s="222">
        <v>0</v>
      </c>
      <c r="AA97" s="222">
        <v>0</v>
      </c>
      <c r="AB97" s="222">
        <v>0</v>
      </c>
      <c r="AC97" s="222">
        <v>0</v>
      </c>
      <c r="AD97" s="222">
        <v>0</v>
      </c>
      <c r="AE97" s="222">
        <v>1004.3</v>
      </c>
      <c r="AF97" s="221">
        <f t="shared" si="10"/>
        <v>10521.809089840468</v>
      </c>
      <c r="AG97" s="222">
        <v>0</v>
      </c>
      <c r="AH97" s="221">
        <v>0</v>
      </c>
      <c r="AI97" s="222">
        <v>0</v>
      </c>
      <c r="AJ97" s="221">
        <v>0</v>
      </c>
      <c r="AK97" s="222">
        <v>0</v>
      </c>
      <c r="AL97" s="222">
        <v>0</v>
      </c>
      <c r="AM97" s="222">
        <v>0</v>
      </c>
      <c r="AN97" s="222"/>
      <c r="AO97" s="222">
        <v>0</v>
      </c>
    </row>
    <row r="98" spans="1:41" s="223" customFormat="1" ht="36" customHeight="1" x14ac:dyDescent="0.25">
      <c r="A98" s="223">
        <v>1</v>
      </c>
      <c r="B98" s="225">
        <f>SUBTOTAL(103,$A$16:A98)</f>
        <v>83</v>
      </c>
      <c r="C98" s="215" t="s">
        <v>1583</v>
      </c>
      <c r="D98" s="217">
        <v>1970</v>
      </c>
      <c r="E98" s="217"/>
      <c r="F98" s="226" t="s">
        <v>267</v>
      </c>
      <c r="G98" s="217">
        <v>5</v>
      </c>
      <c r="H98" s="217" t="s">
        <v>308</v>
      </c>
      <c r="I98" s="190">
        <v>12297.5</v>
      </c>
      <c r="J98" s="190">
        <v>3386.1</v>
      </c>
      <c r="K98" s="190">
        <v>3386.1</v>
      </c>
      <c r="L98" s="219">
        <v>153</v>
      </c>
      <c r="M98" s="217" t="s">
        <v>265</v>
      </c>
      <c r="N98" s="217" t="s">
        <v>269</v>
      </c>
      <c r="O98" s="220" t="s">
        <v>1587</v>
      </c>
      <c r="P98" s="190">
        <v>86742.97</v>
      </c>
      <c r="Q98" s="190">
        <v>0</v>
      </c>
      <c r="R98" s="190">
        <v>0</v>
      </c>
      <c r="S98" s="190">
        <f t="shared" si="7"/>
        <v>86742.97</v>
      </c>
      <c r="T98" s="190">
        <f t="shared" si="6"/>
        <v>7.0537076641593819</v>
      </c>
      <c r="U98" s="190">
        <v>7.0537076641593819</v>
      </c>
      <c r="V98" s="221">
        <f t="shared" si="8"/>
        <v>0</v>
      </c>
      <c r="W98" s="221">
        <f t="shared" si="9"/>
        <v>521.79052124415523</v>
      </c>
      <c r="X98" s="221">
        <v>0</v>
      </c>
      <c r="Y98" s="222">
        <v>0</v>
      </c>
      <c r="Z98" s="222">
        <v>0</v>
      </c>
      <c r="AA98" s="222">
        <v>0</v>
      </c>
      <c r="AB98" s="222">
        <v>0</v>
      </c>
      <c r="AC98" s="222">
        <v>0</v>
      </c>
      <c r="AD98" s="222">
        <v>0</v>
      </c>
      <c r="AE98" s="222">
        <v>1028.5</v>
      </c>
      <c r="AF98" s="221">
        <f t="shared" si="10"/>
        <v>521.79052124415523</v>
      </c>
      <c r="AG98" s="222">
        <v>0</v>
      </c>
      <c r="AH98" s="221">
        <v>0</v>
      </c>
      <c r="AI98" s="222">
        <v>0</v>
      </c>
      <c r="AJ98" s="221">
        <v>0</v>
      </c>
      <c r="AK98" s="222">
        <v>0</v>
      </c>
      <c r="AL98" s="222">
        <v>0</v>
      </c>
      <c r="AM98" s="222">
        <v>0</v>
      </c>
      <c r="AN98" s="222"/>
      <c r="AO98" s="222">
        <v>0</v>
      </c>
    </row>
    <row r="99" spans="1:41" s="223" customFormat="1" ht="36" customHeight="1" x14ac:dyDescent="0.25">
      <c r="A99" s="223">
        <v>1</v>
      </c>
      <c r="B99" s="225">
        <f>SUBTOTAL(103,$A$16:A99)</f>
        <v>84</v>
      </c>
      <c r="C99" s="215" t="s">
        <v>1585</v>
      </c>
      <c r="D99" s="217">
        <v>1961</v>
      </c>
      <c r="E99" s="217"/>
      <c r="F99" s="226" t="s">
        <v>267</v>
      </c>
      <c r="G99" s="217">
        <v>4</v>
      </c>
      <c r="H99" s="217" t="s">
        <v>303</v>
      </c>
      <c r="I99" s="190">
        <v>1732.3</v>
      </c>
      <c r="J99" s="190">
        <v>1276.7</v>
      </c>
      <c r="K99" s="190">
        <v>1276.7</v>
      </c>
      <c r="L99" s="219">
        <v>59</v>
      </c>
      <c r="M99" s="217" t="s">
        <v>265</v>
      </c>
      <c r="N99" s="217" t="s">
        <v>269</v>
      </c>
      <c r="O99" s="220" t="s">
        <v>1588</v>
      </c>
      <c r="P99" s="190">
        <v>70589.929999999993</v>
      </c>
      <c r="Q99" s="190">
        <v>0</v>
      </c>
      <c r="R99" s="190">
        <v>0</v>
      </c>
      <c r="S99" s="190">
        <f t="shared" si="7"/>
        <v>70589.929999999993</v>
      </c>
      <c r="T99" s="190">
        <f t="shared" si="6"/>
        <v>40.749252438953988</v>
      </c>
      <c r="U99" s="190">
        <v>40.749252438953988</v>
      </c>
      <c r="V99" s="221">
        <f t="shared" si="8"/>
        <v>0</v>
      </c>
      <c r="W99" s="221">
        <f t="shared" si="9"/>
        <v>1205.7882976389772</v>
      </c>
      <c r="X99" s="221">
        <v>0</v>
      </c>
      <c r="Y99" s="222">
        <v>0</v>
      </c>
      <c r="Z99" s="222">
        <v>0</v>
      </c>
      <c r="AA99" s="222">
        <v>0</v>
      </c>
      <c r="AB99" s="222">
        <v>0</v>
      </c>
      <c r="AC99" s="222">
        <v>0</v>
      </c>
      <c r="AD99" s="222">
        <v>0</v>
      </c>
      <c r="AE99" s="222">
        <v>334.8</v>
      </c>
      <c r="AF99" s="221">
        <f t="shared" si="10"/>
        <v>1205.7882976389772</v>
      </c>
      <c r="AG99" s="222">
        <v>0</v>
      </c>
      <c r="AH99" s="221">
        <v>0</v>
      </c>
      <c r="AI99" s="222">
        <v>0</v>
      </c>
      <c r="AJ99" s="221">
        <v>0</v>
      </c>
      <c r="AK99" s="222">
        <v>0</v>
      </c>
      <c r="AL99" s="222">
        <v>0</v>
      </c>
      <c r="AM99" s="222">
        <v>0</v>
      </c>
      <c r="AN99" s="222"/>
      <c r="AO99" s="222">
        <v>0</v>
      </c>
    </row>
    <row r="100" spans="1:41" s="223" customFormat="1" ht="36" customHeight="1" x14ac:dyDescent="0.25">
      <c r="A100" s="223">
        <v>1</v>
      </c>
      <c r="B100" s="225">
        <f>SUBTOTAL(103,$A$16:A100)</f>
        <v>85</v>
      </c>
      <c r="C100" s="215" t="s">
        <v>1586</v>
      </c>
      <c r="D100" s="217">
        <v>1953</v>
      </c>
      <c r="E100" s="217"/>
      <c r="F100" s="226" t="s">
        <v>267</v>
      </c>
      <c r="G100" s="217">
        <v>2</v>
      </c>
      <c r="H100" s="217" t="s">
        <v>303</v>
      </c>
      <c r="I100" s="190">
        <v>688.9</v>
      </c>
      <c r="J100" s="190">
        <v>620.29999999999995</v>
      </c>
      <c r="K100" s="190">
        <v>620.29999999999995</v>
      </c>
      <c r="L100" s="219">
        <v>39</v>
      </c>
      <c r="M100" s="217" t="s">
        <v>265</v>
      </c>
      <c r="N100" s="217" t="s">
        <v>269</v>
      </c>
      <c r="O100" s="220" t="s">
        <v>349</v>
      </c>
      <c r="P100" s="190">
        <v>2062889.95</v>
      </c>
      <c r="Q100" s="190">
        <v>0</v>
      </c>
      <c r="R100" s="190">
        <v>0</v>
      </c>
      <c r="S100" s="190">
        <f t="shared" si="7"/>
        <v>2062889.95</v>
      </c>
      <c r="T100" s="190">
        <f t="shared" si="6"/>
        <v>2994.4693714617506</v>
      </c>
      <c r="U100" s="190">
        <v>8422.8451154013655</v>
      </c>
      <c r="V100" s="221">
        <f t="shared" si="8"/>
        <v>5428.3757439396149</v>
      </c>
      <c r="W100" s="221">
        <f t="shared" si="9"/>
        <v>14354.292858179706</v>
      </c>
      <c r="X100" s="221">
        <v>0</v>
      </c>
      <c r="Y100" s="222">
        <v>0</v>
      </c>
      <c r="Z100" s="222">
        <v>0</v>
      </c>
      <c r="AA100" s="222">
        <v>0</v>
      </c>
      <c r="AB100" s="222">
        <v>0</v>
      </c>
      <c r="AC100" s="222">
        <v>0</v>
      </c>
      <c r="AD100" s="222">
        <v>0</v>
      </c>
      <c r="AE100" s="222">
        <v>1585</v>
      </c>
      <c r="AF100" s="221">
        <f t="shared" si="10"/>
        <v>14354.292858179706</v>
      </c>
      <c r="AG100" s="222">
        <v>0</v>
      </c>
      <c r="AH100" s="221">
        <v>0</v>
      </c>
      <c r="AI100" s="222">
        <v>0</v>
      </c>
      <c r="AJ100" s="221">
        <v>0</v>
      </c>
      <c r="AK100" s="222">
        <v>0</v>
      </c>
      <c r="AL100" s="222">
        <v>0</v>
      </c>
      <c r="AM100" s="222">
        <v>0</v>
      </c>
      <c r="AN100" s="222"/>
      <c r="AO100" s="222">
        <v>0</v>
      </c>
    </row>
    <row r="101" spans="1:41" s="223" customFormat="1" ht="36" customHeight="1" x14ac:dyDescent="0.25">
      <c r="A101" s="223">
        <v>1</v>
      </c>
      <c r="B101" s="225">
        <f>SUBTOTAL(103,$A$16:A101)</f>
        <v>86</v>
      </c>
      <c r="C101" s="215" t="s">
        <v>1608</v>
      </c>
      <c r="D101" s="217">
        <v>1959</v>
      </c>
      <c r="E101" s="217"/>
      <c r="F101" s="226" t="s">
        <v>267</v>
      </c>
      <c r="G101" s="217">
        <v>2</v>
      </c>
      <c r="H101" s="217" t="s">
        <v>304</v>
      </c>
      <c r="I101" s="190">
        <v>452.5</v>
      </c>
      <c r="J101" s="190">
        <v>412.6</v>
      </c>
      <c r="K101" s="190">
        <v>412.6</v>
      </c>
      <c r="L101" s="219">
        <v>20</v>
      </c>
      <c r="M101" s="217" t="s">
        <v>265</v>
      </c>
      <c r="N101" s="217" t="s">
        <v>269</v>
      </c>
      <c r="O101" s="220" t="s">
        <v>1383</v>
      </c>
      <c r="P101" s="190">
        <v>1414038.2200000002</v>
      </c>
      <c r="Q101" s="190">
        <v>0</v>
      </c>
      <c r="R101" s="190">
        <v>0</v>
      </c>
      <c r="S101" s="190">
        <f t="shared" si="7"/>
        <v>1414038.2200000002</v>
      </c>
      <c r="T101" s="190">
        <f t="shared" si="6"/>
        <v>3124.9463425414369</v>
      </c>
      <c r="U101" s="190">
        <v>4156.299005524862</v>
      </c>
      <c r="V101" s="221">
        <f t="shared" si="8"/>
        <v>1031.352662983425</v>
      </c>
      <c r="W101" s="221">
        <f t="shared" si="9"/>
        <v>22934.37103646409</v>
      </c>
      <c r="X101" s="221">
        <v>0</v>
      </c>
      <c r="Y101" s="222">
        <v>0</v>
      </c>
      <c r="Z101" s="222">
        <v>0</v>
      </c>
      <c r="AA101" s="222">
        <v>0</v>
      </c>
      <c r="AB101" s="222">
        <v>0</v>
      </c>
      <c r="AC101" s="222">
        <v>0</v>
      </c>
      <c r="AD101" s="222">
        <v>0</v>
      </c>
      <c r="AE101" s="222">
        <v>1663.4</v>
      </c>
      <c r="AF101" s="221">
        <f t="shared" si="10"/>
        <v>22934.37103646409</v>
      </c>
      <c r="AG101" s="222">
        <v>0</v>
      </c>
      <c r="AH101" s="221">
        <v>0</v>
      </c>
      <c r="AI101" s="222">
        <v>0</v>
      </c>
      <c r="AJ101" s="221">
        <v>0</v>
      </c>
      <c r="AK101" s="222">
        <v>0</v>
      </c>
      <c r="AL101" s="222">
        <v>0</v>
      </c>
      <c r="AM101" s="222">
        <v>0</v>
      </c>
      <c r="AN101" s="222"/>
      <c r="AO101" s="222">
        <v>0</v>
      </c>
    </row>
    <row r="102" spans="1:41" s="223" customFormat="1" ht="36" customHeight="1" x14ac:dyDescent="0.25">
      <c r="A102" s="223">
        <v>1</v>
      </c>
      <c r="B102" s="225">
        <f>SUBTOTAL(103,$A$16:A102)</f>
        <v>87</v>
      </c>
      <c r="C102" s="215" t="s">
        <v>1609</v>
      </c>
      <c r="D102" s="217">
        <v>1984</v>
      </c>
      <c r="E102" s="217"/>
      <c r="F102" s="226" t="s">
        <v>311</v>
      </c>
      <c r="G102" s="217">
        <v>14</v>
      </c>
      <c r="H102" s="217" t="s">
        <v>304</v>
      </c>
      <c r="I102" s="190">
        <v>4285.8999999999996</v>
      </c>
      <c r="J102" s="190">
        <v>4285.8999999999996</v>
      </c>
      <c r="K102" s="190">
        <v>4230</v>
      </c>
      <c r="L102" s="219">
        <v>208</v>
      </c>
      <c r="M102" s="217" t="s">
        <v>265</v>
      </c>
      <c r="N102" s="217" t="s">
        <v>269</v>
      </c>
      <c r="O102" s="220" t="s">
        <v>1382</v>
      </c>
      <c r="P102" s="190">
        <v>2070332.01</v>
      </c>
      <c r="Q102" s="190">
        <v>0</v>
      </c>
      <c r="R102" s="190">
        <v>0</v>
      </c>
      <c r="S102" s="190">
        <f t="shared" si="7"/>
        <v>2070332.01</v>
      </c>
      <c r="T102" s="190">
        <f t="shared" si="6"/>
        <v>483.05653655008285</v>
      </c>
      <c r="U102" s="190">
        <v>712.14704029492066</v>
      </c>
      <c r="V102" s="221">
        <f t="shared" si="8"/>
        <v>229.0905037448378</v>
      </c>
      <c r="W102" s="221">
        <f t="shared" si="9"/>
        <v>739.48675424064959</v>
      </c>
      <c r="X102" s="221">
        <v>0</v>
      </c>
      <c r="Y102" s="222">
        <v>0</v>
      </c>
      <c r="Z102" s="222">
        <v>0</v>
      </c>
      <c r="AA102" s="222">
        <v>0</v>
      </c>
      <c r="AB102" s="222">
        <v>0</v>
      </c>
      <c r="AC102" s="222">
        <v>0</v>
      </c>
      <c r="AD102" s="222">
        <v>0</v>
      </c>
      <c r="AE102" s="222">
        <v>508</v>
      </c>
      <c r="AF102" s="221">
        <f t="shared" si="10"/>
        <v>739.48675424064959</v>
      </c>
      <c r="AG102" s="222">
        <v>0</v>
      </c>
      <c r="AH102" s="221">
        <v>0</v>
      </c>
      <c r="AI102" s="222">
        <v>0</v>
      </c>
      <c r="AJ102" s="221">
        <v>0</v>
      </c>
      <c r="AK102" s="222">
        <v>0</v>
      </c>
      <c r="AL102" s="222">
        <v>0</v>
      </c>
      <c r="AM102" s="222">
        <v>0</v>
      </c>
      <c r="AN102" s="222"/>
      <c r="AO102" s="222">
        <v>0</v>
      </c>
    </row>
    <row r="103" spans="1:41" s="223" customFormat="1" ht="36" customHeight="1" x14ac:dyDescent="0.25">
      <c r="A103" s="223">
        <v>1</v>
      </c>
      <c r="B103" s="225">
        <f>SUBTOTAL(103,$A$16:A103)</f>
        <v>88</v>
      </c>
      <c r="C103" s="215" t="s">
        <v>1119</v>
      </c>
      <c r="D103" s="217">
        <v>1962</v>
      </c>
      <c r="E103" s="217"/>
      <c r="F103" s="226" t="s">
        <v>267</v>
      </c>
      <c r="G103" s="217">
        <v>4</v>
      </c>
      <c r="H103" s="217" t="s">
        <v>312</v>
      </c>
      <c r="I103" s="190">
        <v>2135.9</v>
      </c>
      <c r="J103" s="190">
        <v>1990.6</v>
      </c>
      <c r="K103" s="190">
        <v>1990.6</v>
      </c>
      <c r="L103" s="219">
        <v>103</v>
      </c>
      <c r="M103" s="217" t="s">
        <v>265</v>
      </c>
      <c r="N103" s="217" t="s">
        <v>269</v>
      </c>
      <c r="O103" s="220" t="s">
        <v>1639</v>
      </c>
      <c r="P103" s="190">
        <v>3278227.2600000002</v>
      </c>
      <c r="Q103" s="190">
        <v>0</v>
      </c>
      <c r="R103" s="190">
        <v>0</v>
      </c>
      <c r="S103" s="190">
        <f t="shared" si="7"/>
        <v>3278227.2600000002</v>
      </c>
      <c r="T103" s="190">
        <f t="shared" si="6"/>
        <v>1534.8224448710146</v>
      </c>
      <c r="U103" s="190">
        <v>6194.315908984503</v>
      </c>
      <c r="V103" s="221">
        <f t="shared" si="8"/>
        <v>4659.4934641134887</v>
      </c>
      <c r="W103" s="221">
        <f t="shared" si="9"/>
        <v>1039.8670162460789</v>
      </c>
      <c r="X103" s="221">
        <v>0</v>
      </c>
      <c r="Y103" s="222">
        <v>0</v>
      </c>
      <c r="Z103" s="222">
        <v>0</v>
      </c>
      <c r="AA103" s="222">
        <v>0</v>
      </c>
      <c r="AB103" s="222">
        <v>0</v>
      </c>
      <c r="AC103" s="222">
        <v>0</v>
      </c>
      <c r="AD103" s="222">
        <v>0</v>
      </c>
      <c r="AE103" s="222">
        <v>356</v>
      </c>
      <c r="AF103" s="221">
        <f t="shared" si="10"/>
        <v>1039.8670162460789</v>
      </c>
      <c r="AG103" s="222">
        <v>0</v>
      </c>
      <c r="AH103" s="221">
        <v>0</v>
      </c>
      <c r="AI103" s="222">
        <v>0</v>
      </c>
      <c r="AJ103" s="221">
        <v>0</v>
      </c>
      <c r="AK103" s="222">
        <v>0</v>
      </c>
      <c r="AL103" s="222">
        <v>0</v>
      </c>
      <c r="AM103" s="222">
        <v>0</v>
      </c>
      <c r="AN103" s="222"/>
      <c r="AO103" s="222">
        <v>0</v>
      </c>
    </row>
    <row r="104" spans="1:41" s="223" customFormat="1" ht="36" customHeight="1" x14ac:dyDescent="0.25">
      <c r="A104" s="223">
        <v>1</v>
      </c>
      <c r="B104" s="225">
        <f>SUBTOTAL(103,$A$16:A104)</f>
        <v>89</v>
      </c>
      <c r="C104" s="215" t="s">
        <v>532</v>
      </c>
      <c r="D104" s="217">
        <v>1994</v>
      </c>
      <c r="E104" s="217"/>
      <c r="F104" s="226" t="s">
        <v>311</v>
      </c>
      <c r="G104" s="217">
        <v>9</v>
      </c>
      <c r="H104" s="217" t="s">
        <v>304</v>
      </c>
      <c r="I104" s="190">
        <v>2342.1999999999998</v>
      </c>
      <c r="J104" s="190">
        <v>2320.3000000000002</v>
      </c>
      <c r="K104" s="190">
        <v>2280.8000000000002</v>
      </c>
      <c r="L104" s="219">
        <v>147</v>
      </c>
      <c r="M104" s="217" t="s">
        <v>265</v>
      </c>
      <c r="N104" s="217" t="s">
        <v>269</v>
      </c>
      <c r="O104" s="220" t="s">
        <v>1382</v>
      </c>
      <c r="P104" s="190">
        <v>1702747.3199999998</v>
      </c>
      <c r="Q104" s="190">
        <v>0</v>
      </c>
      <c r="R104" s="190">
        <v>0</v>
      </c>
      <c r="S104" s="190">
        <f t="shared" si="7"/>
        <v>1702747.3199999998</v>
      </c>
      <c r="T104" s="190">
        <f t="shared" si="6"/>
        <v>726.98630347536505</v>
      </c>
      <c r="U104" s="190">
        <v>1049.355306976347</v>
      </c>
      <c r="V104" s="221">
        <f t="shared" si="8"/>
        <v>322.36900350098199</v>
      </c>
      <c r="W104" s="221">
        <f t="shared" si="9"/>
        <v>2980.676411066519</v>
      </c>
      <c r="X104" s="221">
        <v>0</v>
      </c>
      <c r="Y104" s="222">
        <v>0</v>
      </c>
      <c r="Z104" s="222">
        <v>0</v>
      </c>
      <c r="AA104" s="222">
        <v>0</v>
      </c>
      <c r="AB104" s="222">
        <v>0</v>
      </c>
      <c r="AC104" s="222">
        <v>0</v>
      </c>
      <c r="AD104" s="222">
        <v>0</v>
      </c>
      <c r="AE104" s="222">
        <v>1119</v>
      </c>
      <c r="AF104" s="221">
        <f t="shared" si="10"/>
        <v>2980.676411066519</v>
      </c>
      <c r="AG104" s="222">
        <v>0</v>
      </c>
      <c r="AH104" s="221">
        <v>0</v>
      </c>
      <c r="AI104" s="222">
        <v>0</v>
      </c>
      <c r="AJ104" s="221">
        <v>0</v>
      </c>
      <c r="AK104" s="222">
        <v>0</v>
      </c>
      <c r="AL104" s="222">
        <v>0</v>
      </c>
      <c r="AM104" s="222">
        <v>0</v>
      </c>
      <c r="AN104" s="222"/>
      <c r="AO104" s="222">
        <v>0</v>
      </c>
    </row>
    <row r="105" spans="1:41" s="223" customFormat="1" ht="36" customHeight="1" x14ac:dyDescent="0.25">
      <c r="A105" s="223">
        <v>1</v>
      </c>
      <c r="B105" s="225">
        <f>SUBTOTAL(103,$A$16:A105)</f>
        <v>90</v>
      </c>
      <c r="C105" s="215" t="s">
        <v>533</v>
      </c>
      <c r="D105" s="217">
        <v>1995</v>
      </c>
      <c r="E105" s="217"/>
      <c r="F105" s="226" t="s">
        <v>311</v>
      </c>
      <c r="G105" s="217">
        <v>9</v>
      </c>
      <c r="H105" s="217" t="s">
        <v>304</v>
      </c>
      <c r="I105" s="190">
        <v>3212.7</v>
      </c>
      <c r="J105" s="190">
        <v>2297.9</v>
      </c>
      <c r="K105" s="190">
        <v>2290.8000000000002</v>
      </c>
      <c r="L105" s="219">
        <v>116</v>
      </c>
      <c r="M105" s="217" t="s">
        <v>265</v>
      </c>
      <c r="N105" s="217" t="s">
        <v>269</v>
      </c>
      <c r="O105" s="220" t="s">
        <v>1382</v>
      </c>
      <c r="P105" s="190">
        <v>1698388.8199999998</v>
      </c>
      <c r="Q105" s="190">
        <v>0</v>
      </c>
      <c r="R105" s="190">
        <v>0</v>
      </c>
      <c r="S105" s="190">
        <f t="shared" si="7"/>
        <v>1698388.8199999998</v>
      </c>
      <c r="T105" s="190">
        <f t="shared" si="6"/>
        <v>528.64843278239482</v>
      </c>
      <c r="U105" s="190">
        <v>765.02630186447539</v>
      </c>
      <c r="V105" s="221">
        <f t="shared" si="8"/>
        <v>236.37786908208057</v>
      </c>
      <c r="W105" s="221">
        <f t="shared" si="9"/>
        <v>3042.6050985152679</v>
      </c>
      <c r="X105" s="221">
        <v>0</v>
      </c>
      <c r="Y105" s="222">
        <v>0</v>
      </c>
      <c r="Z105" s="222">
        <v>0</v>
      </c>
      <c r="AA105" s="222">
        <v>0</v>
      </c>
      <c r="AB105" s="222">
        <v>0</v>
      </c>
      <c r="AC105" s="222">
        <v>0</v>
      </c>
      <c r="AD105" s="222">
        <v>0</v>
      </c>
      <c r="AE105" s="222">
        <v>0</v>
      </c>
      <c r="AF105" s="221">
        <v>0</v>
      </c>
      <c r="AG105" s="222">
        <v>0</v>
      </c>
      <c r="AH105" s="221">
        <v>0</v>
      </c>
      <c r="AI105" s="222">
        <v>1314</v>
      </c>
      <c r="AJ105" s="221">
        <f>7439.1*AI105/I105</f>
        <v>3042.6050985152679</v>
      </c>
      <c r="AK105" s="222">
        <v>0</v>
      </c>
      <c r="AL105" s="222">
        <v>0</v>
      </c>
      <c r="AM105" s="222">
        <v>0</v>
      </c>
      <c r="AN105" s="222"/>
      <c r="AO105" s="222">
        <v>0</v>
      </c>
    </row>
    <row r="106" spans="1:41" s="223" customFormat="1" ht="36" customHeight="1" x14ac:dyDescent="0.25">
      <c r="A106" s="223">
        <v>1</v>
      </c>
      <c r="B106" s="225">
        <f>SUBTOTAL(103,$A$16:A106)</f>
        <v>91</v>
      </c>
      <c r="C106" s="215" t="s">
        <v>1373</v>
      </c>
      <c r="D106" s="217">
        <v>1986</v>
      </c>
      <c r="E106" s="217"/>
      <c r="F106" s="226" t="s">
        <v>311</v>
      </c>
      <c r="G106" s="217">
        <v>9</v>
      </c>
      <c r="H106" s="217" t="s">
        <v>371</v>
      </c>
      <c r="I106" s="190">
        <v>14807.8</v>
      </c>
      <c r="J106" s="190">
        <v>11520.6</v>
      </c>
      <c r="K106" s="190">
        <v>11520.6</v>
      </c>
      <c r="L106" s="219">
        <v>529</v>
      </c>
      <c r="M106" s="217" t="s">
        <v>265</v>
      </c>
      <c r="N106" s="217" t="s">
        <v>269</v>
      </c>
      <c r="O106" s="220" t="s">
        <v>1086</v>
      </c>
      <c r="P106" s="190">
        <v>9902722.7999999989</v>
      </c>
      <c r="Q106" s="190">
        <v>0</v>
      </c>
      <c r="R106" s="190">
        <v>0</v>
      </c>
      <c r="S106" s="190">
        <f t="shared" si="7"/>
        <v>9902722.7999999989</v>
      </c>
      <c r="T106" s="190">
        <f t="shared" si="6"/>
        <v>668.75044233444532</v>
      </c>
      <c r="U106" s="190">
        <v>995.88054944015994</v>
      </c>
      <c r="V106" s="221">
        <f t="shared" si="8"/>
        <v>327.13010710571461</v>
      </c>
      <c r="W106" s="221">
        <f t="shared" si="9"/>
        <v>297.87742743689137</v>
      </c>
      <c r="X106" s="221">
        <v>0</v>
      </c>
      <c r="Y106" s="222">
        <v>0</v>
      </c>
      <c r="Z106" s="222">
        <v>0</v>
      </c>
      <c r="AA106" s="222">
        <v>0</v>
      </c>
      <c r="AB106" s="222">
        <v>0</v>
      </c>
      <c r="AC106" s="222">
        <v>0</v>
      </c>
      <c r="AD106" s="222">
        <v>0</v>
      </c>
      <c r="AE106" s="222">
        <v>707</v>
      </c>
      <c r="AF106" s="221">
        <f>6238.91*AE106/I106</f>
        <v>297.87742743689137</v>
      </c>
      <c r="AG106" s="222">
        <v>0</v>
      </c>
      <c r="AH106" s="221">
        <v>0</v>
      </c>
      <c r="AI106" s="222">
        <v>0</v>
      </c>
      <c r="AJ106" s="221">
        <v>0</v>
      </c>
      <c r="AK106" s="222">
        <v>0</v>
      </c>
      <c r="AL106" s="222">
        <v>0</v>
      </c>
      <c r="AM106" s="222">
        <v>0</v>
      </c>
      <c r="AN106" s="222"/>
      <c r="AO106" s="222">
        <v>0</v>
      </c>
    </row>
    <row r="107" spans="1:41" s="223" customFormat="1" ht="36" customHeight="1" x14ac:dyDescent="0.25">
      <c r="A107" s="223">
        <v>1</v>
      </c>
      <c r="B107" s="225">
        <f>SUBTOTAL(103,$A$16:A107)</f>
        <v>92</v>
      </c>
      <c r="C107" s="215" t="s">
        <v>547</v>
      </c>
      <c r="D107" s="217">
        <v>1993</v>
      </c>
      <c r="E107" s="217"/>
      <c r="F107" s="226" t="s">
        <v>267</v>
      </c>
      <c r="G107" s="217" t="s">
        <v>2268</v>
      </c>
      <c r="H107" s="217" t="s">
        <v>357</v>
      </c>
      <c r="I107" s="190">
        <v>14780.2</v>
      </c>
      <c r="J107" s="190">
        <v>12472.3</v>
      </c>
      <c r="K107" s="190">
        <v>9302.2999999999993</v>
      </c>
      <c r="L107" s="219">
        <v>342</v>
      </c>
      <c r="M107" s="217" t="s">
        <v>265</v>
      </c>
      <c r="N107" s="217" t="s">
        <v>269</v>
      </c>
      <c r="O107" s="220" t="s">
        <v>1086</v>
      </c>
      <c r="P107" s="190">
        <v>1918155.32</v>
      </c>
      <c r="Q107" s="190">
        <v>0</v>
      </c>
      <c r="R107" s="190">
        <v>0</v>
      </c>
      <c r="S107" s="190">
        <f t="shared" si="7"/>
        <v>1918155.32</v>
      </c>
      <c r="T107" s="190">
        <f t="shared" si="6"/>
        <v>129.7787120607299</v>
      </c>
      <c r="U107" s="190">
        <v>180.0962774522672</v>
      </c>
      <c r="V107" s="221">
        <f t="shared" si="8"/>
        <v>50.3175653915373</v>
      </c>
      <c r="W107" s="221">
        <f t="shared" si="9"/>
        <v>322.62507273243938</v>
      </c>
      <c r="X107" s="221">
        <v>0</v>
      </c>
      <c r="Y107" s="222">
        <v>0</v>
      </c>
      <c r="Z107" s="222">
        <v>0</v>
      </c>
      <c r="AA107" s="222">
        <v>0</v>
      </c>
      <c r="AB107" s="222">
        <v>0</v>
      </c>
      <c r="AC107" s="222">
        <v>0</v>
      </c>
      <c r="AD107" s="222">
        <v>0</v>
      </c>
      <c r="AE107" s="222">
        <v>0</v>
      </c>
      <c r="AF107" s="221">
        <v>0</v>
      </c>
      <c r="AG107" s="222">
        <v>0</v>
      </c>
      <c r="AH107" s="221">
        <v>0</v>
      </c>
      <c r="AI107" s="222">
        <v>641</v>
      </c>
      <c r="AJ107" s="221">
        <f>7439.1*AI107/I107</f>
        <v>322.62507273243938</v>
      </c>
      <c r="AK107" s="222"/>
      <c r="AL107" s="222">
        <v>0</v>
      </c>
      <c r="AM107" s="222">
        <v>0</v>
      </c>
      <c r="AN107" s="222"/>
      <c r="AO107" s="222">
        <v>0</v>
      </c>
    </row>
    <row r="108" spans="1:41" s="223" customFormat="1" ht="36" customHeight="1" x14ac:dyDescent="0.25">
      <c r="A108" s="223">
        <v>1</v>
      </c>
      <c r="B108" s="225">
        <f>SUBTOTAL(103,$A$16:A108)</f>
        <v>93</v>
      </c>
      <c r="C108" s="215" t="s">
        <v>1085</v>
      </c>
      <c r="D108" s="217">
        <v>1989</v>
      </c>
      <c r="E108" s="217"/>
      <c r="F108" s="226" t="s">
        <v>311</v>
      </c>
      <c r="G108" s="217">
        <v>9</v>
      </c>
      <c r="H108" s="217" t="s">
        <v>308</v>
      </c>
      <c r="I108" s="190">
        <v>10574</v>
      </c>
      <c r="J108" s="190">
        <v>7454.7</v>
      </c>
      <c r="K108" s="190">
        <v>7439.2</v>
      </c>
      <c r="L108" s="219">
        <v>312</v>
      </c>
      <c r="M108" s="217" t="s">
        <v>265</v>
      </c>
      <c r="N108" s="217" t="s">
        <v>269</v>
      </c>
      <c r="O108" s="220" t="s">
        <v>1086</v>
      </c>
      <c r="P108" s="190">
        <v>7396376.3500000006</v>
      </c>
      <c r="Q108" s="190">
        <v>0</v>
      </c>
      <c r="R108" s="190">
        <v>0</v>
      </c>
      <c r="S108" s="190">
        <f t="shared" si="7"/>
        <v>7396376.3500000006</v>
      </c>
      <c r="T108" s="190">
        <f t="shared" si="6"/>
        <v>699.48707679213169</v>
      </c>
      <c r="U108" s="190">
        <v>929.75222243238136</v>
      </c>
      <c r="V108" s="221">
        <f t="shared" si="8"/>
        <v>230.26514564024967</v>
      </c>
      <c r="W108" s="221">
        <f t="shared" si="9"/>
        <v>223.02893701532059</v>
      </c>
      <c r="X108" s="221">
        <v>0</v>
      </c>
      <c r="Y108" s="222">
        <v>0</v>
      </c>
      <c r="Z108" s="222">
        <v>0</v>
      </c>
      <c r="AA108" s="222">
        <v>0</v>
      </c>
      <c r="AB108" s="222">
        <v>0</v>
      </c>
      <c r="AC108" s="222">
        <v>0</v>
      </c>
      <c r="AD108" s="222">
        <v>0</v>
      </c>
      <c r="AE108" s="222">
        <v>378</v>
      </c>
      <c r="AF108" s="221">
        <f>6238.91*AE108/I108</f>
        <v>223.02893701532059</v>
      </c>
      <c r="AG108" s="222">
        <v>0</v>
      </c>
      <c r="AH108" s="221">
        <v>0</v>
      </c>
      <c r="AI108" s="222">
        <v>0</v>
      </c>
      <c r="AJ108" s="221">
        <v>0</v>
      </c>
      <c r="AK108" s="222">
        <v>0</v>
      </c>
      <c r="AL108" s="222">
        <v>0</v>
      </c>
      <c r="AM108" s="222">
        <v>0</v>
      </c>
      <c r="AN108" s="222"/>
      <c r="AO108" s="222">
        <v>0</v>
      </c>
    </row>
    <row r="109" spans="1:41" s="223" customFormat="1" ht="36" customHeight="1" x14ac:dyDescent="0.25">
      <c r="A109" s="223">
        <v>1</v>
      </c>
      <c r="B109" s="225">
        <f>SUBTOTAL(103,$A$16:A109)</f>
        <v>94</v>
      </c>
      <c r="C109" s="215" t="s">
        <v>555</v>
      </c>
      <c r="D109" s="217">
        <v>1973</v>
      </c>
      <c r="E109" s="217"/>
      <c r="F109" s="226" t="s">
        <v>311</v>
      </c>
      <c r="G109" s="217">
        <v>9</v>
      </c>
      <c r="H109" s="217" t="s">
        <v>304</v>
      </c>
      <c r="I109" s="190">
        <v>1914.68</v>
      </c>
      <c r="J109" s="190">
        <v>1914.68</v>
      </c>
      <c r="K109" s="190">
        <v>1914.68</v>
      </c>
      <c r="L109" s="219">
        <v>103</v>
      </c>
      <c r="M109" s="217" t="s">
        <v>265</v>
      </c>
      <c r="N109" s="217" t="s">
        <v>269</v>
      </c>
      <c r="O109" s="220" t="s">
        <v>1382</v>
      </c>
      <c r="P109" s="190">
        <v>1901891.1600000001</v>
      </c>
      <c r="Q109" s="190">
        <v>0</v>
      </c>
      <c r="R109" s="190">
        <v>0</v>
      </c>
      <c r="S109" s="190">
        <f t="shared" si="7"/>
        <v>1901891.1600000001</v>
      </c>
      <c r="T109" s="190">
        <f t="shared" si="6"/>
        <v>993.3206384356655</v>
      </c>
      <c r="U109" s="190">
        <v>1283.6609772912445</v>
      </c>
      <c r="V109" s="221">
        <f t="shared" si="8"/>
        <v>290.34033885557903</v>
      </c>
      <c r="W109" s="221">
        <f t="shared" si="9"/>
        <v>1594.0997973551716</v>
      </c>
      <c r="X109" s="221">
        <v>0</v>
      </c>
      <c r="Y109" s="222">
        <v>0</v>
      </c>
      <c r="Z109" s="222">
        <v>0</v>
      </c>
      <c r="AA109" s="222">
        <v>0</v>
      </c>
      <c r="AB109" s="222">
        <v>0</v>
      </c>
      <c r="AC109" s="222">
        <v>1</v>
      </c>
      <c r="AD109" s="221">
        <f>3052191*AC109/I109</f>
        <v>1594.0997973551716</v>
      </c>
      <c r="AE109" s="222">
        <v>0</v>
      </c>
      <c r="AF109" s="221">
        <v>0</v>
      </c>
      <c r="AG109" s="222">
        <v>0</v>
      </c>
      <c r="AH109" s="221">
        <v>0</v>
      </c>
      <c r="AI109" s="222">
        <v>0</v>
      </c>
      <c r="AJ109" s="221">
        <v>0</v>
      </c>
      <c r="AK109" s="222">
        <v>0</v>
      </c>
      <c r="AL109" s="222">
        <v>0</v>
      </c>
      <c r="AM109" s="222">
        <v>0</v>
      </c>
      <c r="AN109" s="222"/>
      <c r="AO109" s="222">
        <v>0</v>
      </c>
    </row>
    <row r="110" spans="1:41" s="223" customFormat="1" ht="36" customHeight="1" x14ac:dyDescent="0.25">
      <c r="A110" s="223">
        <v>1</v>
      </c>
      <c r="B110" s="225">
        <f>SUBTOTAL(103,$A$16:A110)</f>
        <v>95</v>
      </c>
      <c r="C110" s="215" t="s">
        <v>1116</v>
      </c>
      <c r="D110" s="217">
        <v>1960</v>
      </c>
      <c r="E110" s="217"/>
      <c r="F110" s="226" t="s">
        <v>1571</v>
      </c>
      <c r="G110" s="217" t="s">
        <v>312</v>
      </c>
      <c r="H110" s="217" t="s">
        <v>303</v>
      </c>
      <c r="I110" s="218">
        <v>969.7</v>
      </c>
      <c r="J110" s="218">
        <v>627.4</v>
      </c>
      <c r="K110" s="218">
        <v>627.4</v>
      </c>
      <c r="L110" s="219">
        <v>38</v>
      </c>
      <c r="M110" s="217" t="s">
        <v>265</v>
      </c>
      <c r="N110" s="217" t="s">
        <v>269</v>
      </c>
      <c r="O110" s="220" t="s">
        <v>2269</v>
      </c>
      <c r="P110" s="190">
        <v>814287.52</v>
      </c>
      <c r="Q110" s="190">
        <v>0</v>
      </c>
      <c r="R110" s="190">
        <v>0</v>
      </c>
      <c r="S110" s="190">
        <f t="shared" si="7"/>
        <v>814287.52</v>
      </c>
      <c r="T110" s="190">
        <f t="shared" si="6"/>
        <v>839.73138083943491</v>
      </c>
      <c r="U110" s="190">
        <v>3516.4531772713212</v>
      </c>
      <c r="V110" s="221">
        <f t="shared" si="8"/>
        <v>2676.7217964318861</v>
      </c>
      <c r="W110" s="221">
        <f t="shared" si="9"/>
        <v>13643.84794266268</v>
      </c>
      <c r="X110" s="221">
        <v>0</v>
      </c>
      <c r="Y110" s="222">
        <v>0</v>
      </c>
      <c r="Z110" s="222">
        <v>0</v>
      </c>
      <c r="AA110" s="222">
        <v>0</v>
      </c>
      <c r="AB110" s="222">
        <v>0</v>
      </c>
      <c r="AC110" s="222">
        <v>0</v>
      </c>
      <c r="AD110" s="222">
        <v>0</v>
      </c>
      <c r="AE110" s="222">
        <v>0</v>
      </c>
      <c r="AF110" s="221">
        <v>0</v>
      </c>
      <c r="AG110" s="222">
        <v>0</v>
      </c>
      <c r="AH110" s="221">
        <v>0</v>
      </c>
      <c r="AI110" s="222">
        <v>1778.5</v>
      </c>
      <c r="AJ110" s="221">
        <f>7439.1*AI110/I110</f>
        <v>13643.84794266268</v>
      </c>
      <c r="AK110" s="222">
        <v>0</v>
      </c>
      <c r="AL110" s="222">
        <v>0</v>
      </c>
      <c r="AM110" s="222">
        <v>0</v>
      </c>
      <c r="AN110" s="222"/>
      <c r="AO110" s="222">
        <v>0</v>
      </c>
    </row>
    <row r="111" spans="1:41" s="223" customFormat="1" ht="36" customHeight="1" x14ac:dyDescent="0.25">
      <c r="A111" s="223">
        <v>1</v>
      </c>
      <c r="B111" s="225">
        <f>SUBTOTAL(103,$A$16:A111)</f>
        <v>96</v>
      </c>
      <c r="C111" s="215" t="s">
        <v>1129</v>
      </c>
      <c r="D111" s="217">
        <v>1962</v>
      </c>
      <c r="E111" s="217"/>
      <c r="F111" s="226" t="s">
        <v>267</v>
      </c>
      <c r="G111" s="217">
        <v>2</v>
      </c>
      <c r="H111" s="217" t="s">
        <v>303</v>
      </c>
      <c r="I111" s="218">
        <v>628.29999999999995</v>
      </c>
      <c r="J111" s="218">
        <v>628.29999999999995</v>
      </c>
      <c r="K111" s="218">
        <v>628.29999999999995</v>
      </c>
      <c r="L111" s="219">
        <v>38</v>
      </c>
      <c r="M111" s="217" t="s">
        <v>265</v>
      </c>
      <c r="N111" s="217" t="s">
        <v>266</v>
      </c>
      <c r="O111" s="220" t="s">
        <v>1320</v>
      </c>
      <c r="P111" s="190">
        <v>52271.7</v>
      </c>
      <c r="Q111" s="190">
        <v>0</v>
      </c>
      <c r="R111" s="190">
        <v>0</v>
      </c>
      <c r="S111" s="190">
        <f t="shared" si="7"/>
        <v>52271.7</v>
      </c>
      <c r="T111" s="190">
        <f t="shared" si="6"/>
        <v>83.195448034378487</v>
      </c>
      <c r="U111" s="190">
        <v>83.195448034378487</v>
      </c>
      <c r="V111" s="221">
        <f t="shared" si="8"/>
        <v>0</v>
      </c>
      <c r="W111" s="221">
        <f t="shared" si="9"/>
        <v>9112.6017937291108</v>
      </c>
      <c r="X111" s="221">
        <v>0</v>
      </c>
      <c r="Y111" s="222">
        <v>0</v>
      </c>
      <c r="Z111" s="222">
        <v>0</v>
      </c>
      <c r="AA111" s="222">
        <v>0</v>
      </c>
      <c r="AB111" s="222">
        <v>0</v>
      </c>
      <c r="AC111" s="222">
        <v>0</v>
      </c>
      <c r="AD111" s="222">
        <v>0</v>
      </c>
      <c r="AE111" s="222">
        <v>917.7</v>
      </c>
      <c r="AF111" s="221">
        <f>6238.91*AE111/I111</f>
        <v>9112.6017937291108</v>
      </c>
      <c r="AG111" s="222">
        <v>0</v>
      </c>
      <c r="AH111" s="221">
        <v>0</v>
      </c>
      <c r="AI111" s="222">
        <v>0</v>
      </c>
      <c r="AJ111" s="221">
        <v>0</v>
      </c>
      <c r="AK111" s="222">
        <v>0</v>
      </c>
      <c r="AL111" s="222">
        <v>0</v>
      </c>
      <c r="AM111" s="222">
        <v>0</v>
      </c>
      <c r="AN111" s="222"/>
      <c r="AO111" s="222">
        <v>0</v>
      </c>
    </row>
    <row r="112" spans="1:41" s="223" customFormat="1" ht="36" customHeight="1" x14ac:dyDescent="0.25">
      <c r="A112" s="223">
        <v>1</v>
      </c>
      <c r="B112" s="225">
        <f>SUBTOTAL(103,$A$16:A112)</f>
        <v>97</v>
      </c>
      <c r="C112" s="215" t="s">
        <v>485</v>
      </c>
      <c r="D112" s="217">
        <v>1969</v>
      </c>
      <c r="E112" s="217"/>
      <c r="F112" s="226" t="s">
        <v>267</v>
      </c>
      <c r="G112" s="217">
        <v>5</v>
      </c>
      <c r="H112" s="217" t="s">
        <v>308</v>
      </c>
      <c r="I112" s="218">
        <v>3463.9</v>
      </c>
      <c r="J112" s="218">
        <v>3172.1</v>
      </c>
      <c r="K112" s="218">
        <v>3012</v>
      </c>
      <c r="L112" s="219">
        <v>132</v>
      </c>
      <c r="M112" s="217" t="s">
        <v>265</v>
      </c>
      <c r="N112" s="217" t="s">
        <v>269</v>
      </c>
      <c r="O112" s="220" t="s">
        <v>1086</v>
      </c>
      <c r="P112" s="190">
        <v>83051.86</v>
      </c>
      <c r="Q112" s="190">
        <v>0</v>
      </c>
      <c r="R112" s="190">
        <v>0</v>
      </c>
      <c r="S112" s="190">
        <f t="shared" si="7"/>
        <v>83051.86</v>
      </c>
      <c r="T112" s="190">
        <f t="shared" si="6"/>
        <v>23.976402321083171</v>
      </c>
      <c r="U112" s="190">
        <v>23.976402321083171</v>
      </c>
      <c r="V112" s="221">
        <f t="shared" si="8"/>
        <v>0</v>
      </c>
      <c r="W112" s="221">
        <f t="shared" si="9"/>
        <v>709.54704235110717</v>
      </c>
      <c r="X112" s="221">
        <v>0</v>
      </c>
      <c r="Y112" s="222">
        <v>0</v>
      </c>
      <c r="Z112" s="222">
        <v>0</v>
      </c>
      <c r="AA112" s="222">
        <v>0</v>
      </c>
      <c r="AB112" s="222">
        <v>0</v>
      </c>
      <c r="AC112" s="222">
        <v>1</v>
      </c>
      <c r="AD112" s="221">
        <f t="shared" ref="AD112:AD117" si="11">2457800*AC112/I112</f>
        <v>709.54704235110717</v>
      </c>
      <c r="AE112" s="222">
        <v>0</v>
      </c>
      <c r="AF112" s="221">
        <v>0</v>
      </c>
      <c r="AG112" s="222">
        <v>0</v>
      </c>
      <c r="AH112" s="221">
        <v>0</v>
      </c>
      <c r="AI112" s="222">
        <v>0</v>
      </c>
      <c r="AJ112" s="221">
        <v>0</v>
      </c>
      <c r="AK112" s="222">
        <v>0</v>
      </c>
      <c r="AL112" s="222">
        <v>0</v>
      </c>
      <c r="AM112" s="222">
        <v>0</v>
      </c>
      <c r="AN112" s="222"/>
      <c r="AO112" s="222">
        <v>0</v>
      </c>
    </row>
    <row r="113" spans="1:41" s="223" customFormat="1" ht="36" customHeight="1" x14ac:dyDescent="0.25">
      <c r="A113" s="223">
        <v>1</v>
      </c>
      <c r="B113" s="225">
        <f>SUBTOTAL(103,$A$16:A113)</f>
        <v>98</v>
      </c>
      <c r="C113" s="215" t="s">
        <v>1130</v>
      </c>
      <c r="D113" s="217">
        <v>1964</v>
      </c>
      <c r="E113" s="217"/>
      <c r="F113" s="226" t="s">
        <v>267</v>
      </c>
      <c r="G113" s="217">
        <v>2</v>
      </c>
      <c r="H113" s="217" t="s">
        <v>303</v>
      </c>
      <c r="I113" s="218">
        <v>669.2</v>
      </c>
      <c r="J113" s="218">
        <v>667</v>
      </c>
      <c r="K113" s="218">
        <v>667</v>
      </c>
      <c r="L113" s="219">
        <v>30</v>
      </c>
      <c r="M113" s="217" t="s">
        <v>265</v>
      </c>
      <c r="N113" s="217" t="s">
        <v>269</v>
      </c>
      <c r="O113" s="220" t="s">
        <v>1320</v>
      </c>
      <c r="P113" s="190">
        <v>50689.120000000003</v>
      </c>
      <c r="Q113" s="190">
        <v>0</v>
      </c>
      <c r="R113" s="190">
        <v>0</v>
      </c>
      <c r="S113" s="190">
        <f t="shared" si="7"/>
        <v>50689.120000000003</v>
      </c>
      <c r="T113" s="190">
        <f t="shared" si="6"/>
        <v>75.745845786013149</v>
      </c>
      <c r="U113" s="190">
        <v>75.745845786013149</v>
      </c>
      <c r="V113" s="221">
        <f t="shared" si="8"/>
        <v>0</v>
      </c>
      <c r="W113" s="221">
        <f t="shared" si="9"/>
        <v>3672.7435744172144</v>
      </c>
      <c r="X113" s="221">
        <v>0</v>
      </c>
      <c r="Y113" s="222">
        <v>0</v>
      </c>
      <c r="Z113" s="222">
        <v>0</v>
      </c>
      <c r="AA113" s="222">
        <v>0</v>
      </c>
      <c r="AB113" s="222">
        <v>0</v>
      </c>
      <c r="AC113" s="222">
        <v>1</v>
      </c>
      <c r="AD113" s="221">
        <f t="shared" si="11"/>
        <v>3672.7435744172144</v>
      </c>
      <c r="AE113" s="222">
        <v>0</v>
      </c>
      <c r="AF113" s="221">
        <v>0</v>
      </c>
      <c r="AG113" s="222">
        <v>0</v>
      </c>
      <c r="AH113" s="221">
        <v>0</v>
      </c>
      <c r="AI113" s="222">
        <v>0</v>
      </c>
      <c r="AJ113" s="221">
        <v>0</v>
      </c>
      <c r="AK113" s="222">
        <v>0</v>
      </c>
      <c r="AL113" s="222">
        <v>0</v>
      </c>
      <c r="AM113" s="222">
        <v>0</v>
      </c>
      <c r="AN113" s="222"/>
      <c r="AO113" s="222">
        <v>0</v>
      </c>
    </row>
    <row r="114" spans="1:41" s="223" customFormat="1" ht="36" customHeight="1" x14ac:dyDescent="0.25">
      <c r="A114" s="223">
        <v>1</v>
      </c>
      <c r="B114" s="225">
        <f>SUBTOTAL(103,$A$16:A114)</f>
        <v>99</v>
      </c>
      <c r="C114" s="215" t="s">
        <v>499</v>
      </c>
      <c r="D114" s="217">
        <v>1960</v>
      </c>
      <c r="E114" s="217"/>
      <c r="F114" s="226" t="s">
        <v>267</v>
      </c>
      <c r="G114" s="217">
        <v>5</v>
      </c>
      <c r="H114" s="217" t="s">
        <v>312</v>
      </c>
      <c r="I114" s="218">
        <v>3202.4</v>
      </c>
      <c r="J114" s="218">
        <v>2438.9</v>
      </c>
      <c r="K114" s="218">
        <v>2438.9</v>
      </c>
      <c r="L114" s="219">
        <v>120</v>
      </c>
      <c r="M114" s="217" t="s">
        <v>265</v>
      </c>
      <c r="N114" s="217" t="s">
        <v>269</v>
      </c>
      <c r="O114" s="220" t="s">
        <v>1086</v>
      </c>
      <c r="P114" s="190">
        <v>95587.09</v>
      </c>
      <c r="Q114" s="190">
        <v>0</v>
      </c>
      <c r="R114" s="190">
        <v>0</v>
      </c>
      <c r="S114" s="190">
        <f t="shared" si="7"/>
        <v>95587.09</v>
      </c>
      <c r="T114" s="190">
        <f t="shared" si="6"/>
        <v>29.848579190607044</v>
      </c>
      <c r="U114" s="190">
        <v>29.848579190607044</v>
      </c>
      <c r="V114" s="221">
        <f t="shared" si="8"/>
        <v>0</v>
      </c>
      <c r="W114" s="221">
        <f t="shared" si="9"/>
        <v>4604.9213090182366</v>
      </c>
      <c r="X114" s="221">
        <v>0</v>
      </c>
      <c r="Y114" s="222">
        <v>0</v>
      </c>
      <c r="Z114" s="222">
        <v>0</v>
      </c>
      <c r="AA114" s="222">
        <v>0</v>
      </c>
      <c r="AB114" s="222">
        <v>0</v>
      </c>
      <c r="AC114" s="222">
        <v>6</v>
      </c>
      <c r="AD114" s="221">
        <f t="shared" si="11"/>
        <v>4604.9213090182366</v>
      </c>
      <c r="AE114" s="222">
        <v>0</v>
      </c>
      <c r="AF114" s="221">
        <v>0</v>
      </c>
      <c r="AG114" s="222">
        <v>0</v>
      </c>
      <c r="AH114" s="221">
        <v>0</v>
      </c>
      <c r="AI114" s="222">
        <v>0</v>
      </c>
      <c r="AJ114" s="221">
        <v>0</v>
      </c>
      <c r="AK114" s="222">
        <v>0</v>
      </c>
      <c r="AL114" s="222">
        <v>0</v>
      </c>
      <c r="AM114" s="222">
        <v>0</v>
      </c>
      <c r="AN114" s="222"/>
      <c r="AO114" s="222">
        <v>0</v>
      </c>
    </row>
    <row r="115" spans="1:41" s="223" customFormat="1" ht="36" customHeight="1" x14ac:dyDescent="0.25">
      <c r="A115" s="223">
        <v>1</v>
      </c>
      <c r="B115" s="225">
        <f>SUBTOTAL(103,$A$16:A115)</f>
        <v>100</v>
      </c>
      <c r="C115" s="215" t="s">
        <v>1064</v>
      </c>
      <c r="D115" s="217">
        <v>1941</v>
      </c>
      <c r="E115" s="217"/>
      <c r="F115" s="226" t="s">
        <v>267</v>
      </c>
      <c r="G115" s="217">
        <v>3</v>
      </c>
      <c r="H115" s="217" t="s">
        <v>303</v>
      </c>
      <c r="I115" s="218">
        <v>1265</v>
      </c>
      <c r="J115" s="218">
        <v>1152.5999999999999</v>
      </c>
      <c r="K115" s="218">
        <v>1105.5</v>
      </c>
      <c r="L115" s="219">
        <v>60</v>
      </c>
      <c r="M115" s="217" t="s">
        <v>265</v>
      </c>
      <c r="N115" s="217" t="s">
        <v>269</v>
      </c>
      <c r="O115" s="220" t="s">
        <v>1072</v>
      </c>
      <c r="P115" s="190">
        <v>79784.160000000003</v>
      </c>
      <c r="Q115" s="190">
        <v>0</v>
      </c>
      <c r="R115" s="190">
        <v>0</v>
      </c>
      <c r="S115" s="190">
        <f t="shared" si="7"/>
        <v>79784.160000000003</v>
      </c>
      <c r="T115" s="190">
        <f t="shared" si="6"/>
        <v>63.070482213438737</v>
      </c>
      <c r="U115" s="190">
        <v>63.070482213438737</v>
      </c>
      <c r="V115" s="221">
        <f t="shared" si="8"/>
        <v>0</v>
      </c>
      <c r="W115" s="221">
        <f t="shared" si="9"/>
        <v>1942.9249011857708</v>
      </c>
      <c r="X115" s="221">
        <v>0</v>
      </c>
      <c r="Y115" s="222">
        <v>0</v>
      </c>
      <c r="Z115" s="222">
        <v>0</v>
      </c>
      <c r="AA115" s="222">
        <v>0</v>
      </c>
      <c r="AB115" s="222">
        <v>0</v>
      </c>
      <c r="AC115" s="222">
        <v>1</v>
      </c>
      <c r="AD115" s="221">
        <f t="shared" si="11"/>
        <v>1942.9249011857708</v>
      </c>
      <c r="AE115" s="222">
        <v>0</v>
      </c>
      <c r="AF115" s="221">
        <v>0</v>
      </c>
      <c r="AG115" s="222">
        <v>0</v>
      </c>
      <c r="AH115" s="221">
        <v>0</v>
      </c>
      <c r="AI115" s="222">
        <v>0</v>
      </c>
      <c r="AJ115" s="221">
        <v>0</v>
      </c>
      <c r="AK115" s="222">
        <v>0</v>
      </c>
      <c r="AL115" s="222">
        <v>0</v>
      </c>
      <c r="AM115" s="222">
        <v>0</v>
      </c>
      <c r="AN115" s="222"/>
      <c r="AO115" s="222">
        <v>0</v>
      </c>
    </row>
    <row r="116" spans="1:41" s="223" customFormat="1" ht="36" customHeight="1" x14ac:dyDescent="0.25">
      <c r="A116" s="223">
        <v>1</v>
      </c>
      <c r="B116" s="225">
        <f>SUBTOTAL(103,$A$16:A116)</f>
        <v>101</v>
      </c>
      <c r="C116" s="215" t="s">
        <v>1397</v>
      </c>
      <c r="D116" s="217">
        <v>1961</v>
      </c>
      <c r="E116" s="217"/>
      <c r="F116" s="226" t="s">
        <v>267</v>
      </c>
      <c r="G116" s="217" t="s">
        <v>371</v>
      </c>
      <c r="H116" s="217" t="s">
        <v>312</v>
      </c>
      <c r="I116" s="218">
        <v>2941.6</v>
      </c>
      <c r="J116" s="218">
        <v>2564.1</v>
      </c>
      <c r="K116" s="218">
        <v>2365.9</v>
      </c>
      <c r="L116" s="219">
        <v>130</v>
      </c>
      <c r="M116" s="217" t="s">
        <v>265</v>
      </c>
      <c r="N116" s="217" t="s">
        <v>269</v>
      </c>
      <c r="O116" s="220" t="s">
        <v>1381</v>
      </c>
      <c r="P116" s="190">
        <v>71679.100000000006</v>
      </c>
      <c r="Q116" s="190">
        <v>0</v>
      </c>
      <c r="R116" s="190">
        <v>0</v>
      </c>
      <c r="S116" s="190">
        <f t="shared" si="7"/>
        <v>71679.100000000006</v>
      </c>
      <c r="T116" s="190">
        <f t="shared" si="6"/>
        <v>24.367385096546101</v>
      </c>
      <c r="U116" s="190">
        <v>24.367385096546101</v>
      </c>
      <c r="V116" s="221">
        <f t="shared" si="8"/>
        <v>0</v>
      </c>
      <c r="W116" s="221">
        <f t="shared" si="9"/>
        <v>3342.12673375034</v>
      </c>
      <c r="X116" s="221">
        <v>0</v>
      </c>
      <c r="Y116" s="222">
        <v>0</v>
      </c>
      <c r="Z116" s="222">
        <v>0</v>
      </c>
      <c r="AA116" s="222">
        <v>0</v>
      </c>
      <c r="AB116" s="222">
        <v>0</v>
      </c>
      <c r="AC116" s="222">
        <v>4</v>
      </c>
      <c r="AD116" s="221">
        <f t="shared" si="11"/>
        <v>3342.12673375034</v>
      </c>
      <c r="AE116" s="222">
        <v>0</v>
      </c>
      <c r="AF116" s="221">
        <v>0</v>
      </c>
      <c r="AG116" s="222">
        <v>0</v>
      </c>
      <c r="AH116" s="221">
        <v>0</v>
      </c>
      <c r="AI116" s="222">
        <v>0</v>
      </c>
      <c r="AJ116" s="221">
        <v>0</v>
      </c>
      <c r="AK116" s="222">
        <v>0</v>
      </c>
      <c r="AL116" s="222">
        <v>0</v>
      </c>
      <c r="AM116" s="222">
        <v>0</v>
      </c>
      <c r="AN116" s="222"/>
      <c r="AO116" s="222">
        <v>0</v>
      </c>
    </row>
    <row r="117" spans="1:41" s="223" customFormat="1" ht="36" customHeight="1" x14ac:dyDescent="0.25">
      <c r="A117" s="223">
        <v>1</v>
      </c>
      <c r="B117" s="225">
        <f>SUBTOTAL(103,$A$16:A117)</f>
        <v>102</v>
      </c>
      <c r="C117" s="215" t="s">
        <v>1370</v>
      </c>
      <c r="D117" s="217">
        <v>1973</v>
      </c>
      <c r="E117" s="217"/>
      <c r="F117" s="226" t="s">
        <v>267</v>
      </c>
      <c r="G117" s="217">
        <v>9</v>
      </c>
      <c r="H117" s="217" t="s">
        <v>304</v>
      </c>
      <c r="I117" s="218">
        <v>1958.4</v>
      </c>
      <c r="J117" s="218">
        <v>1958.4</v>
      </c>
      <c r="K117" s="218">
        <v>1941.8</v>
      </c>
      <c r="L117" s="219">
        <v>92</v>
      </c>
      <c r="M117" s="217" t="s">
        <v>265</v>
      </c>
      <c r="N117" s="217" t="s">
        <v>269</v>
      </c>
      <c r="O117" s="220" t="s">
        <v>1382</v>
      </c>
      <c r="P117" s="190">
        <v>55904.38</v>
      </c>
      <c r="Q117" s="190">
        <v>0</v>
      </c>
      <c r="R117" s="190">
        <v>0</v>
      </c>
      <c r="S117" s="190">
        <f t="shared" si="7"/>
        <v>55904.38</v>
      </c>
      <c r="T117" s="190">
        <f t="shared" si="6"/>
        <v>28.545945669934639</v>
      </c>
      <c r="U117" s="190">
        <v>28.545945669934639</v>
      </c>
      <c r="V117" s="221">
        <f t="shared" si="8"/>
        <v>0</v>
      </c>
      <c r="W117" s="221">
        <f t="shared" si="9"/>
        <v>1255.0040849673203</v>
      </c>
      <c r="X117" s="221">
        <v>0</v>
      </c>
      <c r="Y117" s="222">
        <v>0</v>
      </c>
      <c r="Z117" s="222">
        <v>0</v>
      </c>
      <c r="AA117" s="222">
        <v>0</v>
      </c>
      <c r="AB117" s="222">
        <v>0</v>
      </c>
      <c r="AC117" s="222">
        <v>1</v>
      </c>
      <c r="AD117" s="221">
        <f t="shared" si="11"/>
        <v>1255.0040849673203</v>
      </c>
      <c r="AE117" s="222">
        <v>0</v>
      </c>
      <c r="AF117" s="221">
        <v>0</v>
      </c>
      <c r="AG117" s="222">
        <v>0</v>
      </c>
      <c r="AH117" s="221">
        <v>0</v>
      </c>
      <c r="AI117" s="222">
        <v>0</v>
      </c>
      <c r="AJ117" s="221">
        <v>0</v>
      </c>
      <c r="AK117" s="222">
        <v>0</v>
      </c>
      <c r="AL117" s="222">
        <v>0</v>
      </c>
      <c r="AM117" s="222">
        <v>0</v>
      </c>
      <c r="AN117" s="222"/>
      <c r="AO117" s="222">
        <v>0</v>
      </c>
    </row>
    <row r="118" spans="1:41" s="223" customFormat="1" ht="36" customHeight="1" x14ac:dyDescent="0.25">
      <c r="A118" s="223">
        <v>1</v>
      </c>
      <c r="B118" s="225">
        <f>SUBTOTAL(103,$A$16:A118)</f>
        <v>103</v>
      </c>
      <c r="C118" s="215" t="s">
        <v>1685</v>
      </c>
      <c r="D118" s="217">
        <v>1989</v>
      </c>
      <c r="E118" s="217"/>
      <c r="F118" s="226" t="s">
        <v>318</v>
      </c>
      <c r="G118" s="217">
        <v>7</v>
      </c>
      <c r="H118" s="217" t="s">
        <v>303</v>
      </c>
      <c r="I118" s="218">
        <v>4121.3999999999996</v>
      </c>
      <c r="J118" s="218">
        <v>3057</v>
      </c>
      <c r="K118" s="218">
        <v>3057</v>
      </c>
      <c r="L118" s="219">
        <v>163</v>
      </c>
      <c r="M118" s="217" t="s">
        <v>265</v>
      </c>
      <c r="N118" s="217" t="s">
        <v>269</v>
      </c>
      <c r="O118" s="220" t="s">
        <v>1688</v>
      </c>
      <c r="P118" s="190">
        <v>100382.56</v>
      </c>
      <c r="Q118" s="190">
        <v>0</v>
      </c>
      <c r="R118" s="190">
        <v>0</v>
      </c>
      <c r="S118" s="190">
        <f>P118-Q118-R118</f>
        <v>100382.56</v>
      </c>
      <c r="T118" s="190">
        <f t="shared" si="6"/>
        <v>24.356422574853205</v>
      </c>
      <c r="U118" s="190">
        <v>24.356422574853205</v>
      </c>
      <c r="V118" s="221">
        <f>U118-T118</f>
        <v>0</v>
      </c>
      <c r="W118" s="221">
        <f>X118+Y118+Z118+AA118+AB118+AD118+AF118+AH118+AJ118+AL118+AN118+AO118</f>
        <v>1329.1024845926142</v>
      </c>
      <c r="X118" s="221">
        <v>0</v>
      </c>
      <c r="Y118" s="222">
        <v>0</v>
      </c>
      <c r="Z118" s="222">
        <v>0</v>
      </c>
      <c r="AA118" s="222">
        <v>0</v>
      </c>
      <c r="AB118" s="222">
        <v>0</v>
      </c>
      <c r="AC118" s="222">
        <v>0</v>
      </c>
      <c r="AD118" s="222">
        <v>0</v>
      </c>
      <c r="AE118" s="222">
        <v>878</v>
      </c>
      <c r="AF118" s="221">
        <f>6238.91*AE118/I118</f>
        <v>1329.1024845926142</v>
      </c>
      <c r="AG118" s="222">
        <v>0</v>
      </c>
      <c r="AH118" s="221">
        <v>0</v>
      </c>
      <c r="AI118" s="222">
        <v>0</v>
      </c>
      <c r="AJ118" s="221">
        <v>0</v>
      </c>
      <c r="AK118" s="222">
        <v>0</v>
      </c>
      <c r="AL118" s="222">
        <v>0</v>
      </c>
      <c r="AM118" s="222">
        <v>0</v>
      </c>
      <c r="AN118" s="222"/>
      <c r="AO118" s="222">
        <v>0</v>
      </c>
    </row>
    <row r="119" spans="1:41" s="223" customFormat="1" ht="36" customHeight="1" x14ac:dyDescent="0.25">
      <c r="A119" s="223">
        <v>1</v>
      </c>
      <c r="B119" s="225">
        <f>SUBTOTAL(103,$A$16:A119)</f>
        <v>104</v>
      </c>
      <c r="C119" s="215" t="s">
        <v>525</v>
      </c>
      <c r="D119" s="217">
        <v>1997</v>
      </c>
      <c r="E119" s="217"/>
      <c r="F119" s="226" t="s">
        <v>267</v>
      </c>
      <c r="G119" s="217">
        <v>4</v>
      </c>
      <c r="H119" s="217" t="s">
        <v>312</v>
      </c>
      <c r="I119" s="190">
        <v>2862.3</v>
      </c>
      <c r="J119" s="190">
        <v>2046.7</v>
      </c>
      <c r="K119" s="190">
        <v>2046.7</v>
      </c>
      <c r="L119" s="219">
        <v>95</v>
      </c>
      <c r="M119" s="217" t="s">
        <v>265</v>
      </c>
      <c r="N119" s="217" t="s">
        <v>269</v>
      </c>
      <c r="O119" s="220" t="s">
        <v>1396</v>
      </c>
      <c r="P119" s="190">
        <v>82721.55</v>
      </c>
      <c r="Q119" s="190">
        <v>0</v>
      </c>
      <c r="R119" s="190">
        <v>0</v>
      </c>
      <c r="S119" s="190">
        <f t="shared" si="7"/>
        <v>82721.55</v>
      </c>
      <c r="T119" s="190">
        <f t="shared" si="6"/>
        <v>28.900377318939313</v>
      </c>
      <c r="U119" s="190">
        <v>28.900377318939313</v>
      </c>
      <c r="V119" s="221">
        <f t="shared" si="8"/>
        <v>0</v>
      </c>
      <c r="W119" s="221">
        <f t="shared" si="9"/>
        <v>1743.7473360584145</v>
      </c>
      <c r="X119" s="221">
        <v>0</v>
      </c>
      <c r="Y119" s="222">
        <v>0</v>
      </c>
      <c r="Z119" s="222">
        <v>0</v>
      </c>
      <c r="AA119" s="222">
        <v>0</v>
      </c>
      <c r="AB119" s="222">
        <v>0</v>
      </c>
      <c r="AC119" s="222">
        <v>0</v>
      </c>
      <c r="AD119" s="222">
        <v>0</v>
      </c>
      <c r="AE119" s="222">
        <v>800</v>
      </c>
      <c r="AF119" s="221">
        <f>6238.91*AE119/I119</f>
        <v>1743.7473360584145</v>
      </c>
      <c r="AG119" s="222">
        <v>0</v>
      </c>
      <c r="AH119" s="221">
        <v>0</v>
      </c>
      <c r="AI119" s="222">
        <v>0</v>
      </c>
      <c r="AJ119" s="221">
        <v>0</v>
      </c>
      <c r="AK119" s="222">
        <v>0</v>
      </c>
      <c r="AL119" s="222">
        <v>0</v>
      </c>
      <c r="AM119" s="222">
        <v>0</v>
      </c>
      <c r="AN119" s="222"/>
      <c r="AO119" s="222">
        <v>0</v>
      </c>
    </row>
    <row r="120" spans="1:41" s="223" customFormat="1" ht="36" customHeight="1" x14ac:dyDescent="0.25">
      <c r="B120" s="215" t="s">
        <v>756</v>
      </c>
      <c r="C120" s="227"/>
      <c r="D120" s="217" t="s">
        <v>890</v>
      </c>
      <c r="E120" s="217" t="s">
        <v>890</v>
      </c>
      <c r="F120" s="217" t="s">
        <v>890</v>
      </c>
      <c r="G120" s="217" t="s">
        <v>890</v>
      </c>
      <c r="H120" s="217" t="s">
        <v>890</v>
      </c>
      <c r="I120" s="218">
        <f>SUM(I121:I149)</f>
        <v>54718.7</v>
      </c>
      <c r="J120" s="218">
        <f>SUM(J121:J149)</f>
        <v>51101.900000000009</v>
      </c>
      <c r="K120" s="218">
        <f>SUM(K121:K149)</f>
        <v>48430.100000000006</v>
      </c>
      <c r="L120" s="219">
        <f>SUM(L121:L149)</f>
        <v>2187</v>
      </c>
      <c r="M120" s="217" t="s">
        <v>890</v>
      </c>
      <c r="N120" s="217" t="s">
        <v>890</v>
      </c>
      <c r="O120" s="220" t="s">
        <v>890</v>
      </c>
      <c r="P120" s="218">
        <v>50842017.530000001</v>
      </c>
      <c r="Q120" s="218">
        <f>SUM(Q121:Q149)</f>
        <v>0</v>
      </c>
      <c r="R120" s="218">
        <f>SUM(R121:R149)</f>
        <v>0</v>
      </c>
      <c r="S120" s="218">
        <f>SUM(S121:S149)</f>
        <v>50842017.530000001</v>
      </c>
      <c r="T120" s="190">
        <f t="shared" si="6"/>
        <v>929.15251148144978</v>
      </c>
      <c r="U120" s="190">
        <f>MAX(U121:U149)</f>
        <v>9318.6816113342247</v>
      </c>
      <c r="V120" s="221">
        <f t="shared" si="8"/>
        <v>8389.5290998527744</v>
      </c>
      <c r="W120" s="221"/>
      <c r="X120" s="221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</row>
    <row r="121" spans="1:41" s="223" customFormat="1" ht="61.5" x14ac:dyDescent="0.25">
      <c r="A121" s="223">
        <v>1</v>
      </c>
      <c r="B121" s="225">
        <f>SUBTOTAL(103,$A$16:A121)</f>
        <v>105</v>
      </c>
      <c r="C121" s="215" t="s">
        <v>442</v>
      </c>
      <c r="D121" s="217">
        <v>1966</v>
      </c>
      <c r="E121" s="217"/>
      <c r="F121" s="226" t="s">
        <v>267</v>
      </c>
      <c r="G121" s="217">
        <v>2</v>
      </c>
      <c r="H121" s="217" t="s">
        <v>303</v>
      </c>
      <c r="I121" s="190">
        <v>766.7</v>
      </c>
      <c r="J121" s="190">
        <v>707.3</v>
      </c>
      <c r="K121" s="190">
        <v>707.3</v>
      </c>
      <c r="L121" s="219">
        <v>39</v>
      </c>
      <c r="M121" s="217" t="s">
        <v>265</v>
      </c>
      <c r="N121" s="217" t="s">
        <v>269</v>
      </c>
      <c r="O121" s="220" t="s">
        <v>340</v>
      </c>
      <c r="P121" s="190">
        <v>2291514.0300000003</v>
      </c>
      <c r="Q121" s="190">
        <v>0</v>
      </c>
      <c r="R121" s="190">
        <v>0</v>
      </c>
      <c r="S121" s="190">
        <f t="shared" ref="S121:S149" si="12">P121-Q121-R121</f>
        <v>2291514.0300000003</v>
      </c>
      <c r="T121" s="190">
        <f t="shared" si="6"/>
        <v>2988.8013955914962</v>
      </c>
      <c r="U121" s="190">
        <v>5400.1093217686184</v>
      </c>
      <c r="V121" s="221">
        <f t="shared" si="8"/>
        <v>2411.3079261771222</v>
      </c>
      <c r="W121" s="221">
        <f t="shared" ref="W121:W148" si="13">X121+Y121+Z121+AA121+AB121+AD121+AF121+AH121+AJ121+AL121+AN121+AO121</f>
        <v>4866.138228772661</v>
      </c>
      <c r="X121" s="221">
        <v>0</v>
      </c>
      <c r="Y121" s="222">
        <v>0</v>
      </c>
      <c r="Z121" s="222">
        <v>0</v>
      </c>
      <c r="AA121" s="222">
        <v>0</v>
      </c>
      <c r="AB121" s="222">
        <v>0</v>
      </c>
      <c r="AC121" s="222">
        <v>0</v>
      </c>
      <c r="AD121" s="222">
        <v>0</v>
      </c>
      <c r="AE121" s="222">
        <v>598</v>
      </c>
      <c r="AF121" s="221">
        <f>6238.91*AE121/I121</f>
        <v>4866.138228772661</v>
      </c>
      <c r="AG121" s="222">
        <v>0</v>
      </c>
      <c r="AH121" s="221">
        <v>0</v>
      </c>
      <c r="AI121" s="222">
        <v>0</v>
      </c>
      <c r="AJ121" s="221">
        <v>0</v>
      </c>
      <c r="AK121" s="222">
        <v>0</v>
      </c>
      <c r="AL121" s="222">
        <v>0</v>
      </c>
      <c r="AM121" s="222">
        <v>0</v>
      </c>
      <c r="AN121" s="222"/>
      <c r="AO121" s="222">
        <v>0</v>
      </c>
    </row>
    <row r="122" spans="1:41" s="223" customFormat="1" ht="36" customHeight="1" x14ac:dyDescent="0.25">
      <c r="A122" s="223">
        <v>1</v>
      </c>
      <c r="B122" s="225">
        <f>SUBTOTAL(103,$A$16:A122)</f>
        <v>106</v>
      </c>
      <c r="C122" s="215" t="s">
        <v>443</v>
      </c>
      <c r="D122" s="217">
        <v>1959</v>
      </c>
      <c r="E122" s="217"/>
      <c r="F122" s="226" t="s">
        <v>267</v>
      </c>
      <c r="G122" s="217">
        <v>2</v>
      </c>
      <c r="H122" s="217" t="s">
        <v>303</v>
      </c>
      <c r="I122" s="190">
        <v>680.5</v>
      </c>
      <c r="J122" s="190">
        <v>632.1</v>
      </c>
      <c r="K122" s="190">
        <v>632.1</v>
      </c>
      <c r="L122" s="219">
        <v>38</v>
      </c>
      <c r="M122" s="217" t="s">
        <v>265</v>
      </c>
      <c r="N122" s="217" t="s">
        <v>266</v>
      </c>
      <c r="O122" s="220" t="s">
        <v>268</v>
      </c>
      <c r="P122" s="190">
        <v>2189911.6500000004</v>
      </c>
      <c r="Q122" s="190">
        <v>0</v>
      </c>
      <c r="R122" s="190">
        <v>0</v>
      </c>
      <c r="S122" s="190">
        <f t="shared" si="12"/>
        <v>2189911.6500000004</v>
      </c>
      <c r="T122" s="190">
        <f t="shared" si="6"/>
        <v>3218.09206465834</v>
      </c>
      <c r="U122" s="190">
        <v>5600.0647215282879</v>
      </c>
      <c r="V122" s="221">
        <f t="shared" si="8"/>
        <v>2381.972656869948</v>
      </c>
      <c r="W122" s="221">
        <f t="shared" si="13"/>
        <v>5429.3644408523151</v>
      </c>
      <c r="X122" s="221">
        <v>0</v>
      </c>
      <c r="Y122" s="222">
        <v>0</v>
      </c>
      <c r="Z122" s="222">
        <v>0</v>
      </c>
      <c r="AA122" s="222">
        <v>0</v>
      </c>
      <c r="AB122" s="222">
        <v>0</v>
      </c>
      <c r="AC122" s="222">
        <v>0</v>
      </c>
      <c r="AD122" s="222">
        <v>0</v>
      </c>
      <c r="AE122" s="222">
        <v>592.20000000000005</v>
      </c>
      <c r="AF122" s="221">
        <f>6238.91*AE122/I122</f>
        <v>5429.3644408523151</v>
      </c>
      <c r="AG122" s="222">
        <v>0</v>
      </c>
      <c r="AH122" s="221">
        <v>0</v>
      </c>
      <c r="AI122" s="222">
        <v>0</v>
      </c>
      <c r="AJ122" s="221">
        <v>0</v>
      </c>
      <c r="AK122" s="222">
        <v>0</v>
      </c>
      <c r="AL122" s="222">
        <v>0</v>
      </c>
      <c r="AM122" s="222">
        <v>0</v>
      </c>
      <c r="AN122" s="222"/>
      <c r="AO122" s="222">
        <v>0</v>
      </c>
    </row>
    <row r="123" spans="1:41" s="223" customFormat="1" ht="36" customHeight="1" x14ac:dyDescent="0.25">
      <c r="A123" s="223">
        <v>1</v>
      </c>
      <c r="B123" s="225">
        <f>SUBTOTAL(103,$A$16:A123)</f>
        <v>107</v>
      </c>
      <c r="C123" s="215" t="s">
        <v>444</v>
      </c>
      <c r="D123" s="217">
        <v>1958</v>
      </c>
      <c r="E123" s="217"/>
      <c r="F123" s="226" t="s">
        <v>267</v>
      </c>
      <c r="G123" s="217">
        <v>2</v>
      </c>
      <c r="H123" s="217" t="s">
        <v>303</v>
      </c>
      <c r="I123" s="190">
        <v>615</v>
      </c>
      <c r="J123" s="190">
        <v>568.29999999999995</v>
      </c>
      <c r="K123" s="190">
        <v>568.29999999999995</v>
      </c>
      <c r="L123" s="219">
        <v>25</v>
      </c>
      <c r="M123" s="217" t="s">
        <v>265</v>
      </c>
      <c r="N123" s="217" t="s">
        <v>266</v>
      </c>
      <c r="O123" s="220" t="s">
        <v>268</v>
      </c>
      <c r="P123" s="190">
        <v>2241889.83</v>
      </c>
      <c r="Q123" s="190">
        <v>0</v>
      </c>
      <c r="R123" s="190">
        <v>0</v>
      </c>
      <c r="S123" s="190">
        <f t="shared" si="12"/>
        <v>2241889.83</v>
      </c>
      <c r="T123" s="190">
        <f t="shared" si="6"/>
        <v>3645.3493170731708</v>
      </c>
      <c r="U123" s="190">
        <v>5453.5584162601626</v>
      </c>
      <c r="V123" s="221">
        <f t="shared" si="8"/>
        <v>1808.2090991869918</v>
      </c>
      <c r="W123" s="221">
        <f t="shared" si="13"/>
        <v>5477.0528601626011</v>
      </c>
      <c r="X123" s="221">
        <v>0</v>
      </c>
      <c r="Y123" s="222">
        <v>0</v>
      </c>
      <c r="Z123" s="222">
        <v>0</v>
      </c>
      <c r="AA123" s="222">
        <v>0</v>
      </c>
      <c r="AB123" s="222">
        <v>0</v>
      </c>
      <c r="AC123" s="222">
        <v>0</v>
      </c>
      <c r="AD123" s="222">
        <v>0</v>
      </c>
      <c r="AE123" s="222">
        <v>539.9</v>
      </c>
      <c r="AF123" s="221">
        <f>6238.91*AE123/I123</f>
        <v>5477.0528601626011</v>
      </c>
      <c r="AG123" s="222">
        <v>0</v>
      </c>
      <c r="AH123" s="221">
        <v>0</v>
      </c>
      <c r="AI123" s="222">
        <v>0</v>
      </c>
      <c r="AJ123" s="221">
        <v>0</v>
      </c>
      <c r="AK123" s="222">
        <v>0</v>
      </c>
      <c r="AL123" s="222">
        <v>0</v>
      </c>
      <c r="AM123" s="222">
        <v>0</v>
      </c>
      <c r="AN123" s="222"/>
      <c r="AO123" s="222">
        <v>0</v>
      </c>
    </row>
    <row r="124" spans="1:41" s="223" customFormat="1" ht="36" customHeight="1" x14ac:dyDescent="0.25">
      <c r="A124" s="223">
        <v>1</v>
      </c>
      <c r="B124" s="225">
        <f>SUBTOTAL(103,$A$16:A124)</f>
        <v>108</v>
      </c>
      <c r="C124" s="215" t="s">
        <v>445</v>
      </c>
      <c r="D124" s="217">
        <v>1969</v>
      </c>
      <c r="E124" s="217"/>
      <c r="F124" s="226" t="s">
        <v>267</v>
      </c>
      <c r="G124" s="217">
        <v>2</v>
      </c>
      <c r="H124" s="217" t="s">
        <v>303</v>
      </c>
      <c r="I124" s="190">
        <v>725.2</v>
      </c>
      <c r="J124" s="190">
        <v>674.9</v>
      </c>
      <c r="K124" s="190">
        <v>674.9</v>
      </c>
      <c r="L124" s="219">
        <v>25</v>
      </c>
      <c r="M124" s="217" t="s">
        <v>265</v>
      </c>
      <c r="N124" s="217" t="s">
        <v>266</v>
      </c>
      <c r="O124" s="220" t="s">
        <v>268</v>
      </c>
      <c r="P124" s="190">
        <v>55080.59</v>
      </c>
      <c r="Q124" s="190">
        <v>0</v>
      </c>
      <c r="R124" s="190">
        <v>0</v>
      </c>
      <c r="S124" s="190">
        <f t="shared" si="12"/>
        <v>55080.59</v>
      </c>
      <c r="T124" s="190">
        <f t="shared" si="6"/>
        <v>75.952275234418082</v>
      </c>
      <c r="U124" s="190">
        <v>75.952275234418082</v>
      </c>
      <c r="V124" s="221">
        <f t="shared" si="8"/>
        <v>0</v>
      </c>
      <c r="W124" s="221">
        <f>T124</f>
        <v>75.952275234418082</v>
      </c>
      <c r="X124" s="221">
        <v>0</v>
      </c>
      <c r="Y124" s="222">
        <v>0</v>
      </c>
      <c r="Z124" s="222">
        <v>0</v>
      </c>
      <c r="AA124" s="222">
        <v>0</v>
      </c>
      <c r="AB124" s="222">
        <v>0</v>
      </c>
      <c r="AC124" s="222">
        <v>0</v>
      </c>
      <c r="AD124" s="222">
        <v>0</v>
      </c>
      <c r="AE124" s="222">
        <v>0</v>
      </c>
      <c r="AF124" s="221">
        <v>0</v>
      </c>
      <c r="AG124" s="222">
        <v>0</v>
      </c>
      <c r="AH124" s="221">
        <v>0</v>
      </c>
      <c r="AI124" s="222">
        <v>0</v>
      </c>
      <c r="AJ124" s="221">
        <v>0</v>
      </c>
      <c r="AK124" s="222">
        <v>0</v>
      </c>
      <c r="AL124" s="222">
        <v>0</v>
      </c>
      <c r="AM124" s="222">
        <v>0</v>
      </c>
      <c r="AN124" s="222"/>
      <c r="AO124" s="222">
        <v>0</v>
      </c>
    </row>
    <row r="125" spans="1:41" s="223" customFormat="1" ht="36" customHeight="1" x14ac:dyDescent="0.25">
      <c r="A125" s="223">
        <v>1</v>
      </c>
      <c r="B125" s="225">
        <f>SUBTOTAL(103,$A$16:A125)</f>
        <v>109</v>
      </c>
      <c r="C125" s="215" t="s">
        <v>446</v>
      </c>
      <c r="D125" s="217">
        <v>1959</v>
      </c>
      <c r="E125" s="217"/>
      <c r="F125" s="226" t="s">
        <v>267</v>
      </c>
      <c r="G125" s="217">
        <v>2</v>
      </c>
      <c r="H125" s="217" t="s">
        <v>303</v>
      </c>
      <c r="I125" s="190">
        <v>654.20000000000005</v>
      </c>
      <c r="J125" s="190">
        <v>602.9</v>
      </c>
      <c r="K125" s="190">
        <v>602.9</v>
      </c>
      <c r="L125" s="219">
        <v>34</v>
      </c>
      <c r="M125" s="217" t="s">
        <v>265</v>
      </c>
      <c r="N125" s="217" t="s">
        <v>266</v>
      </c>
      <c r="O125" s="220" t="s">
        <v>268</v>
      </c>
      <c r="P125" s="190">
        <v>2479536.17</v>
      </c>
      <c r="Q125" s="190">
        <v>0</v>
      </c>
      <c r="R125" s="190">
        <v>0</v>
      </c>
      <c r="S125" s="190">
        <f t="shared" si="12"/>
        <v>2479536.17</v>
      </c>
      <c r="T125" s="190">
        <f t="shared" si="6"/>
        <v>3790.1806328339953</v>
      </c>
      <c r="U125" s="190">
        <v>5946.9555044328954</v>
      </c>
      <c r="V125" s="221">
        <f t="shared" si="8"/>
        <v>2156.7748715989001</v>
      </c>
      <c r="W125" s="221">
        <f t="shared" si="13"/>
        <v>5757.4019506267196</v>
      </c>
      <c r="X125" s="221">
        <v>0</v>
      </c>
      <c r="Y125" s="222">
        <v>0</v>
      </c>
      <c r="Z125" s="222">
        <v>0</v>
      </c>
      <c r="AA125" s="222">
        <v>0</v>
      </c>
      <c r="AB125" s="222">
        <v>0</v>
      </c>
      <c r="AC125" s="222">
        <v>0</v>
      </c>
      <c r="AD125" s="222">
        <v>0</v>
      </c>
      <c r="AE125" s="222">
        <v>603.71</v>
      </c>
      <c r="AF125" s="221">
        <f t="shared" ref="AF125:AF132" si="14">6238.91*AE125/I125</f>
        <v>5757.4019506267196</v>
      </c>
      <c r="AG125" s="222">
        <v>0</v>
      </c>
      <c r="AH125" s="221">
        <v>0</v>
      </c>
      <c r="AI125" s="222">
        <v>0</v>
      </c>
      <c r="AJ125" s="221">
        <v>0</v>
      </c>
      <c r="AK125" s="222">
        <v>0</v>
      </c>
      <c r="AL125" s="222">
        <v>0</v>
      </c>
      <c r="AM125" s="222">
        <v>0</v>
      </c>
      <c r="AN125" s="222"/>
      <c r="AO125" s="222">
        <v>0</v>
      </c>
    </row>
    <row r="126" spans="1:41" s="223" customFormat="1" ht="61.5" x14ac:dyDescent="0.25">
      <c r="A126" s="223">
        <v>1</v>
      </c>
      <c r="B126" s="225">
        <f>SUBTOTAL(103,$A$16:A126)</f>
        <v>110</v>
      </c>
      <c r="C126" s="215" t="s">
        <v>447</v>
      </c>
      <c r="D126" s="217">
        <v>1959</v>
      </c>
      <c r="E126" s="217"/>
      <c r="F126" s="226" t="s">
        <v>267</v>
      </c>
      <c r="G126" s="217">
        <v>2</v>
      </c>
      <c r="H126" s="217" t="s">
        <v>303</v>
      </c>
      <c r="I126" s="190">
        <v>673.3</v>
      </c>
      <c r="J126" s="190">
        <v>622.29999999999995</v>
      </c>
      <c r="K126" s="190">
        <v>622.29999999999995</v>
      </c>
      <c r="L126" s="219">
        <v>42</v>
      </c>
      <c r="M126" s="217" t="s">
        <v>265</v>
      </c>
      <c r="N126" s="217" t="s">
        <v>269</v>
      </c>
      <c r="O126" s="220" t="s">
        <v>340</v>
      </c>
      <c r="P126" s="190">
        <v>2128855.41</v>
      </c>
      <c r="Q126" s="190">
        <v>0</v>
      </c>
      <c r="R126" s="190">
        <v>0</v>
      </c>
      <c r="S126" s="190">
        <f t="shared" si="12"/>
        <v>2128855.41</v>
      </c>
      <c r="T126" s="190">
        <f t="shared" si="6"/>
        <v>3161.8229763849699</v>
      </c>
      <c r="U126" s="190">
        <v>5974.9442833803651</v>
      </c>
      <c r="V126" s="221">
        <f t="shared" si="8"/>
        <v>2813.1213069953951</v>
      </c>
      <c r="W126" s="221">
        <f t="shared" si="13"/>
        <v>5728.1588946977572</v>
      </c>
      <c r="X126" s="221">
        <v>0</v>
      </c>
      <c r="Y126" s="222">
        <v>0</v>
      </c>
      <c r="Z126" s="222">
        <v>0</v>
      </c>
      <c r="AA126" s="222">
        <v>0</v>
      </c>
      <c r="AB126" s="222">
        <v>0</v>
      </c>
      <c r="AC126" s="222">
        <v>0</v>
      </c>
      <c r="AD126" s="222">
        <v>0</v>
      </c>
      <c r="AE126" s="222">
        <v>618.17999999999995</v>
      </c>
      <c r="AF126" s="221">
        <f t="shared" si="14"/>
        <v>5728.1588946977572</v>
      </c>
      <c r="AG126" s="222">
        <v>0</v>
      </c>
      <c r="AH126" s="221">
        <v>0</v>
      </c>
      <c r="AI126" s="222">
        <v>0</v>
      </c>
      <c r="AJ126" s="221">
        <v>0</v>
      </c>
      <c r="AK126" s="222">
        <v>0</v>
      </c>
      <c r="AL126" s="222">
        <v>0</v>
      </c>
      <c r="AM126" s="222">
        <v>0</v>
      </c>
      <c r="AN126" s="222"/>
      <c r="AO126" s="222">
        <v>0</v>
      </c>
    </row>
    <row r="127" spans="1:41" s="223" customFormat="1" ht="61.5" x14ac:dyDescent="0.25">
      <c r="A127" s="223">
        <v>1</v>
      </c>
      <c r="B127" s="225">
        <f>SUBTOTAL(103,$A$16:A127)</f>
        <v>111</v>
      </c>
      <c r="C127" s="215" t="s">
        <v>448</v>
      </c>
      <c r="D127" s="217">
        <v>1962</v>
      </c>
      <c r="E127" s="217"/>
      <c r="F127" s="226" t="s">
        <v>267</v>
      </c>
      <c r="G127" s="217">
        <v>3</v>
      </c>
      <c r="H127" s="217" t="s">
        <v>303</v>
      </c>
      <c r="I127" s="190">
        <v>1048.8</v>
      </c>
      <c r="J127" s="190">
        <v>975.2</v>
      </c>
      <c r="K127" s="190">
        <v>975.2</v>
      </c>
      <c r="L127" s="219">
        <v>56</v>
      </c>
      <c r="M127" s="217" t="s">
        <v>265</v>
      </c>
      <c r="N127" s="217" t="s">
        <v>269</v>
      </c>
      <c r="O127" s="220" t="s">
        <v>346</v>
      </c>
      <c r="P127" s="190">
        <v>2540318.89</v>
      </c>
      <c r="Q127" s="190">
        <v>0</v>
      </c>
      <c r="R127" s="190">
        <v>0</v>
      </c>
      <c r="S127" s="190">
        <f t="shared" si="12"/>
        <v>2540318.89</v>
      </c>
      <c r="T127" s="190">
        <f t="shared" si="6"/>
        <v>2422.1194603356221</v>
      </c>
      <c r="U127" s="190">
        <v>3402.3332770785664</v>
      </c>
      <c r="V127" s="221">
        <f t="shared" si="8"/>
        <v>980.21381674294435</v>
      </c>
      <c r="W127" s="221">
        <f t="shared" si="13"/>
        <v>3303.8026553203663</v>
      </c>
      <c r="X127" s="221">
        <v>0</v>
      </c>
      <c r="Y127" s="222">
        <v>0</v>
      </c>
      <c r="Z127" s="222">
        <v>0</v>
      </c>
      <c r="AA127" s="222">
        <v>0</v>
      </c>
      <c r="AB127" s="222">
        <v>0</v>
      </c>
      <c r="AC127" s="222">
        <v>0</v>
      </c>
      <c r="AD127" s="222">
        <v>0</v>
      </c>
      <c r="AE127" s="222">
        <v>555.39</v>
      </c>
      <c r="AF127" s="221">
        <f t="shared" si="14"/>
        <v>3303.8026553203663</v>
      </c>
      <c r="AG127" s="222">
        <v>0</v>
      </c>
      <c r="AH127" s="221">
        <v>0</v>
      </c>
      <c r="AI127" s="222">
        <v>0</v>
      </c>
      <c r="AJ127" s="221">
        <v>0</v>
      </c>
      <c r="AK127" s="222">
        <v>0</v>
      </c>
      <c r="AL127" s="222">
        <v>0</v>
      </c>
      <c r="AM127" s="222">
        <v>0</v>
      </c>
      <c r="AN127" s="222"/>
      <c r="AO127" s="222">
        <v>0</v>
      </c>
    </row>
    <row r="128" spans="1:41" s="223" customFormat="1" ht="61.5" x14ac:dyDescent="0.25">
      <c r="A128" s="223">
        <v>1</v>
      </c>
      <c r="B128" s="225">
        <f>SUBTOTAL(103,$A$16:A128)</f>
        <v>112</v>
      </c>
      <c r="C128" s="215" t="s">
        <v>449</v>
      </c>
      <c r="D128" s="217">
        <v>1962</v>
      </c>
      <c r="E128" s="217"/>
      <c r="F128" s="226" t="s">
        <v>267</v>
      </c>
      <c r="G128" s="217">
        <v>2</v>
      </c>
      <c r="H128" s="217" t="s">
        <v>303</v>
      </c>
      <c r="I128" s="190">
        <v>679.6</v>
      </c>
      <c r="J128" s="190">
        <v>631.6</v>
      </c>
      <c r="K128" s="190">
        <v>631.6</v>
      </c>
      <c r="L128" s="219">
        <v>42</v>
      </c>
      <c r="M128" s="217" t="s">
        <v>265</v>
      </c>
      <c r="N128" s="217" t="s">
        <v>269</v>
      </c>
      <c r="O128" s="220" t="s">
        <v>340</v>
      </c>
      <c r="P128" s="190">
        <v>2317566.0299999998</v>
      </c>
      <c r="Q128" s="190">
        <v>0</v>
      </c>
      <c r="R128" s="190">
        <v>0</v>
      </c>
      <c r="S128" s="190">
        <f t="shared" si="12"/>
        <v>2317566.0299999998</v>
      </c>
      <c r="T128" s="190">
        <f t="shared" si="6"/>
        <v>3410.1913331371393</v>
      </c>
      <c r="U128" s="190">
        <v>5376.2258505002947</v>
      </c>
      <c r="V128" s="221">
        <f t="shared" si="8"/>
        <v>1966.0345173631554</v>
      </c>
      <c r="W128" s="221">
        <f t="shared" si="13"/>
        <v>5297.0145232489695</v>
      </c>
      <c r="X128" s="221">
        <v>0</v>
      </c>
      <c r="Y128" s="222">
        <v>0</v>
      </c>
      <c r="Z128" s="222">
        <v>0</v>
      </c>
      <c r="AA128" s="222">
        <v>0</v>
      </c>
      <c r="AB128" s="222">
        <v>0</v>
      </c>
      <c r="AC128" s="222">
        <v>0</v>
      </c>
      <c r="AD128" s="222">
        <v>0</v>
      </c>
      <c r="AE128" s="222">
        <v>577</v>
      </c>
      <c r="AF128" s="221">
        <f t="shared" si="14"/>
        <v>5297.0145232489695</v>
      </c>
      <c r="AG128" s="222">
        <v>0</v>
      </c>
      <c r="AH128" s="221">
        <v>0</v>
      </c>
      <c r="AI128" s="222">
        <v>0</v>
      </c>
      <c r="AJ128" s="221">
        <v>0</v>
      </c>
      <c r="AK128" s="222">
        <v>0</v>
      </c>
      <c r="AL128" s="222">
        <v>0</v>
      </c>
      <c r="AM128" s="222">
        <v>0</v>
      </c>
      <c r="AN128" s="222"/>
      <c r="AO128" s="222">
        <v>0</v>
      </c>
    </row>
    <row r="129" spans="1:41" s="223" customFormat="1" ht="61.5" x14ac:dyDescent="0.25">
      <c r="A129" s="223">
        <v>1</v>
      </c>
      <c r="B129" s="225">
        <f>SUBTOTAL(103,$A$16:A129)</f>
        <v>113</v>
      </c>
      <c r="C129" s="215" t="s">
        <v>450</v>
      </c>
      <c r="D129" s="217">
        <v>1962</v>
      </c>
      <c r="E129" s="217"/>
      <c r="F129" s="226" t="s">
        <v>267</v>
      </c>
      <c r="G129" s="217">
        <v>2</v>
      </c>
      <c r="H129" s="217" t="s">
        <v>303</v>
      </c>
      <c r="I129" s="190">
        <v>696.3</v>
      </c>
      <c r="J129" s="190">
        <v>645.29999999999995</v>
      </c>
      <c r="K129" s="190">
        <v>645.29999999999995</v>
      </c>
      <c r="L129" s="219">
        <v>42</v>
      </c>
      <c r="M129" s="217" t="s">
        <v>265</v>
      </c>
      <c r="N129" s="217" t="s">
        <v>269</v>
      </c>
      <c r="O129" s="220" t="s">
        <v>340</v>
      </c>
      <c r="P129" s="190">
        <v>2392182.6</v>
      </c>
      <c r="Q129" s="190">
        <v>0</v>
      </c>
      <c r="R129" s="190">
        <v>0</v>
      </c>
      <c r="S129" s="190">
        <f t="shared" si="12"/>
        <v>2392182.6</v>
      </c>
      <c r="T129" s="190">
        <f t="shared" si="6"/>
        <v>3435.5631193451104</v>
      </c>
      <c r="U129" s="190">
        <v>5475.9823452534829</v>
      </c>
      <c r="V129" s="221">
        <f t="shared" si="8"/>
        <v>2040.4192259083725</v>
      </c>
      <c r="W129" s="221">
        <f t="shared" si="13"/>
        <v>5249.8057706448371</v>
      </c>
      <c r="X129" s="221">
        <v>0</v>
      </c>
      <c r="Y129" s="222">
        <v>0</v>
      </c>
      <c r="Z129" s="222">
        <v>0</v>
      </c>
      <c r="AA129" s="222">
        <v>0</v>
      </c>
      <c r="AB129" s="222">
        <v>0</v>
      </c>
      <c r="AC129" s="222">
        <v>0</v>
      </c>
      <c r="AD129" s="222">
        <v>0</v>
      </c>
      <c r="AE129" s="222">
        <v>585.91</v>
      </c>
      <c r="AF129" s="221">
        <f t="shared" si="14"/>
        <v>5249.8057706448371</v>
      </c>
      <c r="AG129" s="222">
        <v>0</v>
      </c>
      <c r="AH129" s="221">
        <v>0</v>
      </c>
      <c r="AI129" s="222">
        <v>0</v>
      </c>
      <c r="AJ129" s="221">
        <v>0</v>
      </c>
      <c r="AK129" s="222">
        <v>0</v>
      </c>
      <c r="AL129" s="222">
        <v>0</v>
      </c>
      <c r="AM129" s="222">
        <v>0</v>
      </c>
      <c r="AN129" s="222"/>
      <c r="AO129" s="222">
        <v>0</v>
      </c>
    </row>
    <row r="130" spans="1:41" s="223" customFormat="1" ht="61.5" x14ac:dyDescent="0.25">
      <c r="A130" s="223">
        <v>1</v>
      </c>
      <c r="B130" s="225">
        <f>SUBTOTAL(103,$A$16:A130)</f>
        <v>114</v>
      </c>
      <c r="C130" s="215" t="s">
        <v>451</v>
      </c>
      <c r="D130" s="217">
        <v>1963</v>
      </c>
      <c r="E130" s="217"/>
      <c r="F130" s="226" t="s">
        <v>267</v>
      </c>
      <c r="G130" s="217">
        <v>4</v>
      </c>
      <c r="H130" s="217" t="s">
        <v>312</v>
      </c>
      <c r="I130" s="190">
        <v>2252.4</v>
      </c>
      <c r="J130" s="190">
        <v>2107.9</v>
      </c>
      <c r="K130" s="190">
        <v>1530.2</v>
      </c>
      <c r="L130" s="219">
        <v>83</v>
      </c>
      <c r="M130" s="217" t="s">
        <v>265</v>
      </c>
      <c r="N130" s="217" t="s">
        <v>269</v>
      </c>
      <c r="O130" s="220" t="s">
        <v>346</v>
      </c>
      <c r="P130" s="190">
        <v>3299178.75</v>
      </c>
      <c r="Q130" s="190">
        <v>0</v>
      </c>
      <c r="R130" s="190">
        <v>0</v>
      </c>
      <c r="S130" s="190">
        <f t="shared" si="12"/>
        <v>3299178.75</v>
      </c>
      <c r="T130" s="190">
        <f t="shared" si="6"/>
        <v>1464.7392781033564</v>
      </c>
      <c r="U130" s="190">
        <v>2449.4018953116674</v>
      </c>
      <c r="V130" s="221">
        <f t="shared" si="8"/>
        <v>984.66261720831108</v>
      </c>
      <c r="W130" s="221">
        <f t="shared" si="13"/>
        <v>2396.2909870360504</v>
      </c>
      <c r="X130" s="221">
        <v>0</v>
      </c>
      <c r="Y130" s="222">
        <v>0</v>
      </c>
      <c r="Z130" s="222">
        <v>0</v>
      </c>
      <c r="AA130" s="222">
        <v>0</v>
      </c>
      <c r="AB130" s="222">
        <v>0</v>
      </c>
      <c r="AC130" s="222">
        <v>0</v>
      </c>
      <c r="AD130" s="222">
        <v>0</v>
      </c>
      <c r="AE130" s="222">
        <v>865.12</v>
      </c>
      <c r="AF130" s="221">
        <f t="shared" si="14"/>
        <v>2396.2909870360504</v>
      </c>
      <c r="AG130" s="222">
        <v>0</v>
      </c>
      <c r="AH130" s="221">
        <v>0</v>
      </c>
      <c r="AI130" s="222">
        <v>0</v>
      </c>
      <c r="AJ130" s="221">
        <v>0</v>
      </c>
      <c r="AK130" s="222">
        <v>0</v>
      </c>
      <c r="AL130" s="222">
        <v>0</v>
      </c>
      <c r="AM130" s="222">
        <v>0</v>
      </c>
      <c r="AN130" s="222"/>
      <c r="AO130" s="222">
        <v>0</v>
      </c>
    </row>
    <row r="131" spans="1:41" s="223" customFormat="1" ht="61.5" x14ac:dyDescent="0.25">
      <c r="A131" s="223">
        <v>1</v>
      </c>
      <c r="B131" s="225">
        <f>SUBTOTAL(103,$A$16:A131)</f>
        <v>115</v>
      </c>
      <c r="C131" s="215" t="s">
        <v>452</v>
      </c>
      <c r="D131" s="217">
        <v>1961</v>
      </c>
      <c r="E131" s="217"/>
      <c r="F131" s="226" t="s">
        <v>267</v>
      </c>
      <c r="G131" s="217">
        <v>2</v>
      </c>
      <c r="H131" s="217" t="s">
        <v>303</v>
      </c>
      <c r="I131" s="190">
        <v>695.8</v>
      </c>
      <c r="J131" s="190">
        <v>646.6</v>
      </c>
      <c r="K131" s="190">
        <v>646.6</v>
      </c>
      <c r="L131" s="219">
        <v>42</v>
      </c>
      <c r="M131" s="217" t="s">
        <v>265</v>
      </c>
      <c r="N131" s="217" t="s">
        <v>269</v>
      </c>
      <c r="O131" s="220" t="s">
        <v>340</v>
      </c>
      <c r="P131" s="190">
        <v>2218259.69</v>
      </c>
      <c r="Q131" s="190">
        <v>0</v>
      </c>
      <c r="R131" s="190">
        <v>0</v>
      </c>
      <c r="S131" s="190">
        <f t="shared" si="12"/>
        <v>2218259.69</v>
      </c>
      <c r="T131" s="190">
        <f t="shared" si="6"/>
        <v>3188.0708393216441</v>
      </c>
      <c r="U131" s="190">
        <v>5434.649668008049</v>
      </c>
      <c r="V131" s="221">
        <f t="shared" si="8"/>
        <v>2246.5788286864049</v>
      </c>
      <c r="W131" s="221">
        <f t="shared" si="13"/>
        <v>4992.5626444380569</v>
      </c>
      <c r="X131" s="221">
        <v>0</v>
      </c>
      <c r="Y131" s="222">
        <v>0</v>
      </c>
      <c r="Z131" s="222">
        <v>0</v>
      </c>
      <c r="AA131" s="222">
        <v>0</v>
      </c>
      <c r="AB131" s="222">
        <v>0</v>
      </c>
      <c r="AC131" s="222">
        <v>0</v>
      </c>
      <c r="AD131" s="222">
        <v>0</v>
      </c>
      <c r="AE131" s="222">
        <v>556.79999999999995</v>
      </c>
      <c r="AF131" s="221">
        <f t="shared" si="14"/>
        <v>4992.5626444380569</v>
      </c>
      <c r="AG131" s="222">
        <v>0</v>
      </c>
      <c r="AH131" s="221">
        <v>0</v>
      </c>
      <c r="AI131" s="222">
        <v>0</v>
      </c>
      <c r="AJ131" s="221">
        <v>0</v>
      </c>
      <c r="AK131" s="222">
        <v>0</v>
      </c>
      <c r="AL131" s="222">
        <v>0</v>
      </c>
      <c r="AM131" s="222">
        <v>0</v>
      </c>
      <c r="AN131" s="222"/>
      <c r="AO131" s="222">
        <v>0</v>
      </c>
    </row>
    <row r="132" spans="1:41" s="223" customFormat="1" ht="36" customHeight="1" x14ac:dyDescent="0.25">
      <c r="A132" s="223">
        <v>1</v>
      </c>
      <c r="B132" s="225">
        <f>SUBTOTAL(103,$A$16:A132)</f>
        <v>116</v>
      </c>
      <c r="C132" s="215" t="s">
        <v>453</v>
      </c>
      <c r="D132" s="217">
        <v>1962</v>
      </c>
      <c r="E132" s="217"/>
      <c r="F132" s="226" t="s">
        <v>267</v>
      </c>
      <c r="G132" s="217" t="s">
        <v>312</v>
      </c>
      <c r="H132" s="217" t="s">
        <v>312</v>
      </c>
      <c r="I132" s="190">
        <v>1651.8</v>
      </c>
      <c r="J132" s="190">
        <v>1537.5</v>
      </c>
      <c r="K132" s="190">
        <v>1462.9</v>
      </c>
      <c r="L132" s="219">
        <v>58</v>
      </c>
      <c r="M132" s="217" t="s">
        <v>265</v>
      </c>
      <c r="N132" s="217" t="s">
        <v>341</v>
      </c>
      <c r="O132" s="220" t="s">
        <v>347</v>
      </c>
      <c r="P132" s="190">
        <v>91764.43</v>
      </c>
      <c r="Q132" s="190">
        <v>0</v>
      </c>
      <c r="R132" s="190">
        <v>0</v>
      </c>
      <c r="S132" s="190">
        <f t="shared" si="12"/>
        <v>91764.43</v>
      </c>
      <c r="T132" s="190">
        <f t="shared" si="6"/>
        <v>55.554201477176413</v>
      </c>
      <c r="U132" s="190">
        <v>55.554201477176413</v>
      </c>
      <c r="V132" s="221">
        <f t="shared" si="8"/>
        <v>0</v>
      </c>
      <c r="W132" s="221">
        <f t="shared" si="13"/>
        <v>3251.6890713766797</v>
      </c>
      <c r="X132" s="221">
        <v>0</v>
      </c>
      <c r="Y132" s="222">
        <v>0</v>
      </c>
      <c r="Z132" s="222">
        <v>0</v>
      </c>
      <c r="AA132" s="222">
        <v>0</v>
      </c>
      <c r="AB132" s="222">
        <v>0</v>
      </c>
      <c r="AC132" s="222">
        <v>0</v>
      </c>
      <c r="AD132" s="222">
        <v>0</v>
      </c>
      <c r="AE132" s="222">
        <v>860.91</v>
      </c>
      <c r="AF132" s="221">
        <f t="shared" si="14"/>
        <v>3251.6890713766797</v>
      </c>
      <c r="AG132" s="222">
        <v>0</v>
      </c>
      <c r="AH132" s="221">
        <v>0</v>
      </c>
      <c r="AI132" s="222">
        <v>0</v>
      </c>
      <c r="AJ132" s="221">
        <v>0</v>
      </c>
      <c r="AK132" s="222">
        <v>0</v>
      </c>
      <c r="AL132" s="222">
        <v>0</v>
      </c>
      <c r="AM132" s="222">
        <v>0</v>
      </c>
      <c r="AN132" s="222"/>
      <c r="AO132" s="222">
        <v>0</v>
      </c>
    </row>
    <row r="133" spans="1:41" s="223" customFormat="1" ht="36" customHeight="1" x14ac:dyDescent="0.25">
      <c r="A133" s="223">
        <v>1</v>
      </c>
      <c r="B133" s="225">
        <f>SUBTOTAL(103,$A$16:A133)</f>
        <v>117</v>
      </c>
      <c r="C133" s="215" t="s">
        <v>454</v>
      </c>
      <c r="D133" s="217">
        <v>1937</v>
      </c>
      <c r="E133" s="217">
        <v>2010</v>
      </c>
      <c r="F133" s="226" t="s">
        <v>330</v>
      </c>
      <c r="G133" s="217">
        <v>2</v>
      </c>
      <c r="H133" s="217" t="s">
        <v>303</v>
      </c>
      <c r="I133" s="190">
        <v>522</v>
      </c>
      <c r="J133" s="190">
        <v>471.4</v>
      </c>
      <c r="K133" s="190">
        <v>471.4</v>
      </c>
      <c r="L133" s="219">
        <v>22</v>
      </c>
      <c r="M133" s="217" t="s">
        <v>265</v>
      </c>
      <c r="N133" s="217" t="s">
        <v>266</v>
      </c>
      <c r="O133" s="220" t="s">
        <v>268</v>
      </c>
      <c r="P133" s="190">
        <v>45369.9</v>
      </c>
      <c r="Q133" s="190">
        <v>0</v>
      </c>
      <c r="R133" s="190">
        <v>0</v>
      </c>
      <c r="S133" s="190">
        <f t="shared" si="12"/>
        <v>45369.9</v>
      </c>
      <c r="T133" s="190">
        <f t="shared" si="6"/>
        <v>86.91551724137932</v>
      </c>
      <c r="U133" s="190">
        <v>86.91551724137932</v>
      </c>
      <c r="V133" s="221">
        <f t="shared" si="8"/>
        <v>0</v>
      </c>
      <c r="W133" s="221">
        <f>T133</f>
        <v>86.91551724137932</v>
      </c>
      <c r="X133" s="221">
        <v>0</v>
      </c>
      <c r="Y133" s="222">
        <v>0</v>
      </c>
      <c r="Z133" s="222">
        <v>0</v>
      </c>
      <c r="AA133" s="222">
        <v>0</v>
      </c>
      <c r="AB133" s="222">
        <v>0</v>
      </c>
      <c r="AC133" s="222">
        <v>0</v>
      </c>
      <c r="AD133" s="222">
        <v>0</v>
      </c>
      <c r="AE133" s="222">
        <v>0</v>
      </c>
      <c r="AF133" s="221">
        <v>0</v>
      </c>
      <c r="AG133" s="222">
        <v>0</v>
      </c>
      <c r="AH133" s="221">
        <v>0</v>
      </c>
      <c r="AI133" s="222">
        <v>0</v>
      </c>
      <c r="AJ133" s="221">
        <v>0</v>
      </c>
      <c r="AK133" s="222">
        <v>0</v>
      </c>
      <c r="AL133" s="222">
        <v>0</v>
      </c>
      <c r="AM133" s="222">
        <v>0</v>
      </c>
      <c r="AN133" s="222"/>
      <c r="AO133" s="222">
        <v>0</v>
      </c>
    </row>
    <row r="134" spans="1:41" s="223" customFormat="1" ht="36" customHeight="1" x14ac:dyDescent="0.25">
      <c r="A134" s="223">
        <v>1</v>
      </c>
      <c r="B134" s="225">
        <f>SUBTOTAL(103,$A$16:A134)</f>
        <v>118</v>
      </c>
      <c r="C134" s="215" t="s">
        <v>1133</v>
      </c>
      <c r="D134" s="217">
        <v>1979</v>
      </c>
      <c r="E134" s="217">
        <v>2008</v>
      </c>
      <c r="F134" s="226" t="s">
        <v>311</v>
      </c>
      <c r="G134" s="217">
        <v>5</v>
      </c>
      <c r="H134" s="217" t="s">
        <v>371</v>
      </c>
      <c r="I134" s="190">
        <v>5005</v>
      </c>
      <c r="J134" s="190">
        <v>4545.8</v>
      </c>
      <c r="K134" s="190">
        <v>4545.8</v>
      </c>
      <c r="L134" s="219">
        <v>153</v>
      </c>
      <c r="M134" s="217" t="s">
        <v>265</v>
      </c>
      <c r="N134" s="217" t="s">
        <v>269</v>
      </c>
      <c r="O134" s="220" t="s">
        <v>1299</v>
      </c>
      <c r="P134" s="190">
        <v>2872501.01</v>
      </c>
      <c r="Q134" s="190">
        <v>0</v>
      </c>
      <c r="R134" s="190">
        <v>0</v>
      </c>
      <c r="S134" s="190">
        <f t="shared" si="12"/>
        <v>2872501.01</v>
      </c>
      <c r="T134" s="190">
        <f t="shared" si="6"/>
        <v>573.92627572427568</v>
      </c>
      <c r="U134" s="190">
        <v>4437.43</v>
      </c>
      <c r="V134" s="221">
        <f t="shared" si="8"/>
        <v>3863.5037242757244</v>
      </c>
      <c r="W134" s="221">
        <f t="shared" si="13"/>
        <v>4054.97</v>
      </c>
      <c r="X134" s="221">
        <v>0</v>
      </c>
      <c r="Y134" s="222">
        <v>0</v>
      </c>
      <c r="Z134" s="222">
        <v>3259.66</v>
      </c>
      <c r="AA134" s="222">
        <v>0</v>
      </c>
      <c r="AB134" s="222">
        <v>795.31</v>
      </c>
      <c r="AC134" s="222">
        <v>0</v>
      </c>
      <c r="AD134" s="222">
        <v>0</v>
      </c>
      <c r="AE134" s="222">
        <v>0</v>
      </c>
      <c r="AF134" s="221">
        <v>0</v>
      </c>
      <c r="AG134" s="222">
        <v>0</v>
      </c>
      <c r="AH134" s="221">
        <v>0</v>
      </c>
      <c r="AI134" s="222">
        <v>0</v>
      </c>
      <c r="AJ134" s="221">
        <v>0</v>
      </c>
      <c r="AK134" s="222">
        <v>0</v>
      </c>
      <c r="AL134" s="222">
        <v>0</v>
      </c>
      <c r="AM134" s="222">
        <v>0</v>
      </c>
      <c r="AN134" s="222"/>
      <c r="AO134" s="222">
        <v>0</v>
      </c>
    </row>
    <row r="135" spans="1:41" s="223" customFormat="1" ht="36" customHeight="1" x14ac:dyDescent="0.25">
      <c r="A135" s="223">
        <v>1</v>
      </c>
      <c r="B135" s="225">
        <f>SUBTOTAL(103,$A$16:A135)</f>
        <v>119</v>
      </c>
      <c r="C135" s="215" t="s">
        <v>1134</v>
      </c>
      <c r="D135" s="217">
        <v>1933</v>
      </c>
      <c r="E135" s="217">
        <v>2008</v>
      </c>
      <c r="F135" s="226" t="s">
        <v>267</v>
      </c>
      <c r="G135" s="217">
        <v>3</v>
      </c>
      <c r="H135" s="217" t="s">
        <v>308</v>
      </c>
      <c r="I135" s="190">
        <v>1863.4</v>
      </c>
      <c r="J135" s="190">
        <v>1677.4</v>
      </c>
      <c r="K135" s="190">
        <v>1677.4</v>
      </c>
      <c r="L135" s="219">
        <v>86</v>
      </c>
      <c r="M135" s="217" t="s">
        <v>265</v>
      </c>
      <c r="N135" s="217" t="s">
        <v>269</v>
      </c>
      <c r="O135" s="220" t="s">
        <v>346</v>
      </c>
      <c r="P135" s="190">
        <v>985412.63</v>
      </c>
      <c r="Q135" s="190">
        <v>0</v>
      </c>
      <c r="R135" s="190">
        <v>0</v>
      </c>
      <c r="S135" s="190">
        <f t="shared" si="12"/>
        <v>985412.63</v>
      </c>
      <c r="T135" s="190">
        <f t="shared" si="6"/>
        <v>528.82506708167864</v>
      </c>
      <c r="U135" s="190">
        <v>810.46</v>
      </c>
      <c r="V135" s="221">
        <f t="shared" si="8"/>
        <v>281.6349329183214</v>
      </c>
      <c r="W135" s="221">
        <f t="shared" si="13"/>
        <v>795.31</v>
      </c>
      <c r="X135" s="221">
        <v>0</v>
      </c>
      <c r="Y135" s="222">
        <v>0</v>
      </c>
      <c r="Z135" s="222">
        <v>0</v>
      </c>
      <c r="AA135" s="222">
        <v>0</v>
      </c>
      <c r="AB135" s="222">
        <v>795.31</v>
      </c>
      <c r="AC135" s="222">
        <v>0</v>
      </c>
      <c r="AD135" s="222">
        <v>0</v>
      </c>
      <c r="AE135" s="222">
        <v>0</v>
      </c>
      <c r="AF135" s="221">
        <v>0</v>
      </c>
      <c r="AG135" s="222">
        <v>0</v>
      </c>
      <c r="AH135" s="221">
        <v>0</v>
      </c>
      <c r="AI135" s="222">
        <v>0</v>
      </c>
      <c r="AJ135" s="221">
        <v>0</v>
      </c>
      <c r="AK135" s="222">
        <v>0</v>
      </c>
      <c r="AL135" s="222">
        <v>0</v>
      </c>
      <c r="AM135" s="222">
        <v>0</v>
      </c>
      <c r="AN135" s="222"/>
      <c r="AO135" s="222">
        <v>0</v>
      </c>
    </row>
    <row r="136" spans="1:41" s="223" customFormat="1" ht="36" customHeight="1" x14ac:dyDescent="0.25">
      <c r="A136" s="223">
        <v>1</v>
      </c>
      <c r="B136" s="225">
        <f>SUBTOTAL(103,$A$16:A136)</f>
        <v>120</v>
      </c>
      <c r="C136" s="215" t="s">
        <v>1136</v>
      </c>
      <c r="D136" s="217" t="s">
        <v>1325</v>
      </c>
      <c r="E136" s="217"/>
      <c r="F136" s="226" t="s">
        <v>267</v>
      </c>
      <c r="G136" s="217" t="s">
        <v>303</v>
      </c>
      <c r="H136" s="217" t="s">
        <v>303</v>
      </c>
      <c r="I136" s="190">
        <v>823.9</v>
      </c>
      <c r="J136" s="190">
        <v>758.2</v>
      </c>
      <c r="K136" s="190">
        <v>758.2</v>
      </c>
      <c r="L136" s="219">
        <v>35</v>
      </c>
      <c r="M136" s="217" t="s">
        <v>265</v>
      </c>
      <c r="N136" s="217" t="s">
        <v>269</v>
      </c>
      <c r="O136" s="220" t="s">
        <v>346</v>
      </c>
      <c r="P136" s="190">
        <v>1787071.37</v>
      </c>
      <c r="Q136" s="190">
        <v>0</v>
      </c>
      <c r="R136" s="190">
        <v>0</v>
      </c>
      <c r="S136" s="190">
        <f t="shared" si="12"/>
        <v>1787071.37</v>
      </c>
      <c r="T136" s="190">
        <f t="shared" si="6"/>
        <v>2169.0391673746817</v>
      </c>
      <c r="U136" s="190">
        <v>7820.6710231824245</v>
      </c>
      <c r="V136" s="221">
        <f t="shared" si="8"/>
        <v>5651.6318558077428</v>
      </c>
      <c r="W136" s="221">
        <f t="shared" si="13"/>
        <v>6698.1696128170897</v>
      </c>
      <c r="X136" s="221">
        <v>0</v>
      </c>
      <c r="Y136" s="222">
        <v>0</v>
      </c>
      <c r="Z136" s="222">
        <v>0</v>
      </c>
      <c r="AA136" s="222">
        <v>0</v>
      </c>
      <c r="AB136" s="222">
        <v>0</v>
      </c>
      <c r="AC136" s="222">
        <v>0</v>
      </c>
      <c r="AD136" s="222">
        <v>0</v>
      </c>
      <c r="AE136" s="222">
        <v>0</v>
      </c>
      <c r="AF136" s="221">
        <v>0</v>
      </c>
      <c r="AG136" s="222">
        <v>0</v>
      </c>
      <c r="AH136" s="221">
        <v>0</v>
      </c>
      <c r="AI136" s="222">
        <v>741.84</v>
      </c>
      <c r="AJ136" s="221">
        <f>7439.1*AI136/I136</f>
        <v>6698.1696128170897</v>
      </c>
      <c r="AK136" s="222">
        <v>0</v>
      </c>
      <c r="AL136" s="222">
        <v>0</v>
      </c>
      <c r="AM136" s="222">
        <v>0</v>
      </c>
      <c r="AN136" s="222"/>
      <c r="AO136" s="222">
        <v>0</v>
      </c>
    </row>
    <row r="137" spans="1:41" s="223" customFormat="1" ht="36" customHeight="1" x14ac:dyDescent="0.25">
      <c r="A137" s="223">
        <v>1</v>
      </c>
      <c r="B137" s="225">
        <f>SUBTOTAL(103,$A$16:A137)</f>
        <v>121</v>
      </c>
      <c r="C137" s="215" t="s">
        <v>1137</v>
      </c>
      <c r="D137" s="217">
        <v>1956</v>
      </c>
      <c r="E137" s="217"/>
      <c r="F137" s="226" t="s">
        <v>267</v>
      </c>
      <c r="G137" s="217">
        <v>2</v>
      </c>
      <c r="H137" s="217" t="s">
        <v>304</v>
      </c>
      <c r="I137" s="190">
        <v>420.5</v>
      </c>
      <c r="J137" s="190">
        <v>420.5</v>
      </c>
      <c r="K137" s="190">
        <v>420.5</v>
      </c>
      <c r="L137" s="219">
        <v>20</v>
      </c>
      <c r="M137" s="217" t="s">
        <v>265</v>
      </c>
      <c r="N137" s="217" t="s">
        <v>266</v>
      </c>
      <c r="O137" s="220" t="s">
        <v>268</v>
      </c>
      <c r="P137" s="190">
        <v>121797.55</v>
      </c>
      <c r="Q137" s="190">
        <v>0</v>
      </c>
      <c r="R137" s="190">
        <v>0</v>
      </c>
      <c r="S137" s="190">
        <f t="shared" si="12"/>
        <v>121797.55</v>
      </c>
      <c r="T137" s="190">
        <f t="shared" si="6"/>
        <v>289.64934601664686</v>
      </c>
      <c r="U137" s="190">
        <v>810.46</v>
      </c>
      <c r="V137" s="221">
        <f t="shared" si="8"/>
        <v>520.81065398335318</v>
      </c>
      <c r="W137" s="221">
        <f t="shared" si="13"/>
        <v>15323.307624256837</v>
      </c>
      <c r="X137" s="221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1">
        <v>0</v>
      </c>
      <c r="AG137" s="222">
        <v>0</v>
      </c>
      <c r="AH137" s="221">
        <v>0</v>
      </c>
      <c r="AI137" s="222">
        <v>866.16</v>
      </c>
      <c r="AJ137" s="221">
        <f>7439.1*AI137/I137</f>
        <v>15323.307624256837</v>
      </c>
      <c r="AK137" s="222">
        <v>0</v>
      </c>
      <c r="AL137" s="222">
        <v>0</v>
      </c>
      <c r="AM137" s="222">
        <v>0</v>
      </c>
      <c r="AN137" s="222"/>
      <c r="AO137" s="222">
        <v>0</v>
      </c>
    </row>
    <row r="138" spans="1:41" s="223" customFormat="1" ht="36" customHeight="1" x14ac:dyDescent="0.25">
      <c r="A138" s="223">
        <v>1</v>
      </c>
      <c r="B138" s="225">
        <f>SUBTOTAL(103,$A$16:A138)</f>
        <v>122</v>
      </c>
      <c r="C138" s="215" t="s">
        <v>1138</v>
      </c>
      <c r="D138" s="217">
        <v>1949</v>
      </c>
      <c r="E138" s="217">
        <v>2008</v>
      </c>
      <c r="F138" s="226" t="s">
        <v>267</v>
      </c>
      <c r="G138" s="217" t="s">
        <v>303</v>
      </c>
      <c r="H138" s="217" t="s">
        <v>304</v>
      </c>
      <c r="I138" s="190">
        <v>446.3</v>
      </c>
      <c r="J138" s="190">
        <v>446.3</v>
      </c>
      <c r="K138" s="190">
        <v>446.3</v>
      </c>
      <c r="L138" s="219">
        <v>28</v>
      </c>
      <c r="M138" s="217" t="s">
        <v>265</v>
      </c>
      <c r="N138" s="217" t="s">
        <v>266</v>
      </c>
      <c r="O138" s="220" t="s">
        <v>268</v>
      </c>
      <c r="P138" s="190">
        <v>940372.45000000007</v>
      </c>
      <c r="Q138" s="190">
        <v>0</v>
      </c>
      <c r="R138" s="190">
        <v>0</v>
      </c>
      <c r="S138" s="190">
        <f t="shared" si="12"/>
        <v>940372.45000000007</v>
      </c>
      <c r="T138" s="190">
        <f t="shared" si="6"/>
        <v>2107.0411158413626</v>
      </c>
      <c r="U138" s="190">
        <v>7265.748801254761</v>
      </c>
      <c r="V138" s="221">
        <f t="shared" si="8"/>
        <v>5158.7076854133984</v>
      </c>
      <c r="W138" s="221">
        <f t="shared" si="13"/>
        <v>795.31</v>
      </c>
      <c r="X138" s="221">
        <v>0</v>
      </c>
      <c r="Y138" s="222">
        <v>0</v>
      </c>
      <c r="Z138" s="222">
        <v>0</v>
      </c>
      <c r="AA138" s="222">
        <v>0</v>
      </c>
      <c r="AB138" s="222">
        <v>795.31</v>
      </c>
      <c r="AC138" s="222">
        <v>0</v>
      </c>
      <c r="AD138" s="222">
        <v>0</v>
      </c>
      <c r="AE138" s="222">
        <v>0</v>
      </c>
      <c r="AF138" s="221">
        <v>0</v>
      </c>
      <c r="AG138" s="222">
        <v>0</v>
      </c>
      <c r="AH138" s="221">
        <v>0</v>
      </c>
      <c r="AI138" s="222">
        <v>0</v>
      </c>
      <c r="AJ138" s="221">
        <v>0</v>
      </c>
      <c r="AK138" s="222">
        <v>0</v>
      </c>
      <c r="AL138" s="222">
        <v>0</v>
      </c>
      <c r="AM138" s="222">
        <v>0</v>
      </c>
      <c r="AN138" s="222"/>
      <c r="AO138" s="222">
        <v>0</v>
      </c>
    </row>
    <row r="139" spans="1:41" s="223" customFormat="1" ht="36" customHeight="1" x14ac:dyDescent="0.25">
      <c r="A139" s="223">
        <v>1</v>
      </c>
      <c r="B139" s="225">
        <f>SUBTOTAL(103,$A$16:A139)</f>
        <v>123</v>
      </c>
      <c r="C139" s="215" t="s">
        <v>1139</v>
      </c>
      <c r="D139" s="217">
        <v>1964</v>
      </c>
      <c r="E139" s="217"/>
      <c r="F139" s="226" t="s">
        <v>267</v>
      </c>
      <c r="G139" s="217">
        <v>2</v>
      </c>
      <c r="H139" s="217" t="s">
        <v>304</v>
      </c>
      <c r="I139" s="190">
        <v>380.8</v>
      </c>
      <c r="J139" s="190">
        <v>380.8</v>
      </c>
      <c r="K139" s="190">
        <v>380.8</v>
      </c>
      <c r="L139" s="219">
        <v>13</v>
      </c>
      <c r="M139" s="217" t="s">
        <v>265</v>
      </c>
      <c r="N139" s="217" t="s">
        <v>266</v>
      </c>
      <c r="O139" s="220" t="s">
        <v>268</v>
      </c>
      <c r="P139" s="190">
        <v>291919.38999999996</v>
      </c>
      <c r="Q139" s="190">
        <v>0</v>
      </c>
      <c r="R139" s="190">
        <v>0</v>
      </c>
      <c r="S139" s="190">
        <f t="shared" si="12"/>
        <v>291919.38999999996</v>
      </c>
      <c r="T139" s="190">
        <f t="shared" si="6"/>
        <v>766.5950367647057</v>
      </c>
      <c r="U139" s="190">
        <v>1108.53</v>
      </c>
      <c r="V139" s="221">
        <f t="shared" si="8"/>
        <v>341.93496323529428</v>
      </c>
      <c r="W139" s="221">
        <f t="shared" si="13"/>
        <v>9572.3713235294108</v>
      </c>
      <c r="X139" s="221">
        <v>0</v>
      </c>
      <c r="Y139" s="222">
        <v>0</v>
      </c>
      <c r="Z139" s="222">
        <v>0</v>
      </c>
      <c r="AA139" s="222">
        <v>0</v>
      </c>
      <c r="AB139" s="222">
        <v>0</v>
      </c>
      <c r="AC139" s="222">
        <v>0</v>
      </c>
      <c r="AD139" s="222">
        <v>0</v>
      </c>
      <c r="AE139" s="222">
        <v>0</v>
      </c>
      <c r="AF139" s="221">
        <v>0</v>
      </c>
      <c r="AG139" s="222">
        <v>0</v>
      </c>
      <c r="AH139" s="221">
        <v>0</v>
      </c>
      <c r="AI139" s="222">
        <v>490</v>
      </c>
      <c r="AJ139" s="221">
        <f>7439.1*AI139/I139</f>
        <v>9572.3713235294108</v>
      </c>
      <c r="AK139" s="222">
        <v>0</v>
      </c>
      <c r="AL139" s="222">
        <v>0</v>
      </c>
      <c r="AM139" s="222">
        <v>0</v>
      </c>
      <c r="AN139" s="222"/>
      <c r="AO139" s="222">
        <v>0</v>
      </c>
    </row>
    <row r="140" spans="1:41" s="223" customFormat="1" ht="36" customHeight="1" x14ac:dyDescent="0.25">
      <c r="A140" s="223">
        <v>1</v>
      </c>
      <c r="B140" s="225">
        <f>SUBTOTAL(103,$A$16:A140)</f>
        <v>124</v>
      </c>
      <c r="C140" s="215" t="s">
        <v>1140</v>
      </c>
      <c r="D140" s="217">
        <v>1956</v>
      </c>
      <c r="E140" s="217"/>
      <c r="F140" s="226" t="s">
        <v>324</v>
      </c>
      <c r="G140" s="217">
        <v>2</v>
      </c>
      <c r="H140" s="217" t="s">
        <v>303</v>
      </c>
      <c r="I140" s="190">
        <v>672.3</v>
      </c>
      <c r="J140" s="190">
        <v>672.3</v>
      </c>
      <c r="K140" s="190">
        <v>577.9</v>
      </c>
      <c r="L140" s="219">
        <v>17</v>
      </c>
      <c r="M140" s="217" t="s">
        <v>265</v>
      </c>
      <c r="N140" s="217" t="s">
        <v>266</v>
      </c>
      <c r="O140" s="220" t="s">
        <v>268</v>
      </c>
      <c r="P140" s="190">
        <v>1755092.12</v>
      </c>
      <c r="Q140" s="190">
        <v>0</v>
      </c>
      <c r="R140" s="190">
        <v>0</v>
      </c>
      <c r="S140" s="190">
        <f t="shared" si="12"/>
        <v>1755092.12</v>
      </c>
      <c r="T140" s="190">
        <f t="shared" si="6"/>
        <v>2610.5787892309986</v>
      </c>
      <c r="U140" s="190">
        <v>9318.6816113342247</v>
      </c>
      <c r="V140" s="221">
        <f t="shared" si="8"/>
        <v>6708.1028221032266</v>
      </c>
      <c r="W140" s="221">
        <f t="shared" si="13"/>
        <v>1081.8399999999999</v>
      </c>
      <c r="X140" s="221">
        <v>101.55</v>
      </c>
      <c r="Y140" s="222">
        <v>0</v>
      </c>
      <c r="Z140" s="222">
        <v>0</v>
      </c>
      <c r="AA140" s="222">
        <v>184.98</v>
      </c>
      <c r="AB140" s="222">
        <v>795.31</v>
      </c>
      <c r="AC140" s="222">
        <v>0</v>
      </c>
      <c r="AD140" s="222">
        <v>0</v>
      </c>
      <c r="AE140" s="222">
        <v>0</v>
      </c>
      <c r="AF140" s="221">
        <v>0</v>
      </c>
      <c r="AG140" s="222">
        <v>0</v>
      </c>
      <c r="AH140" s="221">
        <v>0</v>
      </c>
      <c r="AI140" s="222">
        <v>0</v>
      </c>
      <c r="AJ140" s="221">
        <v>0</v>
      </c>
      <c r="AK140" s="222">
        <v>0</v>
      </c>
      <c r="AL140" s="222">
        <v>0</v>
      </c>
      <c r="AM140" s="222">
        <v>0</v>
      </c>
      <c r="AN140" s="222"/>
      <c r="AO140" s="222">
        <v>0</v>
      </c>
    </row>
    <row r="141" spans="1:41" s="223" customFormat="1" ht="36" customHeight="1" x14ac:dyDescent="0.25">
      <c r="A141" s="223">
        <v>1</v>
      </c>
      <c r="B141" s="225">
        <f>SUBTOTAL(103,$A$16:A141)</f>
        <v>125</v>
      </c>
      <c r="C141" s="215" t="s">
        <v>1141</v>
      </c>
      <c r="D141" s="217">
        <v>1961</v>
      </c>
      <c r="E141" s="217"/>
      <c r="F141" s="226" t="s">
        <v>267</v>
      </c>
      <c r="G141" s="217">
        <v>2</v>
      </c>
      <c r="H141" s="217" t="s">
        <v>303</v>
      </c>
      <c r="I141" s="190">
        <v>546.70000000000005</v>
      </c>
      <c r="J141" s="190">
        <v>546.70000000000005</v>
      </c>
      <c r="K141" s="190">
        <v>546.70000000000005</v>
      </c>
      <c r="L141" s="219">
        <v>45</v>
      </c>
      <c r="M141" s="217" t="s">
        <v>265</v>
      </c>
      <c r="N141" s="217" t="s">
        <v>266</v>
      </c>
      <c r="O141" s="220" t="s">
        <v>268</v>
      </c>
      <c r="P141" s="190">
        <v>1184059.1499999999</v>
      </c>
      <c r="Q141" s="190">
        <v>0</v>
      </c>
      <c r="R141" s="190">
        <v>0</v>
      </c>
      <c r="S141" s="190">
        <f t="shared" si="12"/>
        <v>1184059.1499999999</v>
      </c>
      <c r="T141" s="190">
        <f t="shared" ref="T141:T204" si="15">P141/I141</f>
        <v>2165.8297969635996</v>
      </c>
      <c r="U141" s="190">
        <v>7798.604338759832</v>
      </c>
      <c r="V141" s="221">
        <f t="shared" si="8"/>
        <v>5632.7745417962324</v>
      </c>
      <c r="W141" s="221">
        <f t="shared" si="13"/>
        <v>11459.574990488383</v>
      </c>
      <c r="X141" s="221">
        <v>0</v>
      </c>
      <c r="Y141" s="222">
        <v>0</v>
      </c>
      <c r="Z141" s="222">
        <v>0</v>
      </c>
      <c r="AA141" s="222">
        <v>0</v>
      </c>
      <c r="AB141" s="222">
        <v>0</v>
      </c>
      <c r="AC141" s="222">
        <v>0</v>
      </c>
      <c r="AD141" s="222">
        <v>0</v>
      </c>
      <c r="AE141" s="222">
        <v>0</v>
      </c>
      <c r="AF141" s="221">
        <v>0</v>
      </c>
      <c r="AG141" s="222">
        <v>0</v>
      </c>
      <c r="AH141" s="221">
        <v>0</v>
      </c>
      <c r="AI141" s="222">
        <v>802.93</v>
      </c>
      <c r="AJ141" s="221">
        <f>7802.61*AI141/I141</f>
        <v>11459.574990488383</v>
      </c>
      <c r="AK141" s="222">
        <v>0</v>
      </c>
      <c r="AL141" s="222">
        <v>0</v>
      </c>
      <c r="AM141" s="222">
        <v>0</v>
      </c>
      <c r="AN141" s="222"/>
      <c r="AO141" s="222">
        <v>0</v>
      </c>
    </row>
    <row r="142" spans="1:41" s="223" customFormat="1" ht="36" customHeight="1" x14ac:dyDescent="0.25">
      <c r="A142" s="223">
        <v>1</v>
      </c>
      <c r="B142" s="225">
        <f>SUBTOTAL(103,$A$16:A142)</f>
        <v>126</v>
      </c>
      <c r="C142" s="215" t="s">
        <v>1143</v>
      </c>
      <c r="D142" s="217">
        <v>1993</v>
      </c>
      <c r="E142" s="217">
        <v>2016</v>
      </c>
      <c r="F142" s="226" t="s">
        <v>287</v>
      </c>
      <c r="G142" s="217">
        <v>9</v>
      </c>
      <c r="H142" s="217" t="s">
        <v>308</v>
      </c>
      <c r="I142" s="190">
        <v>9105.2999999999993</v>
      </c>
      <c r="J142" s="190">
        <v>9105.2999999999993</v>
      </c>
      <c r="K142" s="190">
        <v>9105.2999999999993</v>
      </c>
      <c r="L142" s="219">
        <v>293</v>
      </c>
      <c r="M142" s="217" t="s">
        <v>265</v>
      </c>
      <c r="N142" s="217" t="s">
        <v>341</v>
      </c>
      <c r="O142" s="220" t="s">
        <v>1326</v>
      </c>
      <c r="P142" s="190">
        <v>5593558.4000000004</v>
      </c>
      <c r="Q142" s="190">
        <v>0</v>
      </c>
      <c r="R142" s="190">
        <v>0</v>
      </c>
      <c r="S142" s="190">
        <f t="shared" si="12"/>
        <v>5593558.4000000004</v>
      </c>
      <c r="T142" s="190">
        <f t="shared" si="15"/>
        <v>614.31895709092521</v>
      </c>
      <c r="U142" s="190">
        <v>1079.7227988094846</v>
      </c>
      <c r="V142" s="221">
        <f t="shared" si="8"/>
        <v>465.40384171855942</v>
      </c>
      <c r="W142" s="221">
        <f t="shared" si="13"/>
        <v>468.24343975486812</v>
      </c>
      <c r="X142" s="221">
        <v>0</v>
      </c>
      <c r="Y142" s="222">
        <v>0</v>
      </c>
      <c r="Z142" s="222">
        <v>0</v>
      </c>
      <c r="AA142" s="222">
        <v>0</v>
      </c>
      <c r="AB142" s="222">
        <v>0</v>
      </c>
      <c r="AC142" s="222">
        <v>0</v>
      </c>
      <c r="AD142" s="222">
        <v>0</v>
      </c>
      <c r="AE142" s="222">
        <v>0</v>
      </c>
      <c r="AF142" s="221">
        <v>0</v>
      </c>
      <c r="AG142" s="222">
        <v>0</v>
      </c>
      <c r="AH142" s="221">
        <v>0</v>
      </c>
      <c r="AI142" s="222">
        <v>573.12</v>
      </c>
      <c r="AJ142" s="221">
        <f>7439.1*AI142/I142</f>
        <v>468.24343975486812</v>
      </c>
      <c r="AK142" s="222">
        <v>0</v>
      </c>
      <c r="AL142" s="222">
        <v>0</v>
      </c>
      <c r="AM142" s="222">
        <v>0</v>
      </c>
      <c r="AN142" s="222"/>
      <c r="AO142" s="222">
        <v>0</v>
      </c>
    </row>
    <row r="143" spans="1:41" s="223" customFormat="1" ht="36" customHeight="1" x14ac:dyDescent="0.25">
      <c r="A143" s="223">
        <v>1</v>
      </c>
      <c r="B143" s="225">
        <f>SUBTOTAL(103,$A$16:A143)</f>
        <v>127</v>
      </c>
      <c r="C143" s="215" t="s">
        <v>1144</v>
      </c>
      <c r="D143" s="217">
        <v>1977</v>
      </c>
      <c r="E143" s="217">
        <v>2014</v>
      </c>
      <c r="F143" s="226" t="s">
        <v>267</v>
      </c>
      <c r="G143" s="217">
        <v>5</v>
      </c>
      <c r="H143" s="217" t="s">
        <v>308</v>
      </c>
      <c r="I143" s="190">
        <v>3912.3</v>
      </c>
      <c r="J143" s="190">
        <v>3639.1</v>
      </c>
      <c r="K143" s="190">
        <v>2732.3</v>
      </c>
      <c r="L143" s="219">
        <v>140</v>
      </c>
      <c r="M143" s="217" t="s">
        <v>265</v>
      </c>
      <c r="N143" s="217" t="s">
        <v>269</v>
      </c>
      <c r="O143" s="220" t="s">
        <v>1299</v>
      </c>
      <c r="P143" s="190">
        <v>1052135.6300000001</v>
      </c>
      <c r="Q143" s="190">
        <v>0</v>
      </c>
      <c r="R143" s="190">
        <v>0</v>
      </c>
      <c r="S143" s="190">
        <f t="shared" si="12"/>
        <v>1052135.6300000001</v>
      </c>
      <c r="T143" s="190">
        <f t="shared" si="15"/>
        <v>268.9302021828592</v>
      </c>
      <c r="U143" s="190">
        <v>1108.53</v>
      </c>
      <c r="V143" s="221">
        <f t="shared" si="8"/>
        <v>839.59979781714082</v>
      </c>
      <c r="W143" s="221">
        <f t="shared" si="13"/>
        <v>2512.8952278710731</v>
      </c>
      <c r="X143" s="221">
        <v>0</v>
      </c>
      <c r="Y143" s="222">
        <v>0</v>
      </c>
      <c r="Z143" s="222">
        <v>0</v>
      </c>
      <c r="AA143" s="222">
        <v>0</v>
      </c>
      <c r="AB143" s="222">
        <v>0</v>
      </c>
      <c r="AC143" s="222">
        <v>4</v>
      </c>
      <c r="AD143" s="221">
        <f>2457800*AC143/I143</f>
        <v>2512.8952278710731</v>
      </c>
      <c r="AE143" s="222">
        <v>0</v>
      </c>
      <c r="AF143" s="221">
        <v>0</v>
      </c>
      <c r="AG143" s="222">
        <v>0</v>
      </c>
      <c r="AH143" s="221">
        <v>0</v>
      </c>
      <c r="AI143" s="222">
        <v>0</v>
      </c>
      <c r="AJ143" s="221">
        <v>0</v>
      </c>
      <c r="AK143" s="222">
        <v>0</v>
      </c>
      <c r="AL143" s="222">
        <v>0</v>
      </c>
      <c r="AM143" s="222">
        <v>0</v>
      </c>
      <c r="AN143" s="222"/>
      <c r="AO143" s="222">
        <v>0</v>
      </c>
    </row>
    <row r="144" spans="1:41" s="223" customFormat="1" ht="36" customHeight="1" x14ac:dyDescent="0.25">
      <c r="A144" s="223">
        <v>1</v>
      </c>
      <c r="B144" s="225">
        <f>SUBTOTAL(103,$A$16:A144)</f>
        <v>128</v>
      </c>
      <c r="C144" s="215" t="s">
        <v>1145</v>
      </c>
      <c r="D144" s="217">
        <v>1970</v>
      </c>
      <c r="E144" s="217"/>
      <c r="F144" s="226" t="s">
        <v>267</v>
      </c>
      <c r="G144" s="217">
        <v>5</v>
      </c>
      <c r="H144" s="217" t="s">
        <v>308</v>
      </c>
      <c r="I144" s="190">
        <v>3635.4</v>
      </c>
      <c r="J144" s="190">
        <v>3360</v>
      </c>
      <c r="K144" s="190">
        <v>3247.2</v>
      </c>
      <c r="L144" s="219">
        <v>167</v>
      </c>
      <c r="M144" s="217" t="s">
        <v>265</v>
      </c>
      <c r="N144" s="217" t="s">
        <v>269</v>
      </c>
      <c r="O144" s="220" t="s">
        <v>1327</v>
      </c>
      <c r="P144" s="190">
        <v>1528398.5699999998</v>
      </c>
      <c r="Q144" s="190">
        <v>0</v>
      </c>
      <c r="R144" s="190">
        <v>0</v>
      </c>
      <c r="S144" s="190">
        <f t="shared" si="12"/>
        <v>1528398.5699999998</v>
      </c>
      <c r="T144" s="190">
        <f t="shared" si="15"/>
        <v>420.42101831985468</v>
      </c>
      <c r="U144" s="190">
        <v>1371.2800000000002</v>
      </c>
      <c r="V144" s="221">
        <f t="shared" si="8"/>
        <v>950.85898168014546</v>
      </c>
      <c r="W144" s="221">
        <f t="shared" si="13"/>
        <v>1081.8399999999999</v>
      </c>
      <c r="X144" s="221">
        <v>101.55</v>
      </c>
      <c r="Y144" s="222">
        <v>0</v>
      </c>
      <c r="Z144" s="222">
        <v>0</v>
      </c>
      <c r="AA144" s="222">
        <v>184.98</v>
      </c>
      <c r="AB144" s="222">
        <v>795.31</v>
      </c>
      <c r="AC144" s="222">
        <v>0</v>
      </c>
      <c r="AD144" s="222">
        <v>0</v>
      </c>
      <c r="AE144" s="222">
        <v>0</v>
      </c>
      <c r="AF144" s="221">
        <v>0</v>
      </c>
      <c r="AG144" s="222">
        <v>0</v>
      </c>
      <c r="AH144" s="221">
        <v>0</v>
      </c>
      <c r="AI144" s="222">
        <v>0</v>
      </c>
      <c r="AJ144" s="221">
        <v>0</v>
      </c>
      <c r="AK144" s="222">
        <v>0</v>
      </c>
      <c r="AL144" s="222">
        <v>0</v>
      </c>
      <c r="AM144" s="222">
        <v>0</v>
      </c>
      <c r="AN144" s="222"/>
      <c r="AO144" s="222">
        <v>0</v>
      </c>
    </row>
    <row r="145" spans="1:41" s="223" customFormat="1" ht="36" customHeight="1" x14ac:dyDescent="0.25">
      <c r="A145" s="223">
        <v>1</v>
      </c>
      <c r="B145" s="225">
        <f>SUBTOTAL(103,$A$16:A145)</f>
        <v>129</v>
      </c>
      <c r="C145" s="215" t="s">
        <v>1146</v>
      </c>
      <c r="D145" s="217">
        <v>1985</v>
      </c>
      <c r="E145" s="217">
        <v>2014</v>
      </c>
      <c r="F145" s="226" t="s">
        <v>267</v>
      </c>
      <c r="G145" s="217">
        <v>9</v>
      </c>
      <c r="H145" s="217" t="s">
        <v>312</v>
      </c>
      <c r="I145" s="190">
        <v>7073.4</v>
      </c>
      <c r="J145" s="190">
        <v>6236.1</v>
      </c>
      <c r="K145" s="190">
        <v>5330.6</v>
      </c>
      <c r="L145" s="219">
        <v>229</v>
      </c>
      <c r="M145" s="217" t="s">
        <v>265</v>
      </c>
      <c r="N145" s="217" t="s">
        <v>269</v>
      </c>
      <c r="O145" s="220" t="s">
        <v>1327</v>
      </c>
      <c r="P145" s="190">
        <v>285579.52000000002</v>
      </c>
      <c r="Q145" s="190">
        <v>0</v>
      </c>
      <c r="R145" s="190">
        <v>0</v>
      </c>
      <c r="S145" s="190">
        <f t="shared" si="12"/>
        <v>285579.52000000002</v>
      </c>
      <c r="T145" s="190">
        <f t="shared" si="15"/>
        <v>40.373726920575685</v>
      </c>
      <c r="U145" s="190">
        <v>184.98</v>
      </c>
      <c r="V145" s="221">
        <f t="shared" ref="V145:V208" si="16">U145-T145</f>
        <v>144.60627307942431</v>
      </c>
      <c r="W145" s="221">
        <f t="shared" si="13"/>
        <v>4586.9399999999996</v>
      </c>
      <c r="X145" s="221">
        <v>101.55</v>
      </c>
      <c r="Y145" s="222">
        <v>245.44</v>
      </c>
      <c r="Z145" s="222">
        <v>3259.66</v>
      </c>
      <c r="AA145" s="222">
        <v>184.98</v>
      </c>
      <c r="AB145" s="222">
        <v>795.31</v>
      </c>
      <c r="AC145" s="222">
        <v>0</v>
      </c>
      <c r="AD145" s="222">
        <v>0</v>
      </c>
      <c r="AE145" s="222">
        <v>0</v>
      </c>
      <c r="AF145" s="221">
        <v>0</v>
      </c>
      <c r="AG145" s="222">
        <v>0</v>
      </c>
      <c r="AH145" s="221">
        <v>0</v>
      </c>
      <c r="AI145" s="222">
        <v>0</v>
      </c>
      <c r="AJ145" s="221">
        <v>0</v>
      </c>
      <c r="AK145" s="222">
        <v>0</v>
      </c>
      <c r="AL145" s="222">
        <v>0</v>
      </c>
      <c r="AM145" s="222">
        <v>0</v>
      </c>
      <c r="AN145" s="222"/>
      <c r="AO145" s="222">
        <v>0</v>
      </c>
    </row>
    <row r="146" spans="1:41" s="223" customFormat="1" ht="36" customHeight="1" x14ac:dyDescent="0.25">
      <c r="A146" s="223">
        <v>1</v>
      </c>
      <c r="B146" s="225">
        <f>SUBTOTAL(103,$A$16:A146)</f>
        <v>130</v>
      </c>
      <c r="C146" s="215" t="s">
        <v>1147</v>
      </c>
      <c r="D146" s="217">
        <v>1966</v>
      </c>
      <c r="E146" s="217"/>
      <c r="F146" s="226" t="s">
        <v>267</v>
      </c>
      <c r="G146" s="217">
        <v>2</v>
      </c>
      <c r="H146" s="217" t="s">
        <v>303</v>
      </c>
      <c r="I146" s="190">
        <v>787.5</v>
      </c>
      <c r="J146" s="190">
        <v>727.8</v>
      </c>
      <c r="K146" s="190">
        <v>727.8</v>
      </c>
      <c r="L146" s="219">
        <v>35</v>
      </c>
      <c r="M146" s="217" t="s">
        <v>265</v>
      </c>
      <c r="N146" s="217" t="s">
        <v>266</v>
      </c>
      <c r="O146" s="220" t="s">
        <v>268</v>
      </c>
      <c r="P146" s="190">
        <v>2415665.65</v>
      </c>
      <c r="Q146" s="190">
        <v>0</v>
      </c>
      <c r="R146" s="190">
        <v>0</v>
      </c>
      <c r="S146" s="190">
        <f t="shared" si="12"/>
        <v>2415665.65</v>
      </c>
      <c r="T146" s="190">
        <f t="shared" si="15"/>
        <v>3067.5119365079363</v>
      </c>
      <c r="U146" s="190">
        <v>5115.2587936507935</v>
      </c>
      <c r="V146" s="221">
        <f t="shared" si="16"/>
        <v>2047.7468571428572</v>
      </c>
      <c r="W146" s="221">
        <f t="shared" si="13"/>
        <v>184.98</v>
      </c>
      <c r="X146" s="221">
        <v>0</v>
      </c>
      <c r="Y146" s="222">
        <v>0</v>
      </c>
      <c r="Z146" s="222">
        <v>0</v>
      </c>
      <c r="AA146" s="222">
        <v>184.98</v>
      </c>
      <c r="AB146" s="222">
        <v>0</v>
      </c>
      <c r="AC146" s="222">
        <v>0</v>
      </c>
      <c r="AD146" s="222">
        <v>0</v>
      </c>
      <c r="AE146" s="222">
        <v>0</v>
      </c>
      <c r="AF146" s="221">
        <v>0</v>
      </c>
      <c r="AG146" s="222">
        <v>0</v>
      </c>
      <c r="AH146" s="221">
        <v>0</v>
      </c>
      <c r="AI146" s="222">
        <v>0</v>
      </c>
      <c r="AJ146" s="221">
        <v>0</v>
      </c>
      <c r="AK146" s="222">
        <v>0</v>
      </c>
      <c r="AL146" s="222">
        <v>0</v>
      </c>
      <c r="AM146" s="222">
        <v>0</v>
      </c>
      <c r="AN146" s="222"/>
      <c r="AO146" s="222">
        <v>0</v>
      </c>
    </row>
    <row r="147" spans="1:41" s="223" customFormat="1" ht="36" customHeight="1" x14ac:dyDescent="0.25">
      <c r="A147" s="223">
        <v>1</v>
      </c>
      <c r="B147" s="225">
        <f>SUBTOTAL(103,$A$16:A147)</f>
        <v>131</v>
      </c>
      <c r="C147" s="215" t="s">
        <v>1283</v>
      </c>
      <c r="D147" s="217">
        <v>1977</v>
      </c>
      <c r="E147" s="217"/>
      <c r="F147" s="226" t="s">
        <v>318</v>
      </c>
      <c r="G147" s="217">
        <v>5</v>
      </c>
      <c r="H147" s="217" t="s">
        <v>2266</v>
      </c>
      <c r="I147" s="190">
        <v>6715.9</v>
      </c>
      <c r="J147" s="190">
        <v>6150.8</v>
      </c>
      <c r="K147" s="190">
        <v>6150.8</v>
      </c>
      <c r="L147" s="219">
        <v>309</v>
      </c>
      <c r="M147" s="217" t="s">
        <v>265</v>
      </c>
      <c r="N147" s="217" t="s">
        <v>269</v>
      </c>
      <c r="O147" s="220" t="s">
        <v>1351</v>
      </c>
      <c r="P147" s="190">
        <v>5623327.0800000001</v>
      </c>
      <c r="Q147" s="190">
        <v>0</v>
      </c>
      <c r="R147" s="190">
        <v>0</v>
      </c>
      <c r="S147" s="190">
        <f t="shared" si="12"/>
        <v>5623327.0800000001</v>
      </c>
      <c r="T147" s="190">
        <f t="shared" si="15"/>
        <v>837.31548712756296</v>
      </c>
      <c r="U147" s="190">
        <v>1450.3782376152117</v>
      </c>
      <c r="V147" s="221">
        <f t="shared" si="16"/>
        <v>613.06275048764871</v>
      </c>
      <c r="W147" s="221">
        <f t="shared" si="13"/>
        <v>575.03615152101736</v>
      </c>
      <c r="X147" s="221">
        <v>0</v>
      </c>
      <c r="Y147" s="222">
        <v>0</v>
      </c>
      <c r="Z147" s="222">
        <v>0</v>
      </c>
      <c r="AA147" s="222">
        <v>0</v>
      </c>
      <c r="AB147" s="222">
        <v>0</v>
      </c>
      <c r="AC147" s="222">
        <v>0</v>
      </c>
      <c r="AD147" s="222">
        <v>0</v>
      </c>
      <c r="AE147" s="222">
        <v>619</v>
      </c>
      <c r="AF147" s="221">
        <f>6238.91*AE147/I147</f>
        <v>575.03615152101736</v>
      </c>
      <c r="AG147" s="222">
        <v>0</v>
      </c>
      <c r="AH147" s="221">
        <v>0</v>
      </c>
      <c r="AI147" s="222">
        <v>0</v>
      </c>
      <c r="AJ147" s="221">
        <v>0</v>
      </c>
      <c r="AK147" s="222">
        <v>0</v>
      </c>
      <c r="AL147" s="222">
        <v>0</v>
      </c>
      <c r="AM147" s="222">
        <v>0</v>
      </c>
      <c r="AN147" s="222"/>
      <c r="AO147" s="222">
        <v>0</v>
      </c>
    </row>
    <row r="148" spans="1:41" s="223" customFormat="1" ht="36" customHeight="1" x14ac:dyDescent="0.25">
      <c r="A148" s="223">
        <v>1</v>
      </c>
      <c r="B148" s="225">
        <f>SUBTOTAL(103,$A$16:A148)</f>
        <v>132</v>
      </c>
      <c r="C148" s="215" t="s">
        <v>462</v>
      </c>
      <c r="D148" s="217">
        <v>1970</v>
      </c>
      <c r="E148" s="217"/>
      <c r="F148" s="226" t="s">
        <v>267</v>
      </c>
      <c r="G148" s="217">
        <v>2</v>
      </c>
      <c r="H148" s="217" t="s">
        <v>303</v>
      </c>
      <c r="I148" s="190">
        <v>794.7</v>
      </c>
      <c r="J148" s="190">
        <v>737.8</v>
      </c>
      <c r="K148" s="190">
        <v>737.8</v>
      </c>
      <c r="L148" s="219">
        <v>38</v>
      </c>
      <c r="M148" s="217" t="s">
        <v>265</v>
      </c>
      <c r="N148" s="217" t="s">
        <v>266</v>
      </c>
      <c r="O148" s="220" t="s">
        <v>268</v>
      </c>
      <c r="P148" s="190">
        <v>52567.68</v>
      </c>
      <c r="Q148" s="190">
        <v>0</v>
      </c>
      <c r="R148" s="190">
        <v>0</v>
      </c>
      <c r="S148" s="190">
        <f t="shared" si="12"/>
        <v>52567.68</v>
      </c>
      <c r="T148" s="190">
        <f t="shared" si="15"/>
        <v>66.147829369573415</v>
      </c>
      <c r="U148" s="190">
        <v>66.147829369573415</v>
      </c>
      <c r="V148" s="221">
        <f t="shared" si="16"/>
        <v>0</v>
      </c>
      <c r="W148" s="221">
        <f t="shared" si="13"/>
        <v>11750.692978230778</v>
      </c>
      <c r="X148" s="221">
        <v>0</v>
      </c>
      <c r="Y148" s="222">
        <v>0</v>
      </c>
      <c r="Z148" s="222">
        <v>0</v>
      </c>
      <c r="AA148" s="222">
        <v>0</v>
      </c>
      <c r="AB148" s="222">
        <v>0</v>
      </c>
      <c r="AC148" s="222">
        <v>0</v>
      </c>
      <c r="AD148" s="222">
        <v>0</v>
      </c>
      <c r="AE148" s="222">
        <v>1496.78</v>
      </c>
      <c r="AF148" s="221">
        <f>6238.91*AE148/I148</f>
        <v>11750.692978230778</v>
      </c>
      <c r="AG148" s="222">
        <v>0</v>
      </c>
      <c r="AH148" s="221">
        <v>0</v>
      </c>
      <c r="AI148" s="222">
        <v>0</v>
      </c>
      <c r="AJ148" s="221">
        <v>0</v>
      </c>
      <c r="AK148" s="222">
        <v>0</v>
      </c>
      <c r="AL148" s="222">
        <v>0</v>
      </c>
      <c r="AM148" s="222">
        <v>0</v>
      </c>
      <c r="AN148" s="222"/>
      <c r="AO148" s="222">
        <v>0</v>
      </c>
    </row>
    <row r="149" spans="1:41" s="223" customFormat="1" ht="36" customHeight="1" x14ac:dyDescent="0.25">
      <c r="A149" s="223">
        <v>1</v>
      </c>
      <c r="B149" s="225">
        <f>SUBTOTAL(103,$A$16:A149)</f>
        <v>133</v>
      </c>
      <c r="C149" s="215" t="s">
        <v>1284</v>
      </c>
      <c r="D149" s="217">
        <v>1978</v>
      </c>
      <c r="E149" s="217"/>
      <c r="F149" s="226" t="s">
        <v>330</v>
      </c>
      <c r="G149" s="217" t="s">
        <v>303</v>
      </c>
      <c r="H149" s="217" t="s">
        <v>312</v>
      </c>
      <c r="I149" s="190">
        <v>873.7</v>
      </c>
      <c r="J149" s="190">
        <v>873.7</v>
      </c>
      <c r="K149" s="190">
        <v>873.7</v>
      </c>
      <c r="L149" s="219">
        <v>31</v>
      </c>
      <c r="M149" s="217" t="s">
        <v>265</v>
      </c>
      <c r="N149" s="217" t="s">
        <v>266</v>
      </c>
      <c r="O149" s="220" t="s">
        <v>268</v>
      </c>
      <c r="P149" s="190">
        <v>61131.360000000001</v>
      </c>
      <c r="Q149" s="190">
        <v>0</v>
      </c>
      <c r="R149" s="190">
        <v>0</v>
      </c>
      <c r="S149" s="190">
        <f t="shared" si="12"/>
        <v>61131.360000000001</v>
      </c>
      <c r="T149" s="190">
        <f t="shared" si="15"/>
        <v>69.968364427148899</v>
      </c>
      <c r="U149" s="190">
        <v>69.968364427148899</v>
      </c>
      <c r="V149" s="221">
        <f t="shared" si="16"/>
        <v>0</v>
      </c>
      <c r="W149" s="221">
        <f>T149</f>
        <v>69.968364427148899</v>
      </c>
      <c r="X149" s="221">
        <v>0</v>
      </c>
      <c r="Y149" s="222">
        <v>0</v>
      </c>
      <c r="Z149" s="222">
        <v>0</v>
      </c>
      <c r="AA149" s="222">
        <v>0</v>
      </c>
      <c r="AB149" s="222">
        <v>0</v>
      </c>
      <c r="AC149" s="222">
        <v>0</v>
      </c>
      <c r="AD149" s="222">
        <v>0</v>
      </c>
      <c r="AE149" s="222">
        <v>625.1</v>
      </c>
      <c r="AF149" s="221">
        <f>6436.53*AE149/I149</f>
        <v>4605.098893212773</v>
      </c>
      <c r="AG149" s="222">
        <v>0</v>
      </c>
      <c r="AH149" s="221">
        <v>0</v>
      </c>
      <c r="AI149" s="222">
        <v>0</v>
      </c>
      <c r="AJ149" s="221">
        <v>0</v>
      </c>
      <c r="AK149" s="222">
        <v>0</v>
      </c>
      <c r="AL149" s="222">
        <v>0</v>
      </c>
      <c r="AM149" s="222">
        <v>0</v>
      </c>
      <c r="AN149" s="222"/>
      <c r="AO149" s="222">
        <v>0</v>
      </c>
    </row>
    <row r="150" spans="1:41" s="223" customFormat="1" ht="36" customHeight="1" x14ac:dyDescent="0.25">
      <c r="B150" s="215" t="s">
        <v>757</v>
      </c>
      <c r="C150" s="227"/>
      <c r="D150" s="217" t="s">
        <v>890</v>
      </c>
      <c r="E150" s="217" t="s">
        <v>890</v>
      </c>
      <c r="F150" s="217" t="s">
        <v>890</v>
      </c>
      <c r="G150" s="217" t="s">
        <v>890</v>
      </c>
      <c r="H150" s="217" t="s">
        <v>890</v>
      </c>
      <c r="I150" s="218">
        <f>SUM(I151:I195)</f>
        <v>122338.65999999997</v>
      </c>
      <c r="J150" s="218">
        <f>SUM(J151:J195)</f>
        <v>104282.45000000003</v>
      </c>
      <c r="K150" s="218">
        <f>SUM(K151:K195)</f>
        <v>101660.15000000001</v>
      </c>
      <c r="L150" s="219">
        <f>SUM(L151:L195)</f>
        <v>4539</v>
      </c>
      <c r="M150" s="217" t="s">
        <v>890</v>
      </c>
      <c r="N150" s="217" t="s">
        <v>890</v>
      </c>
      <c r="O150" s="220" t="s">
        <v>890</v>
      </c>
      <c r="P150" s="218">
        <v>112751259.44999994</v>
      </c>
      <c r="Q150" s="218">
        <f>SUM(Q151:Q195)</f>
        <v>0</v>
      </c>
      <c r="R150" s="218">
        <f>SUM(R151:R195)</f>
        <v>0</v>
      </c>
      <c r="S150" s="218">
        <f>SUM(S151:S195)</f>
        <v>112751259.44999994</v>
      </c>
      <c r="T150" s="190">
        <f t="shared" si="15"/>
        <v>921.63229064303925</v>
      </c>
      <c r="U150" s="190">
        <f>MAX(U151:U195)</f>
        <v>8001.7673725392779</v>
      </c>
      <c r="V150" s="221">
        <f t="shared" si="16"/>
        <v>7080.1350818962383</v>
      </c>
      <c r="W150" s="221"/>
      <c r="X150" s="221"/>
      <c r="Y150" s="222"/>
      <c r="Z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</row>
    <row r="151" spans="1:41" s="223" customFormat="1" ht="36" customHeight="1" x14ac:dyDescent="0.25">
      <c r="A151" s="223">
        <v>1</v>
      </c>
      <c r="B151" s="225">
        <f>SUBTOTAL(103,$A$16:A151)</f>
        <v>134</v>
      </c>
      <c r="C151" s="215" t="s">
        <v>386</v>
      </c>
      <c r="D151" s="217">
        <v>1974</v>
      </c>
      <c r="E151" s="217"/>
      <c r="F151" s="226" t="s">
        <v>311</v>
      </c>
      <c r="G151" s="217">
        <v>5</v>
      </c>
      <c r="H151" s="217" t="s">
        <v>371</v>
      </c>
      <c r="I151" s="190">
        <v>4987.2</v>
      </c>
      <c r="J151" s="190">
        <v>4580.7</v>
      </c>
      <c r="K151" s="190">
        <v>4580.7</v>
      </c>
      <c r="L151" s="219">
        <v>117</v>
      </c>
      <c r="M151" s="217" t="s">
        <v>265</v>
      </c>
      <c r="N151" s="217" t="s">
        <v>269</v>
      </c>
      <c r="O151" s="220" t="s">
        <v>321</v>
      </c>
      <c r="P151" s="190">
        <v>2649277.08</v>
      </c>
      <c r="Q151" s="190">
        <v>0</v>
      </c>
      <c r="R151" s="190">
        <v>0</v>
      </c>
      <c r="S151" s="190">
        <f t="shared" ref="S151:S185" si="17">P151-Q151-R151</f>
        <v>2649277.08</v>
      </c>
      <c r="T151" s="190">
        <f t="shared" si="15"/>
        <v>531.21532723772862</v>
      </c>
      <c r="U151" s="190">
        <v>1447.0863703079885</v>
      </c>
      <c r="V151" s="221">
        <f t="shared" si="16"/>
        <v>915.87104307025993</v>
      </c>
      <c r="W151" s="221">
        <f t="shared" ref="W151:W194" si="18">X151+Y151+Z151+AA151+AB151+AD151+AF151+AH151+AJ151+AL151+AN151+AO151</f>
        <v>1387.3168134023099</v>
      </c>
      <c r="X151" s="221">
        <v>0</v>
      </c>
      <c r="Y151" s="222">
        <v>0</v>
      </c>
      <c r="Z151" s="222">
        <v>0</v>
      </c>
      <c r="AA151" s="222">
        <v>0</v>
      </c>
      <c r="AB151" s="222">
        <v>0</v>
      </c>
      <c r="AC151" s="222">
        <v>0</v>
      </c>
      <c r="AD151" s="222">
        <v>0</v>
      </c>
      <c r="AE151" s="222">
        <v>1108.98</v>
      </c>
      <c r="AF151" s="221">
        <f>6238.91*AE151/I151</f>
        <v>1387.3168134023099</v>
      </c>
      <c r="AG151" s="222">
        <v>0</v>
      </c>
      <c r="AH151" s="221">
        <v>0</v>
      </c>
      <c r="AI151" s="222">
        <v>0</v>
      </c>
      <c r="AJ151" s="221">
        <v>0</v>
      </c>
      <c r="AK151" s="222">
        <v>0</v>
      </c>
      <c r="AL151" s="222">
        <v>0</v>
      </c>
      <c r="AM151" s="222">
        <v>0</v>
      </c>
      <c r="AN151" s="222"/>
      <c r="AO151" s="222">
        <v>0</v>
      </c>
    </row>
    <row r="152" spans="1:41" s="223" customFormat="1" ht="36" customHeight="1" x14ac:dyDescent="0.25">
      <c r="A152" s="223">
        <v>1</v>
      </c>
      <c r="B152" s="225">
        <f>SUBTOTAL(103,$A$16:A152)</f>
        <v>135</v>
      </c>
      <c r="C152" s="215" t="s">
        <v>387</v>
      </c>
      <c r="D152" s="217">
        <v>1975</v>
      </c>
      <c r="E152" s="217"/>
      <c r="F152" s="226" t="s">
        <v>311</v>
      </c>
      <c r="G152" s="217">
        <v>5</v>
      </c>
      <c r="H152" s="217" t="s">
        <v>2266</v>
      </c>
      <c r="I152" s="190">
        <v>6679</v>
      </c>
      <c r="J152" s="190">
        <v>6109.3</v>
      </c>
      <c r="K152" s="190">
        <v>6109.3</v>
      </c>
      <c r="L152" s="219">
        <v>285</v>
      </c>
      <c r="M152" s="217" t="s">
        <v>265</v>
      </c>
      <c r="N152" s="217" t="s">
        <v>269</v>
      </c>
      <c r="O152" s="220" t="s">
        <v>990</v>
      </c>
      <c r="P152" s="190">
        <v>2599693.37</v>
      </c>
      <c r="Q152" s="190">
        <v>0</v>
      </c>
      <c r="R152" s="190">
        <v>0</v>
      </c>
      <c r="S152" s="190">
        <f t="shared" si="17"/>
        <v>2599693.37</v>
      </c>
      <c r="T152" s="190">
        <f t="shared" si="15"/>
        <v>389.23392274292559</v>
      </c>
      <c r="U152" s="190">
        <v>4002.81</v>
      </c>
      <c r="V152" s="221">
        <f t="shared" si="16"/>
        <v>3613.5760772570743</v>
      </c>
      <c r="W152" s="221">
        <f t="shared" si="18"/>
        <v>3606.6499999999996</v>
      </c>
      <c r="X152" s="221">
        <v>101.55</v>
      </c>
      <c r="Y152" s="222">
        <v>245.44</v>
      </c>
      <c r="Z152" s="222">
        <v>3259.66</v>
      </c>
      <c r="AA152" s="222">
        <v>0</v>
      </c>
      <c r="AB152" s="222">
        <v>0</v>
      </c>
      <c r="AC152" s="222">
        <v>0</v>
      </c>
      <c r="AD152" s="222">
        <v>0</v>
      </c>
      <c r="AE152" s="222">
        <v>0</v>
      </c>
      <c r="AF152" s="221">
        <v>0</v>
      </c>
      <c r="AG152" s="222">
        <v>0</v>
      </c>
      <c r="AH152" s="221">
        <v>0</v>
      </c>
      <c r="AI152" s="222">
        <v>0</v>
      </c>
      <c r="AJ152" s="221">
        <v>0</v>
      </c>
      <c r="AK152" s="222">
        <v>0</v>
      </c>
      <c r="AL152" s="222">
        <v>0</v>
      </c>
      <c r="AM152" s="222">
        <v>0</v>
      </c>
      <c r="AN152" s="222"/>
      <c r="AO152" s="222">
        <v>0</v>
      </c>
    </row>
    <row r="153" spans="1:41" s="223" customFormat="1" ht="36" customHeight="1" x14ac:dyDescent="0.25">
      <c r="A153" s="223">
        <v>1</v>
      </c>
      <c r="B153" s="225">
        <f>SUBTOTAL(103,$A$16:A153)</f>
        <v>136</v>
      </c>
      <c r="C153" s="215" t="s">
        <v>388</v>
      </c>
      <c r="D153" s="217">
        <v>1954</v>
      </c>
      <c r="E153" s="217"/>
      <c r="F153" s="226" t="s">
        <v>267</v>
      </c>
      <c r="G153" s="217">
        <v>2</v>
      </c>
      <c r="H153" s="217" t="s">
        <v>312</v>
      </c>
      <c r="I153" s="190">
        <v>641.79999999999995</v>
      </c>
      <c r="J153" s="190">
        <v>552.29999999999995</v>
      </c>
      <c r="K153" s="190">
        <v>552.29999999999995</v>
      </c>
      <c r="L153" s="219">
        <v>34</v>
      </c>
      <c r="M153" s="217" t="s">
        <v>265</v>
      </c>
      <c r="N153" s="217" t="s">
        <v>269</v>
      </c>
      <c r="O153" s="220" t="s">
        <v>321</v>
      </c>
      <c r="P153" s="190">
        <v>3188621.1</v>
      </c>
      <c r="Q153" s="190">
        <v>0</v>
      </c>
      <c r="R153" s="190">
        <v>0</v>
      </c>
      <c r="S153" s="190">
        <f t="shared" si="17"/>
        <v>3188621.1</v>
      </c>
      <c r="T153" s="190">
        <f t="shared" si="15"/>
        <v>4968.2472732938613</v>
      </c>
      <c r="U153" s="190">
        <v>6083.8578996572141</v>
      </c>
      <c r="V153" s="221">
        <f t="shared" si="16"/>
        <v>1115.6106263633528</v>
      </c>
      <c r="W153" s="221">
        <f t="shared" si="18"/>
        <v>5832.5740105952018</v>
      </c>
      <c r="X153" s="221">
        <v>0</v>
      </c>
      <c r="Y153" s="222">
        <v>0</v>
      </c>
      <c r="Z153" s="222">
        <v>0</v>
      </c>
      <c r="AA153" s="222">
        <v>0</v>
      </c>
      <c r="AB153" s="222">
        <v>0</v>
      </c>
      <c r="AC153" s="222">
        <v>0</v>
      </c>
      <c r="AD153" s="222">
        <v>0</v>
      </c>
      <c r="AE153" s="222">
        <v>600</v>
      </c>
      <c r="AF153" s="221">
        <f>6238.91*AE153/I153</f>
        <v>5832.5740105952018</v>
      </c>
      <c r="AG153" s="222">
        <v>0</v>
      </c>
      <c r="AH153" s="221">
        <v>0</v>
      </c>
      <c r="AI153" s="222">
        <v>0</v>
      </c>
      <c r="AJ153" s="221">
        <v>0</v>
      </c>
      <c r="AK153" s="222">
        <v>0</v>
      </c>
      <c r="AL153" s="222">
        <v>0</v>
      </c>
      <c r="AM153" s="222">
        <v>0</v>
      </c>
      <c r="AN153" s="222"/>
      <c r="AO153" s="222">
        <v>0</v>
      </c>
    </row>
    <row r="154" spans="1:41" s="223" customFormat="1" ht="36" customHeight="1" x14ac:dyDescent="0.25">
      <c r="A154" s="223">
        <v>1</v>
      </c>
      <c r="B154" s="225">
        <f>SUBTOTAL(103,$A$16:A154)</f>
        <v>137</v>
      </c>
      <c r="C154" s="215" t="s">
        <v>389</v>
      </c>
      <c r="D154" s="217">
        <v>1975</v>
      </c>
      <c r="E154" s="217"/>
      <c r="F154" s="226" t="s">
        <v>267</v>
      </c>
      <c r="G154" s="217">
        <v>5</v>
      </c>
      <c r="H154" s="217" t="s">
        <v>308</v>
      </c>
      <c r="I154" s="190">
        <v>3325.2</v>
      </c>
      <c r="J154" s="190">
        <v>3325.2</v>
      </c>
      <c r="K154" s="190">
        <v>3325.2</v>
      </c>
      <c r="L154" s="219">
        <v>111</v>
      </c>
      <c r="M154" s="217" t="s">
        <v>265</v>
      </c>
      <c r="N154" s="217" t="s">
        <v>269</v>
      </c>
      <c r="O154" s="220" t="s">
        <v>322</v>
      </c>
      <c r="P154" s="190">
        <v>5265781.6800000006</v>
      </c>
      <c r="Q154" s="190">
        <v>0</v>
      </c>
      <c r="R154" s="190">
        <v>0</v>
      </c>
      <c r="S154" s="190">
        <f t="shared" si="17"/>
        <v>5265781.6800000006</v>
      </c>
      <c r="T154" s="190">
        <f t="shared" si="15"/>
        <v>1583.5984843016963</v>
      </c>
      <c r="U154" s="190">
        <v>2139.0942198965477</v>
      </c>
      <c r="V154" s="221">
        <f t="shared" si="16"/>
        <v>555.49573559485134</v>
      </c>
      <c r="W154" s="221">
        <f t="shared" si="18"/>
        <v>2050.7424004571153</v>
      </c>
      <c r="X154" s="221">
        <v>0</v>
      </c>
      <c r="Y154" s="222">
        <v>0</v>
      </c>
      <c r="Z154" s="222">
        <v>0</v>
      </c>
      <c r="AA154" s="222">
        <v>0</v>
      </c>
      <c r="AB154" s="222">
        <v>0</v>
      </c>
      <c r="AC154" s="222">
        <v>0</v>
      </c>
      <c r="AD154" s="222">
        <v>0</v>
      </c>
      <c r="AE154" s="222">
        <v>1093</v>
      </c>
      <c r="AF154" s="221">
        <f>6238.91*AE154/I154</f>
        <v>2050.7424004571153</v>
      </c>
      <c r="AG154" s="222">
        <v>0</v>
      </c>
      <c r="AH154" s="221">
        <v>0</v>
      </c>
      <c r="AI154" s="222">
        <v>0</v>
      </c>
      <c r="AJ154" s="221">
        <v>0</v>
      </c>
      <c r="AK154" s="222">
        <v>0</v>
      </c>
      <c r="AL154" s="222">
        <v>0</v>
      </c>
      <c r="AM154" s="222">
        <v>0</v>
      </c>
      <c r="AN154" s="222"/>
      <c r="AO154" s="222">
        <v>0</v>
      </c>
    </row>
    <row r="155" spans="1:41" s="223" customFormat="1" ht="36" customHeight="1" x14ac:dyDescent="0.25">
      <c r="A155" s="223">
        <v>1</v>
      </c>
      <c r="B155" s="225">
        <f>SUBTOTAL(103,$A$16:A155)</f>
        <v>138</v>
      </c>
      <c r="C155" s="215" t="s">
        <v>390</v>
      </c>
      <c r="D155" s="217">
        <v>1966</v>
      </c>
      <c r="E155" s="217"/>
      <c r="F155" s="226" t="s">
        <v>267</v>
      </c>
      <c r="G155" s="217">
        <v>4</v>
      </c>
      <c r="H155" s="217" t="s">
        <v>308</v>
      </c>
      <c r="I155" s="190">
        <v>2747.7</v>
      </c>
      <c r="J155" s="190">
        <v>2553.9</v>
      </c>
      <c r="K155" s="190">
        <v>2553.9</v>
      </c>
      <c r="L155" s="219">
        <v>120</v>
      </c>
      <c r="M155" s="217" t="s">
        <v>265</v>
      </c>
      <c r="N155" s="217" t="s">
        <v>269</v>
      </c>
      <c r="O155" s="220" t="s">
        <v>990</v>
      </c>
      <c r="P155" s="190">
        <v>5393074.9299999997</v>
      </c>
      <c r="Q155" s="190">
        <v>0</v>
      </c>
      <c r="R155" s="190">
        <v>0</v>
      </c>
      <c r="S155" s="190">
        <f t="shared" si="17"/>
        <v>5393074.9299999997</v>
      </c>
      <c r="T155" s="190">
        <f t="shared" si="15"/>
        <v>1962.7597372347782</v>
      </c>
      <c r="U155" s="190">
        <v>2587.5905513702369</v>
      </c>
      <c r="V155" s="221">
        <f t="shared" si="16"/>
        <v>624.8308141354587</v>
      </c>
      <c r="W155" s="221">
        <f t="shared" si="18"/>
        <v>2216.0993412672419</v>
      </c>
      <c r="X155" s="221">
        <v>0</v>
      </c>
      <c r="Y155" s="222">
        <v>0</v>
      </c>
      <c r="Z155" s="222">
        <v>0</v>
      </c>
      <c r="AA155" s="222">
        <v>0</v>
      </c>
      <c r="AB155" s="222">
        <v>0</v>
      </c>
      <c r="AC155" s="222">
        <v>0</v>
      </c>
      <c r="AD155" s="222">
        <v>0</v>
      </c>
      <c r="AE155" s="222">
        <v>976</v>
      </c>
      <c r="AF155" s="221">
        <f>6238.91*AE155/I155</f>
        <v>2216.0993412672419</v>
      </c>
      <c r="AG155" s="222">
        <v>0</v>
      </c>
      <c r="AH155" s="221">
        <v>0</v>
      </c>
      <c r="AI155" s="222">
        <v>0</v>
      </c>
      <c r="AJ155" s="221">
        <v>0</v>
      </c>
      <c r="AK155" s="222">
        <v>0</v>
      </c>
      <c r="AL155" s="222">
        <v>0</v>
      </c>
      <c r="AM155" s="222">
        <v>0</v>
      </c>
      <c r="AN155" s="222"/>
      <c r="AO155" s="222">
        <v>0</v>
      </c>
    </row>
    <row r="156" spans="1:41" s="223" customFormat="1" ht="36" customHeight="1" x14ac:dyDescent="0.25">
      <c r="A156" s="223">
        <v>1</v>
      </c>
      <c r="B156" s="225">
        <f>SUBTOTAL(103,$A$16:A156)</f>
        <v>139</v>
      </c>
      <c r="C156" s="215" t="s">
        <v>391</v>
      </c>
      <c r="D156" s="217" t="s">
        <v>323</v>
      </c>
      <c r="E156" s="217"/>
      <c r="F156" s="226" t="s">
        <v>267</v>
      </c>
      <c r="G156" s="217">
        <v>9</v>
      </c>
      <c r="H156" s="217" t="s">
        <v>312</v>
      </c>
      <c r="I156" s="190">
        <v>6434.3</v>
      </c>
      <c r="J156" s="190">
        <v>5754.2</v>
      </c>
      <c r="K156" s="190">
        <v>5754.2</v>
      </c>
      <c r="L156" s="219">
        <v>247</v>
      </c>
      <c r="M156" s="217" t="s">
        <v>265</v>
      </c>
      <c r="N156" s="217" t="s">
        <v>269</v>
      </c>
      <c r="O156" s="220" t="s">
        <v>322</v>
      </c>
      <c r="P156" s="190">
        <v>4873547.67</v>
      </c>
      <c r="Q156" s="190">
        <v>0</v>
      </c>
      <c r="R156" s="190">
        <v>0</v>
      </c>
      <c r="S156" s="190">
        <f t="shared" si="17"/>
        <v>4873547.67</v>
      </c>
      <c r="T156" s="190">
        <f t="shared" si="15"/>
        <v>757.43245885333283</v>
      </c>
      <c r="U156" s="190">
        <v>1145.9521626284134</v>
      </c>
      <c r="V156" s="221">
        <f t="shared" si="16"/>
        <v>388.51970377508053</v>
      </c>
      <c r="W156" s="221">
        <f t="shared" si="18"/>
        <v>1145.9521626284134</v>
      </c>
      <c r="X156" s="221">
        <v>0</v>
      </c>
      <c r="Y156" s="222">
        <v>0</v>
      </c>
      <c r="Z156" s="222">
        <v>0</v>
      </c>
      <c r="AA156" s="222">
        <v>0</v>
      </c>
      <c r="AB156" s="222">
        <v>0</v>
      </c>
      <c r="AC156" s="222">
        <v>3</v>
      </c>
      <c r="AD156" s="221">
        <f>2457800*AC156/I156</f>
        <v>1145.9521626284134</v>
      </c>
      <c r="AE156" s="222">
        <v>0</v>
      </c>
      <c r="AF156" s="221">
        <v>0</v>
      </c>
      <c r="AG156" s="222">
        <v>0</v>
      </c>
      <c r="AH156" s="221">
        <v>0</v>
      </c>
      <c r="AI156" s="222">
        <v>0</v>
      </c>
      <c r="AJ156" s="221">
        <v>0</v>
      </c>
      <c r="AK156" s="222">
        <v>0</v>
      </c>
      <c r="AL156" s="222">
        <v>0</v>
      </c>
      <c r="AM156" s="222">
        <v>0</v>
      </c>
      <c r="AN156" s="222"/>
      <c r="AO156" s="222">
        <v>0</v>
      </c>
    </row>
    <row r="157" spans="1:41" s="223" customFormat="1" ht="36" customHeight="1" x14ac:dyDescent="0.25">
      <c r="A157" s="223">
        <v>1</v>
      </c>
      <c r="B157" s="225">
        <f>SUBTOTAL(103,$A$16:A157)</f>
        <v>140</v>
      </c>
      <c r="C157" s="215" t="s">
        <v>392</v>
      </c>
      <c r="D157" s="217">
        <v>1949</v>
      </c>
      <c r="E157" s="217"/>
      <c r="F157" s="226" t="s">
        <v>324</v>
      </c>
      <c r="G157" s="217">
        <v>2</v>
      </c>
      <c r="H157" s="217" t="s">
        <v>304</v>
      </c>
      <c r="I157" s="190">
        <v>499.5</v>
      </c>
      <c r="J157" s="190">
        <v>450.4</v>
      </c>
      <c r="K157" s="190">
        <v>450.4</v>
      </c>
      <c r="L157" s="219">
        <v>16</v>
      </c>
      <c r="M157" s="217" t="s">
        <v>265</v>
      </c>
      <c r="N157" s="217" t="s">
        <v>266</v>
      </c>
      <c r="O157" s="220" t="s">
        <v>268</v>
      </c>
      <c r="P157" s="190">
        <v>2215482.85</v>
      </c>
      <c r="Q157" s="190">
        <v>0</v>
      </c>
      <c r="R157" s="190">
        <v>0</v>
      </c>
      <c r="S157" s="190">
        <f t="shared" si="17"/>
        <v>2215482.85</v>
      </c>
      <c r="T157" s="190">
        <f t="shared" si="15"/>
        <v>4435.4011011011016</v>
      </c>
      <c r="U157" s="190">
        <v>5782.0165365365365</v>
      </c>
      <c r="V157" s="221">
        <f t="shared" si="16"/>
        <v>1346.6154354354348</v>
      </c>
      <c r="W157" s="221">
        <f t="shared" si="18"/>
        <v>5543.1997157157157</v>
      </c>
      <c r="X157" s="221">
        <v>0</v>
      </c>
      <c r="Y157" s="222">
        <v>0</v>
      </c>
      <c r="Z157" s="222">
        <v>0</v>
      </c>
      <c r="AA157" s="222">
        <v>0</v>
      </c>
      <c r="AB157" s="222">
        <v>0</v>
      </c>
      <c r="AC157" s="222">
        <v>0</v>
      </c>
      <c r="AD157" s="222">
        <v>0</v>
      </c>
      <c r="AE157" s="222">
        <v>443.8</v>
      </c>
      <c r="AF157" s="221">
        <f>6238.91*AE157/I157</f>
        <v>5543.1997157157157</v>
      </c>
      <c r="AG157" s="222">
        <v>0</v>
      </c>
      <c r="AH157" s="221">
        <v>0</v>
      </c>
      <c r="AI157" s="222">
        <v>0</v>
      </c>
      <c r="AJ157" s="221">
        <v>0</v>
      </c>
      <c r="AK157" s="222">
        <v>0</v>
      </c>
      <c r="AL157" s="222">
        <v>0</v>
      </c>
      <c r="AM157" s="222">
        <v>0</v>
      </c>
      <c r="AN157" s="222"/>
      <c r="AO157" s="222">
        <v>0</v>
      </c>
    </row>
    <row r="158" spans="1:41" s="223" customFormat="1" ht="36" customHeight="1" x14ac:dyDescent="0.25">
      <c r="A158" s="223">
        <v>1</v>
      </c>
      <c r="B158" s="225">
        <f>SUBTOTAL(103,$A$16:A158)</f>
        <v>141</v>
      </c>
      <c r="C158" s="215" t="s">
        <v>393</v>
      </c>
      <c r="D158" s="217">
        <v>1992</v>
      </c>
      <c r="E158" s="217"/>
      <c r="F158" s="226" t="s">
        <v>267</v>
      </c>
      <c r="G158" s="217">
        <v>9</v>
      </c>
      <c r="H158" s="217" t="s">
        <v>312</v>
      </c>
      <c r="I158" s="190">
        <v>6502.8</v>
      </c>
      <c r="J158" s="190">
        <v>5914.7</v>
      </c>
      <c r="K158" s="190">
        <v>5914.7</v>
      </c>
      <c r="L158" s="219">
        <v>287</v>
      </c>
      <c r="M158" s="217" t="s">
        <v>265</v>
      </c>
      <c r="N158" s="217" t="s">
        <v>269</v>
      </c>
      <c r="O158" s="220" t="s">
        <v>990</v>
      </c>
      <c r="P158" s="190">
        <v>4885396.4400000004</v>
      </c>
      <c r="Q158" s="190">
        <v>0</v>
      </c>
      <c r="R158" s="190">
        <v>0</v>
      </c>
      <c r="S158" s="190">
        <f t="shared" si="17"/>
        <v>4885396.4400000004</v>
      </c>
      <c r="T158" s="190">
        <f t="shared" si="15"/>
        <v>751.27582579811781</v>
      </c>
      <c r="U158" s="190">
        <v>1133.8807898136188</v>
      </c>
      <c r="V158" s="221">
        <f t="shared" si="16"/>
        <v>382.60496401550097</v>
      </c>
      <c r="W158" s="221">
        <f t="shared" si="18"/>
        <v>1133.8807898136188</v>
      </c>
      <c r="X158" s="221">
        <v>0</v>
      </c>
      <c r="Y158" s="222">
        <v>0</v>
      </c>
      <c r="Z158" s="222">
        <v>0</v>
      </c>
      <c r="AA158" s="222">
        <v>0</v>
      </c>
      <c r="AB158" s="222">
        <v>0</v>
      </c>
      <c r="AC158" s="222">
        <v>3</v>
      </c>
      <c r="AD158" s="221">
        <f>2457800*AC158/I158</f>
        <v>1133.8807898136188</v>
      </c>
      <c r="AE158" s="222">
        <v>0</v>
      </c>
      <c r="AF158" s="221">
        <v>0</v>
      </c>
      <c r="AG158" s="222">
        <v>0</v>
      </c>
      <c r="AH158" s="221">
        <v>0</v>
      </c>
      <c r="AI158" s="222">
        <v>0</v>
      </c>
      <c r="AJ158" s="221">
        <v>0</v>
      </c>
      <c r="AK158" s="222">
        <v>0</v>
      </c>
      <c r="AL158" s="222">
        <v>0</v>
      </c>
      <c r="AM158" s="222">
        <v>0</v>
      </c>
      <c r="AN158" s="222"/>
      <c r="AO158" s="222">
        <v>0</v>
      </c>
    </row>
    <row r="159" spans="1:41" s="223" customFormat="1" ht="36" customHeight="1" x14ac:dyDescent="0.25">
      <c r="A159" s="223">
        <v>1</v>
      </c>
      <c r="B159" s="225">
        <f>SUBTOTAL(103,$A$16:A159)</f>
        <v>142</v>
      </c>
      <c r="C159" s="215" t="s">
        <v>394</v>
      </c>
      <c r="D159" s="217">
        <v>1974</v>
      </c>
      <c r="E159" s="217"/>
      <c r="F159" s="226" t="s">
        <v>267</v>
      </c>
      <c r="G159" s="217">
        <v>5</v>
      </c>
      <c r="H159" s="217" t="s">
        <v>371</v>
      </c>
      <c r="I159" s="190">
        <v>5896.3</v>
      </c>
      <c r="J159" s="190">
        <v>4495.2</v>
      </c>
      <c r="K159" s="190">
        <v>4495.2</v>
      </c>
      <c r="L159" s="219">
        <v>192</v>
      </c>
      <c r="M159" s="217" t="s">
        <v>265</v>
      </c>
      <c r="N159" s="217" t="s">
        <v>269</v>
      </c>
      <c r="O159" s="220" t="s">
        <v>325</v>
      </c>
      <c r="P159" s="190">
        <v>7884254.25</v>
      </c>
      <c r="Q159" s="190">
        <v>0</v>
      </c>
      <c r="R159" s="190">
        <v>0</v>
      </c>
      <c r="S159" s="190">
        <f t="shared" si="17"/>
        <v>7884254.25</v>
      </c>
      <c r="T159" s="190">
        <f t="shared" si="15"/>
        <v>1337.1528331326424</v>
      </c>
      <c r="U159" s="190">
        <v>1658.9044799280903</v>
      </c>
      <c r="V159" s="221">
        <f t="shared" si="16"/>
        <v>321.75164679544787</v>
      </c>
      <c r="W159" s="221">
        <f t="shared" si="18"/>
        <v>1590.3861193460305</v>
      </c>
      <c r="X159" s="221">
        <v>0</v>
      </c>
      <c r="Y159" s="222">
        <v>0</v>
      </c>
      <c r="Z159" s="222">
        <v>0</v>
      </c>
      <c r="AA159" s="222">
        <v>0</v>
      </c>
      <c r="AB159" s="222">
        <v>0</v>
      </c>
      <c r="AC159" s="222">
        <v>0</v>
      </c>
      <c r="AD159" s="222">
        <v>0</v>
      </c>
      <c r="AE159" s="222">
        <v>1503.05</v>
      </c>
      <c r="AF159" s="221">
        <f>6238.91*AE159/I159</f>
        <v>1590.3861193460305</v>
      </c>
      <c r="AG159" s="222">
        <v>0</v>
      </c>
      <c r="AH159" s="221">
        <v>0</v>
      </c>
      <c r="AI159" s="222">
        <v>0</v>
      </c>
      <c r="AJ159" s="221">
        <v>0</v>
      </c>
      <c r="AK159" s="222">
        <v>0</v>
      </c>
      <c r="AL159" s="222">
        <v>0</v>
      </c>
      <c r="AM159" s="222">
        <v>0</v>
      </c>
      <c r="AN159" s="222"/>
      <c r="AO159" s="222">
        <v>0</v>
      </c>
    </row>
    <row r="160" spans="1:41" s="223" customFormat="1" ht="36" customHeight="1" x14ac:dyDescent="0.25">
      <c r="A160" s="223">
        <v>1</v>
      </c>
      <c r="B160" s="225">
        <f>SUBTOTAL(103,$A$16:A160)</f>
        <v>143</v>
      </c>
      <c r="C160" s="215" t="s">
        <v>395</v>
      </c>
      <c r="D160" s="217">
        <v>1974</v>
      </c>
      <c r="E160" s="217"/>
      <c r="F160" s="226" t="s">
        <v>267</v>
      </c>
      <c r="G160" s="217">
        <v>5</v>
      </c>
      <c r="H160" s="217" t="s">
        <v>308</v>
      </c>
      <c r="I160" s="190">
        <v>3647.3</v>
      </c>
      <c r="J160" s="190">
        <v>3647.3</v>
      </c>
      <c r="K160" s="190">
        <v>2672.9</v>
      </c>
      <c r="L160" s="219">
        <v>113</v>
      </c>
      <c r="M160" s="217" t="s">
        <v>265</v>
      </c>
      <c r="N160" s="217" t="s">
        <v>269</v>
      </c>
      <c r="O160" s="220" t="s">
        <v>326</v>
      </c>
      <c r="P160" s="190">
        <v>2908813.4299999997</v>
      </c>
      <c r="Q160" s="190">
        <v>0</v>
      </c>
      <c r="R160" s="190">
        <v>0</v>
      </c>
      <c r="S160" s="190">
        <f t="shared" si="17"/>
        <v>2908813.4299999997</v>
      </c>
      <c r="T160" s="190">
        <f t="shared" si="15"/>
        <v>797.52513640227005</v>
      </c>
      <c r="U160" s="190">
        <v>1668.667560661311</v>
      </c>
      <c r="V160" s="221">
        <f t="shared" si="16"/>
        <v>871.14242425904092</v>
      </c>
      <c r="W160" s="221">
        <f t="shared" si="18"/>
        <v>1599.7459518547967</v>
      </c>
      <c r="X160" s="221">
        <v>0</v>
      </c>
      <c r="Y160" s="222">
        <v>0</v>
      </c>
      <c r="Z160" s="222">
        <v>0</v>
      </c>
      <c r="AA160" s="222">
        <v>0</v>
      </c>
      <c r="AB160" s="222">
        <v>0</v>
      </c>
      <c r="AC160" s="222">
        <v>0</v>
      </c>
      <c r="AD160" s="222">
        <v>0</v>
      </c>
      <c r="AE160" s="222">
        <v>935.22</v>
      </c>
      <c r="AF160" s="221">
        <f>6238.91*AE160/I160</f>
        <v>1599.7459518547967</v>
      </c>
      <c r="AG160" s="222">
        <v>0</v>
      </c>
      <c r="AH160" s="221">
        <v>0</v>
      </c>
      <c r="AI160" s="222">
        <v>0</v>
      </c>
      <c r="AJ160" s="221">
        <v>0</v>
      </c>
      <c r="AK160" s="222">
        <v>0</v>
      </c>
      <c r="AL160" s="222">
        <v>0</v>
      </c>
      <c r="AM160" s="222">
        <v>0</v>
      </c>
      <c r="AN160" s="222"/>
      <c r="AO160" s="222">
        <v>0</v>
      </c>
    </row>
    <row r="161" spans="1:41" s="223" customFormat="1" ht="36" customHeight="1" x14ac:dyDescent="0.25">
      <c r="A161" s="223">
        <v>1</v>
      </c>
      <c r="B161" s="225">
        <f>SUBTOTAL(103,$A$16:A161)</f>
        <v>144</v>
      </c>
      <c r="C161" s="215" t="s">
        <v>396</v>
      </c>
      <c r="D161" s="217">
        <v>1958</v>
      </c>
      <c r="E161" s="217"/>
      <c r="F161" s="226" t="s">
        <v>267</v>
      </c>
      <c r="G161" s="217">
        <v>2</v>
      </c>
      <c r="H161" s="217" t="s">
        <v>303</v>
      </c>
      <c r="I161" s="190">
        <v>592.70000000000005</v>
      </c>
      <c r="J161" s="190">
        <v>548</v>
      </c>
      <c r="K161" s="190">
        <v>548</v>
      </c>
      <c r="L161" s="219">
        <v>26</v>
      </c>
      <c r="M161" s="217" t="s">
        <v>265</v>
      </c>
      <c r="N161" s="217" t="s">
        <v>266</v>
      </c>
      <c r="O161" s="220" t="s">
        <v>268</v>
      </c>
      <c r="P161" s="190">
        <v>2189551</v>
      </c>
      <c r="Q161" s="190">
        <v>0</v>
      </c>
      <c r="R161" s="190">
        <v>0</v>
      </c>
      <c r="S161" s="190">
        <f t="shared" si="17"/>
        <v>2189551</v>
      </c>
      <c r="T161" s="190">
        <f t="shared" si="15"/>
        <v>3694.197739159777</v>
      </c>
      <c r="U161" s="190">
        <v>5193.4234857432084</v>
      </c>
      <c r="V161" s="221">
        <f t="shared" si="16"/>
        <v>1499.2257465834314</v>
      </c>
      <c r="W161" s="221">
        <f t="shared" si="18"/>
        <v>4978.9175468196381</v>
      </c>
      <c r="X161" s="221">
        <v>0</v>
      </c>
      <c r="Y161" s="222">
        <v>0</v>
      </c>
      <c r="Z161" s="222">
        <v>0</v>
      </c>
      <c r="AA161" s="222">
        <v>0</v>
      </c>
      <c r="AB161" s="222">
        <v>0</v>
      </c>
      <c r="AC161" s="222">
        <v>0</v>
      </c>
      <c r="AD161" s="222">
        <v>0</v>
      </c>
      <c r="AE161" s="222">
        <v>473</v>
      </c>
      <c r="AF161" s="221">
        <f>6238.91*AE161/I161</f>
        <v>4978.9175468196381</v>
      </c>
      <c r="AG161" s="222">
        <v>0</v>
      </c>
      <c r="AH161" s="221">
        <v>0</v>
      </c>
      <c r="AI161" s="222">
        <v>0</v>
      </c>
      <c r="AJ161" s="221">
        <v>0</v>
      </c>
      <c r="AK161" s="222">
        <v>0</v>
      </c>
      <c r="AL161" s="222">
        <v>0</v>
      </c>
      <c r="AM161" s="222">
        <v>0</v>
      </c>
      <c r="AN161" s="222"/>
      <c r="AO161" s="222">
        <v>0</v>
      </c>
    </row>
    <row r="162" spans="1:41" s="223" customFormat="1" ht="36" customHeight="1" x14ac:dyDescent="0.25">
      <c r="A162" s="223">
        <v>1</v>
      </c>
      <c r="B162" s="225">
        <f>SUBTOTAL(103,$A$16:A162)</f>
        <v>145</v>
      </c>
      <c r="C162" s="215" t="s">
        <v>397</v>
      </c>
      <c r="D162" s="217">
        <v>1961</v>
      </c>
      <c r="E162" s="217"/>
      <c r="F162" s="226" t="s">
        <v>267</v>
      </c>
      <c r="G162" s="217">
        <v>2</v>
      </c>
      <c r="H162" s="217" t="s">
        <v>303</v>
      </c>
      <c r="I162" s="190">
        <v>679.5</v>
      </c>
      <c r="J162" s="190">
        <v>630.79999999999995</v>
      </c>
      <c r="K162" s="190">
        <v>630.79999999999995</v>
      </c>
      <c r="L162" s="219">
        <v>43</v>
      </c>
      <c r="M162" s="217" t="s">
        <v>265</v>
      </c>
      <c r="N162" s="217" t="s">
        <v>269</v>
      </c>
      <c r="O162" s="220" t="s">
        <v>325</v>
      </c>
      <c r="P162" s="190">
        <v>2855710.47</v>
      </c>
      <c r="Q162" s="190">
        <v>0</v>
      </c>
      <c r="R162" s="190">
        <v>0</v>
      </c>
      <c r="S162" s="190">
        <f t="shared" si="17"/>
        <v>2855710.47</v>
      </c>
      <c r="T162" s="190">
        <f t="shared" si="15"/>
        <v>4202.6644150110378</v>
      </c>
      <c r="U162" s="190">
        <v>5267.4540103016925</v>
      </c>
      <c r="V162" s="221">
        <f t="shared" si="16"/>
        <v>1064.7895952906547</v>
      </c>
      <c r="W162" s="221">
        <f t="shared" si="18"/>
        <v>5049.890360559235</v>
      </c>
      <c r="X162" s="221">
        <v>0</v>
      </c>
      <c r="Y162" s="222">
        <v>0</v>
      </c>
      <c r="Z162" s="222">
        <v>0</v>
      </c>
      <c r="AA162" s="222">
        <v>0</v>
      </c>
      <c r="AB162" s="222">
        <v>0</v>
      </c>
      <c r="AC162" s="222">
        <v>0</v>
      </c>
      <c r="AD162" s="222">
        <v>0</v>
      </c>
      <c r="AE162" s="222">
        <v>550</v>
      </c>
      <c r="AF162" s="221">
        <f>6238.91*AE162/I162</f>
        <v>5049.890360559235</v>
      </c>
      <c r="AG162" s="222">
        <v>0</v>
      </c>
      <c r="AH162" s="221">
        <v>0</v>
      </c>
      <c r="AI162" s="222">
        <v>0</v>
      </c>
      <c r="AJ162" s="221">
        <v>0</v>
      </c>
      <c r="AK162" s="222">
        <v>0</v>
      </c>
      <c r="AL162" s="222">
        <v>0</v>
      </c>
      <c r="AM162" s="222">
        <v>0</v>
      </c>
      <c r="AN162" s="222"/>
      <c r="AO162" s="222">
        <v>0</v>
      </c>
    </row>
    <row r="163" spans="1:41" s="223" customFormat="1" ht="36" customHeight="1" x14ac:dyDescent="0.25">
      <c r="A163" s="223">
        <v>1</v>
      </c>
      <c r="B163" s="225">
        <f>SUBTOTAL(103,$A$16:A163)</f>
        <v>146</v>
      </c>
      <c r="C163" s="215" t="s">
        <v>398</v>
      </c>
      <c r="D163" s="217">
        <v>1973</v>
      </c>
      <c r="E163" s="217"/>
      <c r="F163" s="226" t="s">
        <v>267</v>
      </c>
      <c r="G163" s="217">
        <v>5</v>
      </c>
      <c r="H163" s="217" t="s">
        <v>303</v>
      </c>
      <c r="I163" s="190">
        <v>4577.26</v>
      </c>
      <c r="J163" s="190">
        <v>2855</v>
      </c>
      <c r="K163" s="190">
        <v>2787.4</v>
      </c>
      <c r="L163" s="219">
        <v>181</v>
      </c>
      <c r="M163" s="217" t="s">
        <v>265</v>
      </c>
      <c r="N163" s="217" t="s">
        <v>269</v>
      </c>
      <c r="O163" s="220" t="s">
        <v>327</v>
      </c>
      <c r="P163" s="190">
        <v>3945816.73</v>
      </c>
      <c r="Q163" s="190">
        <v>0</v>
      </c>
      <c r="R163" s="190">
        <v>0</v>
      </c>
      <c r="S163" s="190">
        <f t="shared" si="17"/>
        <v>3945816.73</v>
      </c>
      <c r="T163" s="190">
        <f t="shared" si="15"/>
        <v>862.04776001363257</v>
      </c>
      <c r="U163" s="190">
        <v>3626.97</v>
      </c>
      <c r="V163" s="221">
        <f t="shared" si="16"/>
        <v>2764.9222399863675</v>
      </c>
      <c r="W163" s="221">
        <f t="shared" si="18"/>
        <v>3259.66</v>
      </c>
      <c r="X163" s="221">
        <v>0</v>
      </c>
      <c r="Y163" s="222">
        <v>0</v>
      </c>
      <c r="Z163" s="222">
        <v>3259.66</v>
      </c>
      <c r="AA163" s="222">
        <v>0</v>
      </c>
      <c r="AB163" s="222">
        <v>0</v>
      </c>
      <c r="AC163" s="222">
        <v>0</v>
      </c>
      <c r="AD163" s="222">
        <v>0</v>
      </c>
      <c r="AE163" s="222">
        <v>0</v>
      </c>
      <c r="AF163" s="221">
        <v>0</v>
      </c>
      <c r="AG163" s="222">
        <v>0</v>
      </c>
      <c r="AH163" s="221">
        <v>0</v>
      </c>
      <c r="AI163" s="222">
        <v>0</v>
      </c>
      <c r="AJ163" s="221">
        <v>0</v>
      </c>
      <c r="AK163" s="222">
        <v>0</v>
      </c>
      <c r="AL163" s="222">
        <v>0</v>
      </c>
      <c r="AM163" s="222">
        <v>0</v>
      </c>
      <c r="AN163" s="222"/>
      <c r="AO163" s="222">
        <v>0</v>
      </c>
    </row>
    <row r="164" spans="1:41" s="223" customFormat="1" ht="36" customHeight="1" x14ac:dyDescent="0.25">
      <c r="A164" s="223">
        <v>1</v>
      </c>
      <c r="B164" s="225">
        <f>SUBTOTAL(103,$A$16:A164)</f>
        <v>147</v>
      </c>
      <c r="C164" s="215" t="s">
        <v>197</v>
      </c>
      <c r="D164" s="217">
        <v>1986</v>
      </c>
      <c r="E164" s="217"/>
      <c r="F164" s="226" t="s">
        <v>311</v>
      </c>
      <c r="G164" s="217">
        <v>5</v>
      </c>
      <c r="H164" s="217" t="s">
        <v>371</v>
      </c>
      <c r="I164" s="190">
        <v>6281</v>
      </c>
      <c r="J164" s="190">
        <v>4728.1000000000004</v>
      </c>
      <c r="K164" s="190">
        <v>4728.1000000000004</v>
      </c>
      <c r="L164" s="219">
        <v>195</v>
      </c>
      <c r="M164" s="217" t="s">
        <v>265</v>
      </c>
      <c r="N164" s="217" t="s">
        <v>269</v>
      </c>
      <c r="O164" s="220" t="s">
        <v>326</v>
      </c>
      <c r="P164" s="190">
        <v>2766905.7600000002</v>
      </c>
      <c r="Q164" s="190">
        <v>0</v>
      </c>
      <c r="R164" s="190">
        <v>0</v>
      </c>
      <c r="S164" s="190">
        <f t="shared" si="17"/>
        <v>2766905.7600000002</v>
      </c>
      <c r="T164" s="190">
        <f t="shared" si="15"/>
        <v>440.51994268428598</v>
      </c>
      <c r="U164" s="190">
        <v>1233.3650819933132</v>
      </c>
      <c r="V164" s="221">
        <f t="shared" si="16"/>
        <v>792.84513930902722</v>
      </c>
      <c r="W164" s="221">
        <f t="shared" si="18"/>
        <v>1182.4229364750836</v>
      </c>
      <c r="X164" s="221">
        <v>0</v>
      </c>
      <c r="Y164" s="222">
        <v>0</v>
      </c>
      <c r="Z164" s="222">
        <v>0</v>
      </c>
      <c r="AA164" s="222">
        <v>0</v>
      </c>
      <c r="AB164" s="222">
        <v>0</v>
      </c>
      <c r="AC164" s="222">
        <v>0</v>
      </c>
      <c r="AD164" s="222">
        <v>0</v>
      </c>
      <c r="AE164" s="222">
        <v>1190.4000000000001</v>
      </c>
      <c r="AF164" s="221">
        <f>6238.91*AE164/I164</f>
        <v>1182.4229364750836</v>
      </c>
      <c r="AG164" s="222">
        <v>0</v>
      </c>
      <c r="AH164" s="221">
        <v>0</v>
      </c>
      <c r="AI164" s="222">
        <v>0</v>
      </c>
      <c r="AJ164" s="221">
        <v>0</v>
      </c>
      <c r="AK164" s="222">
        <v>0</v>
      </c>
      <c r="AL164" s="222">
        <v>0</v>
      </c>
      <c r="AM164" s="222">
        <v>0</v>
      </c>
      <c r="AN164" s="222"/>
      <c r="AO164" s="222">
        <v>0</v>
      </c>
    </row>
    <row r="165" spans="1:41" s="223" customFormat="1" ht="36" customHeight="1" x14ac:dyDescent="0.25">
      <c r="A165" s="223">
        <v>1</v>
      </c>
      <c r="B165" s="225">
        <f>SUBTOTAL(103,$A$16:A165)</f>
        <v>148</v>
      </c>
      <c r="C165" s="215" t="s">
        <v>399</v>
      </c>
      <c r="D165" s="217">
        <v>1948</v>
      </c>
      <c r="E165" s="217"/>
      <c r="F165" s="226" t="s">
        <v>324</v>
      </c>
      <c r="G165" s="217">
        <v>2</v>
      </c>
      <c r="H165" s="217" t="s">
        <v>304</v>
      </c>
      <c r="I165" s="190">
        <v>380.35</v>
      </c>
      <c r="J165" s="190">
        <v>328.8</v>
      </c>
      <c r="K165" s="190">
        <v>328.8</v>
      </c>
      <c r="L165" s="219">
        <v>16</v>
      </c>
      <c r="M165" s="217" t="s">
        <v>265</v>
      </c>
      <c r="N165" s="217" t="s">
        <v>269</v>
      </c>
      <c r="O165" s="220" t="s">
        <v>321</v>
      </c>
      <c r="P165" s="190">
        <v>1828369.47</v>
      </c>
      <c r="Q165" s="190">
        <v>0</v>
      </c>
      <c r="R165" s="190">
        <v>0</v>
      </c>
      <c r="S165" s="190">
        <f t="shared" si="17"/>
        <v>1828369.47</v>
      </c>
      <c r="T165" s="190">
        <f t="shared" si="15"/>
        <v>4807.0710398317333</v>
      </c>
      <c r="U165" s="190">
        <v>5851.5404232943338</v>
      </c>
      <c r="V165" s="221">
        <f t="shared" si="16"/>
        <v>1044.4693834626005</v>
      </c>
      <c r="W165" s="221">
        <f t="shared" si="18"/>
        <v>5609.8520310240556</v>
      </c>
      <c r="X165" s="221">
        <v>0</v>
      </c>
      <c r="Y165" s="222">
        <v>0</v>
      </c>
      <c r="Z165" s="222">
        <v>0</v>
      </c>
      <c r="AA165" s="222">
        <v>0</v>
      </c>
      <c r="AB165" s="222">
        <v>0</v>
      </c>
      <c r="AC165" s="222">
        <v>0</v>
      </c>
      <c r="AD165" s="222">
        <v>0</v>
      </c>
      <c r="AE165" s="222">
        <v>342</v>
      </c>
      <c r="AF165" s="221">
        <f>6238.91*AE165/I165</f>
        <v>5609.8520310240556</v>
      </c>
      <c r="AG165" s="222">
        <v>0</v>
      </c>
      <c r="AH165" s="221">
        <v>0</v>
      </c>
      <c r="AI165" s="222">
        <v>0</v>
      </c>
      <c r="AJ165" s="221">
        <v>0</v>
      </c>
      <c r="AK165" s="222">
        <v>0</v>
      </c>
      <c r="AL165" s="222">
        <v>0</v>
      </c>
      <c r="AM165" s="222">
        <v>0</v>
      </c>
      <c r="AN165" s="222"/>
      <c r="AO165" s="222">
        <v>0</v>
      </c>
    </row>
    <row r="166" spans="1:41" s="223" customFormat="1" ht="36" customHeight="1" x14ac:dyDescent="0.25">
      <c r="A166" s="223">
        <v>1</v>
      </c>
      <c r="B166" s="225">
        <f>SUBTOTAL(103,$A$16:A166)</f>
        <v>149</v>
      </c>
      <c r="C166" s="215" t="s">
        <v>400</v>
      </c>
      <c r="D166" s="217">
        <v>1972</v>
      </c>
      <c r="E166" s="217"/>
      <c r="F166" s="226" t="s">
        <v>267</v>
      </c>
      <c r="G166" s="217">
        <v>5</v>
      </c>
      <c r="H166" s="217" t="s">
        <v>2266</v>
      </c>
      <c r="I166" s="190">
        <v>6552.34</v>
      </c>
      <c r="J166" s="190">
        <v>6023.94</v>
      </c>
      <c r="K166" s="190">
        <v>6023.94</v>
      </c>
      <c r="L166" s="219">
        <v>307</v>
      </c>
      <c r="M166" s="217" t="s">
        <v>265</v>
      </c>
      <c r="N166" s="217" t="s">
        <v>269</v>
      </c>
      <c r="O166" s="220" t="s">
        <v>328</v>
      </c>
      <c r="P166" s="190">
        <v>9316893.9800000004</v>
      </c>
      <c r="Q166" s="190">
        <v>0</v>
      </c>
      <c r="R166" s="190">
        <v>0</v>
      </c>
      <c r="S166" s="190">
        <f t="shared" si="17"/>
        <v>9316893.9800000004</v>
      </c>
      <c r="T166" s="190">
        <f t="shared" si="15"/>
        <v>1421.9185787062331</v>
      </c>
      <c r="U166" s="190">
        <v>2000.2789537783447</v>
      </c>
      <c r="V166" s="221">
        <f t="shared" si="16"/>
        <v>578.36037507211154</v>
      </c>
      <c r="W166" s="221">
        <f t="shared" si="18"/>
        <v>1925.277995342122</v>
      </c>
      <c r="X166" s="221">
        <v>0</v>
      </c>
      <c r="Y166" s="222">
        <v>0</v>
      </c>
      <c r="Z166" s="222">
        <v>0</v>
      </c>
      <c r="AA166" s="222">
        <v>0</v>
      </c>
      <c r="AB166" s="222">
        <v>0</v>
      </c>
      <c r="AC166" s="222">
        <v>0</v>
      </c>
      <c r="AD166" s="222">
        <v>0</v>
      </c>
      <c r="AE166" s="222">
        <v>2022</v>
      </c>
      <c r="AF166" s="221">
        <f>6238.91*AE166/I166</f>
        <v>1925.277995342122</v>
      </c>
      <c r="AG166" s="222">
        <v>0</v>
      </c>
      <c r="AH166" s="221">
        <v>0</v>
      </c>
      <c r="AI166" s="222">
        <v>0</v>
      </c>
      <c r="AJ166" s="221">
        <v>0</v>
      </c>
      <c r="AK166" s="222">
        <v>0</v>
      </c>
      <c r="AL166" s="222">
        <v>0</v>
      </c>
      <c r="AM166" s="222">
        <v>0</v>
      </c>
      <c r="AN166" s="222"/>
      <c r="AO166" s="222">
        <v>0</v>
      </c>
    </row>
    <row r="167" spans="1:41" s="223" customFormat="1" ht="36" customHeight="1" x14ac:dyDescent="0.25">
      <c r="A167" s="223">
        <v>1</v>
      </c>
      <c r="B167" s="225">
        <f>SUBTOTAL(103,$A$16:A167)</f>
        <v>150</v>
      </c>
      <c r="C167" s="215" t="s">
        <v>1148</v>
      </c>
      <c r="D167" s="217">
        <v>1958</v>
      </c>
      <c r="E167" s="217"/>
      <c r="F167" s="226" t="s">
        <v>267</v>
      </c>
      <c r="G167" s="217">
        <v>2</v>
      </c>
      <c r="H167" s="217" t="s">
        <v>303</v>
      </c>
      <c r="I167" s="190">
        <v>731.63</v>
      </c>
      <c r="J167" s="190">
        <v>675.13</v>
      </c>
      <c r="K167" s="190">
        <v>675.13</v>
      </c>
      <c r="L167" s="219">
        <v>27</v>
      </c>
      <c r="M167" s="217" t="s">
        <v>265</v>
      </c>
      <c r="N167" s="217" t="s">
        <v>266</v>
      </c>
      <c r="O167" s="220" t="s">
        <v>268</v>
      </c>
      <c r="P167" s="190">
        <v>1472380.11</v>
      </c>
      <c r="Q167" s="190">
        <v>0</v>
      </c>
      <c r="R167" s="190">
        <v>0</v>
      </c>
      <c r="S167" s="190">
        <f t="shared" si="17"/>
        <v>1472380.11</v>
      </c>
      <c r="T167" s="190">
        <f t="shared" si="15"/>
        <v>2012.4654675177346</v>
      </c>
      <c r="U167" s="190">
        <v>4622.41</v>
      </c>
      <c r="V167" s="221">
        <f t="shared" si="16"/>
        <v>2609.9445324822655</v>
      </c>
      <c r="W167" s="221">
        <f t="shared" si="18"/>
        <v>4341.5</v>
      </c>
      <c r="X167" s="221">
        <v>101.55</v>
      </c>
      <c r="Y167" s="222">
        <v>0</v>
      </c>
      <c r="Z167" s="222">
        <v>3259.66</v>
      </c>
      <c r="AA167" s="222">
        <v>184.98</v>
      </c>
      <c r="AB167" s="222">
        <v>795.31</v>
      </c>
      <c r="AC167" s="222">
        <v>0</v>
      </c>
      <c r="AD167" s="222">
        <v>0</v>
      </c>
      <c r="AE167" s="222">
        <v>0</v>
      </c>
      <c r="AF167" s="221">
        <v>0</v>
      </c>
      <c r="AG167" s="222">
        <v>0</v>
      </c>
      <c r="AH167" s="221">
        <v>0</v>
      </c>
      <c r="AI167" s="222">
        <v>0</v>
      </c>
      <c r="AJ167" s="221">
        <v>0</v>
      </c>
      <c r="AK167" s="222">
        <v>0</v>
      </c>
      <c r="AL167" s="222">
        <v>0</v>
      </c>
      <c r="AM167" s="222">
        <v>0</v>
      </c>
      <c r="AN167" s="222"/>
      <c r="AO167" s="222">
        <v>0</v>
      </c>
    </row>
    <row r="168" spans="1:41" s="223" customFormat="1" ht="36" customHeight="1" x14ac:dyDescent="0.25">
      <c r="A168" s="223">
        <v>1</v>
      </c>
      <c r="B168" s="225">
        <f>SUBTOTAL(103,$A$16:A168)</f>
        <v>151</v>
      </c>
      <c r="C168" s="215" t="s">
        <v>1149</v>
      </c>
      <c r="D168" s="217">
        <v>1963</v>
      </c>
      <c r="E168" s="217"/>
      <c r="F168" s="226" t="s">
        <v>267</v>
      </c>
      <c r="G168" s="217">
        <v>3</v>
      </c>
      <c r="H168" s="217" t="s">
        <v>303</v>
      </c>
      <c r="I168" s="190">
        <v>518.79999999999995</v>
      </c>
      <c r="J168" s="190">
        <v>518.73</v>
      </c>
      <c r="K168" s="190">
        <v>518.73</v>
      </c>
      <c r="L168" s="219">
        <v>28</v>
      </c>
      <c r="M168" s="217" t="s">
        <v>265</v>
      </c>
      <c r="N168" s="217" t="s">
        <v>266</v>
      </c>
      <c r="O168" s="220" t="s">
        <v>268</v>
      </c>
      <c r="P168" s="190">
        <v>1557950.91</v>
      </c>
      <c r="Q168" s="190">
        <v>0</v>
      </c>
      <c r="R168" s="190">
        <v>0</v>
      </c>
      <c r="S168" s="190">
        <f t="shared" si="17"/>
        <v>1557950.91</v>
      </c>
      <c r="T168" s="190">
        <f t="shared" si="15"/>
        <v>3002.9894178874329</v>
      </c>
      <c r="U168" s="190">
        <v>4151.9828450269852</v>
      </c>
      <c r="V168" s="221">
        <f t="shared" si="16"/>
        <v>1148.9934271395523</v>
      </c>
      <c r="W168" s="221">
        <f t="shared" si="18"/>
        <v>3980.491923670008</v>
      </c>
      <c r="X168" s="221">
        <v>0</v>
      </c>
      <c r="Y168" s="222">
        <v>0</v>
      </c>
      <c r="Z168" s="222">
        <v>0</v>
      </c>
      <c r="AA168" s="222">
        <v>0</v>
      </c>
      <c r="AB168" s="222">
        <v>0</v>
      </c>
      <c r="AC168" s="222">
        <v>0</v>
      </c>
      <c r="AD168" s="222">
        <v>0</v>
      </c>
      <c r="AE168" s="222">
        <v>331</v>
      </c>
      <c r="AF168" s="221">
        <f>6238.91*AE168/I168</f>
        <v>3980.491923670008</v>
      </c>
      <c r="AG168" s="222">
        <v>0</v>
      </c>
      <c r="AH168" s="221">
        <v>0</v>
      </c>
      <c r="AI168" s="222">
        <v>0</v>
      </c>
      <c r="AJ168" s="221">
        <v>0</v>
      </c>
      <c r="AK168" s="222">
        <v>0</v>
      </c>
      <c r="AL168" s="222">
        <v>0</v>
      </c>
      <c r="AM168" s="222">
        <v>0</v>
      </c>
      <c r="AN168" s="222"/>
      <c r="AO168" s="222">
        <v>0</v>
      </c>
    </row>
    <row r="169" spans="1:41" s="223" customFormat="1" ht="36" customHeight="1" x14ac:dyDescent="0.25">
      <c r="A169" s="223">
        <v>1</v>
      </c>
      <c r="B169" s="225">
        <f>SUBTOTAL(103,$A$16:A169)</f>
        <v>152</v>
      </c>
      <c r="C169" s="215" t="s">
        <v>1151</v>
      </c>
      <c r="D169" s="217">
        <v>1989</v>
      </c>
      <c r="E169" s="217"/>
      <c r="F169" s="226" t="s">
        <v>267</v>
      </c>
      <c r="G169" s="217">
        <v>9</v>
      </c>
      <c r="H169" s="217" t="s">
        <v>303</v>
      </c>
      <c r="I169" s="190">
        <v>4913</v>
      </c>
      <c r="J169" s="190">
        <v>3935.8</v>
      </c>
      <c r="K169" s="190">
        <v>3935.8</v>
      </c>
      <c r="L169" s="219">
        <v>173</v>
      </c>
      <c r="M169" s="217" t="s">
        <v>265</v>
      </c>
      <c r="N169" s="217" t="s">
        <v>269</v>
      </c>
      <c r="O169" s="220" t="s">
        <v>325</v>
      </c>
      <c r="P169" s="190">
        <v>2712861.94</v>
      </c>
      <c r="Q169" s="190">
        <v>0</v>
      </c>
      <c r="R169" s="190">
        <v>0</v>
      </c>
      <c r="S169" s="190">
        <f t="shared" si="17"/>
        <v>2712861.94</v>
      </c>
      <c r="T169" s="190">
        <f t="shared" si="15"/>
        <v>552.18032566659883</v>
      </c>
      <c r="U169" s="190">
        <v>1000.5292082230816</v>
      </c>
      <c r="V169" s="221">
        <f t="shared" si="16"/>
        <v>448.34888255648275</v>
      </c>
      <c r="W169" s="221">
        <f t="shared" si="18"/>
        <v>1000.5292082230816</v>
      </c>
      <c r="X169" s="221">
        <v>0</v>
      </c>
      <c r="Y169" s="222">
        <v>0</v>
      </c>
      <c r="Z169" s="222">
        <v>0</v>
      </c>
      <c r="AA169" s="222">
        <v>0</v>
      </c>
      <c r="AB169" s="222">
        <v>0</v>
      </c>
      <c r="AC169" s="222">
        <v>2</v>
      </c>
      <c r="AD169" s="221">
        <f>2457800*AC169/I169</f>
        <v>1000.5292082230816</v>
      </c>
      <c r="AE169" s="222">
        <v>0</v>
      </c>
      <c r="AF169" s="221">
        <v>0</v>
      </c>
      <c r="AG169" s="222">
        <v>0</v>
      </c>
      <c r="AH169" s="221">
        <v>0</v>
      </c>
      <c r="AI169" s="222">
        <v>0</v>
      </c>
      <c r="AJ169" s="221">
        <v>0</v>
      </c>
      <c r="AK169" s="222">
        <v>0</v>
      </c>
      <c r="AL169" s="222">
        <v>0</v>
      </c>
      <c r="AM169" s="222">
        <v>0</v>
      </c>
      <c r="AN169" s="222"/>
      <c r="AO169" s="222">
        <v>0</v>
      </c>
    </row>
    <row r="170" spans="1:41" s="223" customFormat="1" ht="36" customHeight="1" x14ac:dyDescent="0.25">
      <c r="A170" s="223">
        <v>1</v>
      </c>
      <c r="B170" s="225">
        <f>SUBTOTAL(103,$A$16:A170)</f>
        <v>153</v>
      </c>
      <c r="C170" s="215" t="s">
        <v>1152</v>
      </c>
      <c r="D170" s="217">
        <v>1964</v>
      </c>
      <c r="E170" s="217"/>
      <c r="F170" s="226" t="s">
        <v>267</v>
      </c>
      <c r="G170" s="217">
        <v>2</v>
      </c>
      <c r="H170" s="217" t="s">
        <v>303</v>
      </c>
      <c r="I170" s="190">
        <v>384.9</v>
      </c>
      <c r="J170" s="190">
        <v>384.9</v>
      </c>
      <c r="K170" s="190">
        <v>384.9</v>
      </c>
      <c r="L170" s="219">
        <v>27</v>
      </c>
      <c r="M170" s="217" t="s">
        <v>265</v>
      </c>
      <c r="N170" s="217" t="s">
        <v>269</v>
      </c>
      <c r="O170" s="220" t="s">
        <v>326</v>
      </c>
      <c r="P170" s="190">
        <v>211626.35</v>
      </c>
      <c r="Q170" s="190">
        <v>0</v>
      </c>
      <c r="R170" s="190">
        <v>0</v>
      </c>
      <c r="S170" s="190">
        <f t="shared" si="17"/>
        <v>211626.35</v>
      </c>
      <c r="T170" s="190">
        <f t="shared" si="15"/>
        <v>549.82164198493115</v>
      </c>
      <c r="U170" s="190">
        <v>1673.2996024941544</v>
      </c>
      <c r="V170" s="221">
        <f t="shared" si="16"/>
        <v>1123.4779605092233</v>
      </c>
      <c r="W170" s="221">
        <f t="shared" si="18"/>
        <v>3803.7451062613673</v>
      </c>
      <c r="X170" s="221">
        <v>0</v>
      </c>
      <c r="Y170" s="222">
        <v>0</v>
      </c>
      <c r="Z170" s="222">
        <v>0</v>
      </c>
      <c r="AA170" s="222">
        <v>0</v>
      </c>
      <c r="AB170" s="222">
        <v>0</v>
      </c>
      <c r="AC170" s="222">
        <v>0</v>
      </c>
      <c r="AD170" s="222">
        <v>0</v>
      </c>
      <c r="AE170" s="222">
        <v>0</v>
      </c>
      <c r="AF170" s="221">
        <v>0</v>
      </c>
      <c r="AG170" s="222">
        <v>0</v>
      </c>
      <c r="AH170" s="221">
        <v>0</v>
      </c>
      <c r="AI170" s="222">
        <v>0</v>
      </c>
      <c r="AJ170" s="221">
        <v>0</v>
      </c>
      <c r="AK170" s="222">
        <v>19.07</v>
      </c>
      <c r="AL170" s="221">
        <f>76773.02*AK170/I170</f>
        <v>3803.7451062613673</v>
      </c>
      <c r="AM170" s="222">
        <v>0</v>
      </c>
      <c r="AN170" s="222"/>
      <c r="AO170" s="222">
        <v>0</v>
      </c>
    </row>
    <row r="171" spans="1:41" s="223" customFormat="1" ht="36" customHeight="1" x14ac:dyDescent="0.25">
      <c r="A171" s="223">
        <v>1</v>
      </c>
      <c r="B171" s="225">
        <f>SUBTOTAL(103,$A$16:A171)</f>
        <v>154</v>
      </c>
      <c r="C171" s="215" t="s">
        <v>1153</v>
      </c>
      <c r="D171" s="217">
        <v>1971</v>
      </c>
      <c r="E171" s="217"/>
      <c r="F171" s="226" t="s">
        <v>267</v>
      </c>
      <c r="G171" s="217">
        <v>5</v>
      </c>
      <c r="H171" s="217" t="s">
        <v>371</v>
      </c>
      <c r="I171" s="190">
        <v>5698.2</v>
      </c>
      <c r="J171" s="190">
        <v>5283.5</v>
      </c>
      <c r="K171" s="190">
        <v>4475.3999999999996</v>
      </c>
      <c r="L171" s="219">
        <v>198</v>
      </c>
      <c r="M171" s="217" t="s">
        <v>265</v>
      </c>
      <c r="N171" s="217" t="s">
        <v>269</v>
      </c>
      <c r="O171" s="220" t="s">
        <v>328</v>
      </c>
      <c r="P171" s="190">
        <v>2148296.4200000004</v>
      </c>
      <c r="Q171" s="190">
        <v>0</v>
      </c>
      <c r="R171" s="190">
        <v>0</v>
      </c>
      <c r="S171" s="190">
        <f t="shared" si="17"/>
        <v>2148296.4200000004</v>
      </c>
      <c r="T171" s="190">
        <f t="shared" si="15"/>
        <v>377.01316556105445</v>
      </c>
      <c r="U171" s="190">
        <v>1129.3822926538207</v>
      </c>
      <c r="V171" s="221">
        <f t="shared" si="16"/>
        <v>752.36912709276635</v>
      </c>
      <c r="W171" s="221">
        <f t="shared" si="18"/>
        <v>1129.3822926538207</v>
      </c>
      <c r="X171" s="221">
        <v>0</v>
      </c>
      <c r="Y171" s="222">
        <v>0</v>
      </c>
      <c r="Z171" s="222">
        <v>0</v>
      </c>
      <c r="AA171" s="222">
        <v>0</v>
      </c>
      <c r="AB171" s="222">
        <v>0</v>
      </c>
      <c r="AC171" s="222">
        <v>0</v>
      </c>
      <c r="AD171" s="222">
        <v>0</v>
      </c>
      <c r="AE171" s="222">
        <v>0</v>
      </c>
      <c r="AF171" s="221">
        <v>0</v>
      </c>
      <c r="AG171" s="222">
        <v>725.5</v>
      </c>
      <c r="AH171" s="221">
        <f>8870.36*AG171/I171</f>
        <v>1129.3822926538207</v>
      </c>
      <c r="AI171" s="222">
        <v>0</v>
      </c>
      <c r="AJ171" s="221">
        <v>0</v>
      </c>
      <c r="AK171" s="222">
        <v>0</v>
      </c>
      <c r="AL171" s="222">
        <v>0</v>
      </c>
      <c r="AM171" s="222">
        <v>0</v>
      </c>
      <c r="AN171" s="222"/>
      <c r="AO171" s="222">
        <v>0</v>
      </c>
    </row>
    <row r="172" spans="1:41" s="223" customFormat="1" ht="36" customHeight="1" x14ac:dyDescent="0.25">
      <c r="A172" s="223">
        <v>1</v>
      </c>
      <c r="B172" s="225">
        <f>SUBTOTAL(103,$A$16:A172)</f>
        <v>155</v>
      </c>
      <c r="C172" s="215" t="s">
        <v>1154</v>
      </c>
      <c r="D172" s="217">
        <v>1991</v>
      </c>
      <c r="E172" s="217"/>
      <c r="F172" s="226" t="s">
        <v>287</v>
      </c>
      <c r="G172" s="217">
        <v>9</v>
      </c>
      <c r="H172" s="217" t="s">
        <v>303</v>
      </c>
      <c r="I172" s="190">
        <v>4196.7</v>
      </c>
      <c r="J172" s="190">
        <v>3776.7</v>
      </c>
      <c r="K172" s="190">
        <v>3776.7</v>
      </c>
      <c r="L172" s="219">
        <v>175</v>
      </c>
      <c r="M172" s="217" t="s">
        <v>265</v>
      </c>
      <c r="N172" s="217" t="s">
        <v>269</v>
      </c>
      <c r="O172" s="220" t="s">
        <v>321</v>
      </c>
      <c r="P172" s="190">
        <v>2712861.94</v>
      </c>
      <c r="Q172" s="190">
        <v>0</v>
      </c>
      <c r="R172" s="190">
        <v>0</v>
      </c>
      <c r="S172" s="190">
        <f t="shared" si="17"/>
        <v>2712861.94</v>
      </c>
      <c r="T172" s="190">
        <f t="shared" si="15"/>
        <v>646.42741677985089</v>
      </c>
      <c r="U172" s="190">
        <v>1171.3012605142137</v>
      </c>
      <c r="V172" s="221">
        <f t="shared" si="16"/>
        <v>524.87384373436282</v>
      </c>
      <c r="W172" s="221">
        <f t="shared" si="18"/>
        <v>1171.3012605142137</v>
      </c>
      <c r="X172" s="221">
        <v>0</v>
      </c>
      <c r="Y172" s="222">
        <v>0</v>
      </c>
      <c r="Z172" s="222">
        <v>0</v>
      </c>
      <c r="AA172" s="222">
        <v>0</v>
      </c>
      <c r="AB172" s="222">
        <v>0</v>
      </c>
      <c r="AC172" s="222">
        <v>2</v>
      </c>
      <c r="AD172" s="221">
        <f>2457800*AC172/I172</f>
        <v>1171.3012605142137</v>
      </c>
      <c r="AE172" s="222">
        <v>0</v>
      </c>
      <c r="AF172" s="221">
        <v>0</v>
      </c>
      <c r="AG172" s="222">
        <v>0</v>
      </c>
      <c r="AH172" s="221">
        <v>0</v>
      </c>
      <c r="AI172" s="222">
        <v>0</v>
      </c>
      <c r="AJ172" s="221">
        <v>0</v>
      </c>
      <c r="AK172" s="222">
        <v>0</v>
      </c>
      <c r="AL172" s="222">
        <v>0</v>
      </c>
      <c r="AM172" s="222">
        <v>0</v>
      </c>
      <c r="AN172" s="222"/>
      <c r="AO172" s="222">
        <v>0</v>
      </c>
    </row>
    <row r="173" spans="1:41" s="223" customFormat="1" ht="36" customHeight="1" x14ac:dyDescent="0.25">
      <c r="A173" s="223">
        <v>1</v>
      </c>
      <c r="B173" s="225">
        <f>SUBTOTAL(103,$A$16:A173)</f>
        <v>156</v>
      </c>
      <c r="C173" s="215" t="s">
        <v>1155</v>
      </c>
      <c r="D173" s="217">
        <v>1963</v>
      </c>
      <c r="E173" s="217"/>
      <c r="F173" s="226" t="s">
        <v>267</v>
      </c>
      <c r="G173" s="217">
        <v>4</v>
      </c>
      <c r="H173" s="217" t="s">
        <v>308</v>
      </c>
      <c r="I173" s="190">
        <v>2775</v>
      </c>
      <c r="J173" s="190">
        <v>2580</v>
      </c>
      <c r="K173" s="190">
        <v>2580</v>
      </c>
      <c r="L173" s="219">
        <v>110</v>
      </c>
      <c r="M173" s="217" t="s">
        <v>265</v>
      </c>
      <c r="N173" s="217" t="s">
        <v>269</v>
      </c>
      <c r="O173" s="220" t="s">
        <v>990</v>
      </c>
      <c r="P173" s="190">
        <v>2237682.5499999998</v>
      </c>
      <c r="Q173" s="190">
        <v>0</v>
      </c>
      <c r="R173" s="190">
        <v>0</v>
      </c>
      <c r="S173" s="190">
        <f t="shared" si="17"/>
        <v>2237682.5499999998</v>
      </c>
      <c r="T173" s="190">
        <f t="shared" si="15"/>
        <v>806.37209009009007</v>
      </c>
      <c r="U173" s="190">
        <v>3626.97</v>
      </c>
      <c r="V173" s="221">
        <f t="shared" si="16"/>
        <v>2820.5979099099095</v>
      </c>
      <c r="W173" s="221">
        <f t="shared" si="18"/>
        <v>3259.66</v>
      </c>
      <c r="X173" s="221">
        <v>0</v>
      </c>
      <c r="Y173" s="222">
        <v>0</v>
      </c>
      <c r="Z173" s="222">
        <v>3259.66</v>
      </c>
      <c r="AA173" s="222">
        <v>0</v>
      </c>
      <c r="AB173" s="222">
        <v>0</v>
      </c>
      <c r="AC173" s="222">
        <v>0</v>
      </c>
      <c r="AD173" s="222">
        <v>0</v>
      </c>
      <c r="AE173" s="222">
        <v>0</v>
      </c>
      <c r="AF173" s="221">
        <v>0</v>
      </c>
      <c r="AG173" s="222">
        <v>0</v>
      </c>
      <c r="AH173" s="221">
        <v>0</v>
      </c>
      <c r="AI173" s="222">
        <v>0</v>
      </c>
      <c r="AJ173" s="221">
        <v>0</v>
      </c>
      <c r="AK173" s="222">
        <v>0</v>
      </c>
      <c r="AL173" s="222">
        <v>0</v>
      </c>
      <c r="AM173" s="222">
        <v>0</v>
      </c>
      <c r="AN173" s="222"/>
      <c r="AO173" s="222">
        <v>0</v>
      </c>
    </row>
    <row r="174" spans="1:41" s="223" customFormat="1" ht="36" customHeight="1" x14ac:dyDescent="0.25">
      <c r="A174" s="223">
        <v>1</v>
      </c>
      <c r="B174" s="225">
        <f>SUBTOTAL(103,$A$16:A174)</f>
        <v>157</v>
      </c>
      <c r="C174" s="215" t="s">
        <v>1156</v>
      </c>
      <c r="D174" s="217">
        <v>1959</v>
      </c>
      <c r="E174" s="217"/>
      <c r="F174" s="226" t="s">
        <v>267</v>
      </c>
      <c r="G174" s="217">
        <v>2</v>
      </c>
      <c r="H174" s="217" t="s">
        <v>303</v>
      </c>
      <c r="I174" s="190">
        <v>598.02</v>
      </c>
      <c r="J174" s="190">
        <v>552.79999999999995</v>
      </c>
      <c r="K174" s="190">
        <v>552.79999999999995</v>
      </c>
      <c r="L174" s="219">
        <v>28</v>
      </c>
      <c r="M174" s="217" t="s">
        <v>265</v>
      </c>
      <c r="N174" s="217" t="s">
        <v>269</v>
      </c>
      <c r="O174" s="220" t="s">
        <v>328</v>
      </c>
      <c r="P174" s="190">
        <v>2418873.6</v>
      </c>
      <c r="Q174" s="190">
        <v>0</v>
      </c>
      <c r="R174" s="190">
        <v>0</v>
      </c>
      <c r="S174" s="190">
        <f t="shared" si="17"/>
        <v>2418873.6</v>
      </c>
      <c r="T174" s="190">
        <f t="shared" si="15"/>
        <v>4044.8038527139565</v>
      </c>
      <c r="U174" s="190">
        <v>5381.5137971974173</v>
      </c>
      <c r="V174" s="221">
        <f t="shared" si="16"/>
        <v>1336.7099444834607</v>
      </c>
      <c r="W174" s="221">
        <f t="shared" si="18"/>
        <v>4976.3554228955554</v>
      </c>
      <c r="X174" s="221">
        <v>0</v>
      </c>
      <c r="Y174" s="222">
        <v>0</v>
      </c>
      <c r="Z174" s="222">
        <v>0</v>
      </c>
      <c r="AA174" s="222">
        <v>0</v>
      </c>
      <c r="AB174" s="222">
        <v>0</v>
      </c>
      <c r="AC174" s="222">
        <v>0</v>
      </c>
      <c r="AD174" s="222">
        <v>0</v>
      </c>
      <c r="AE174" s="222">
        <v>477</v>
      </c>
      <c r="AF174" s="221">
        <f>6238.91*AE174/I174</f>
        <v>4976.3554228955554</v>
      </c>
      <c r="AG174" s="222">
        <v>0</v>
      </c>
      <c r="AH174" s="221">
        <v>0</v>
      </c>
      <c r="AI174" s="222">
        <v>0</v>
      </c>
      <c r="AJ174" s="221">
        <v>0</v>
      </c>
      <c r="AK174" s="222">
        <v>0</v>
      </c>
      <c r="AL174" s="222">
        <v>0</v>
      </c>
      <c r="AM174" s="222">
        <v>0</v>
      </c>
      <c r="AN174" s="222"/>
      <c r="AO174" s="222">
        <v>0</v>
      </c>
    </row>
    <row r="175" spans="1:41" s="223" customFormat="1" ht="36" customHeight="1" x14ac:dyDescent="0.25">
      <c r="A175" s="223">
        <v>1</v>
      </c>
      <c r="B175" s="225">
        <f>SUBTOTAL(103,$A$16:A175)</f>
        <v>158</v>
      </c>
      <c r="C175" s="215" t="s">
        <v>1159</v>
      </c>
      <c r="D175" s="217">
        <v>1989</v>
      </c>
      <c r="E175" s="217"/>
      <c r="F175" s="226" t="s">
        <v>267</v>
      </c>
      <c r="G175" s="217">
        <v>9</v>
      </c>
      <c r="H175" s="217" t="s">
        <v>304</v>
      </c>
      <c r="I175" s="190">
        <v>3493.71</v>
      </c>
      <c r="J175" s="190">
        <v>3277.11</v>
      </c>
      <c r="K175" s="190">
        <v>3277.11</v>
      </c>
      <c r="L175" s="219">
        <v>159</v>
      </c>
      <c r="M175" s="217" t="s">
        <v>265</v>
      </c>
      <c r="N175" s="217" t="s">
        <v>269</v>
      </c>
      <c r="O175" s="220" t="s">
        <v>1338</v>
      </c>
      <c r="P175" s="190">
        <v>1640571.49</v>
      </c>
      <c r="Q175" s="190">
        <v>0</v>
      </c>
      <c r="R175" s="190">
        <v>0</v>
      </c>
      <c r="S175" s="190">
        <f t="shared" si="17"/>
        <v>1640571.49</v>
      </c>
      <c r="T175" s="190">
        <f t="shared" si="15"/>
        <v>469.57861127569259</v>
      </c>
      <c r="U175" s="190">
        <v>703.4928485764417</v>
      </c>
      <c r="V175" s="221">
        <f t="shared" si="16"/>
        <v>233.91423730074911</v>
      </c>
      <c r="W175" s="221">
        <f t="shared" si="18"/>
        <v>795.31</v>
      </c>
      <c r="X175" s="221">
        <v>0</v>
      </c>
      <c r="Y175" s="222">
        <v>0</v>
      </c>
      <c r="Z175" s="222">
        <v>0</v>
      </c>
      <c r="AA175" s="222">
        <v>0</v>
      </c>
      <c r="AB175" s="222">
        <v>795.31</v>
      </c>
      <c r="AC175" s="222">
        <v>0</v>
      </c>
      <c r="AD175" s="222">
        <v>0</v>
      </c>
      <c r="AE175" s="222">
        <v>0</v>
      </c>
      <c r="AF175" s="221">
        <v>0</v>
      </c>
      <c r="AG175" s="222">
        <v>0</v>
      </c>
      <c r="AH175" s="221">
        <v>0</v>
      </c>
      <c r="AI175" s="222">
        <v>0</v>
      </c>
      <c r="AJ175" s="221">
        <v>0</v>
      </c>
      <c r="AK175" s="222">
        <v>0</v>
      </c>
      <c r="AL175" s="222">
        <v>0</v>
      </c>
      <c r="AM175" s="222">
        <v>0</v>
      </c>
      <c r="AN175" s="222"/>
      <c r="AO175" s="222">
        <v>0</v>
      </c>
    </row>
    <row r="176" spans="1:41" s="223" customFormat="1" ht="36" customHeight="1" x14ac:dyDescent="0.25">
      <c r="A176" s="223">
        <v>1</v>
      </c>
      <c r="B176" s="225">
        <f>SUBTOTAL(103,$A$16:A176)</f>
        <v>159</v>
      </c>
      <c r="C176" s="215" t="s">
        <v>1160</v>
      </c>
      <c r="D176" s="217">
        <v>1992</v>
      </c>
      <c r="E176" s="217"/>
      <c r="F176" s="226" t="s">
        <v>267</v>
      </c>
      <c r="G176" s="217">
        <v>9</v>
      </c>
      <c r="H176" s="217" t="s">
        <v>304</v>
      </c>
      <c r="I176" s="190">
        <v>2755.2</v>
      </c>
      <c r="J176" s="190">
        <v>2755.2</v>
      </c>
      <c r="K176" s="190">
        <v>2755.2</v>
      </c>
      <c r="L176" s="219">
        <v>117</v>
      </c>
      <c r="M176" s="217" t="s">
        <v>265</v>
      </c>
      <c r="N176" s="217" t="s">
        <v>269</v>
      </c>
      <c r="O176" s="220" t="s">
        <v>1339</v>
      </c>
      <c r="P176" s="190">
        <v>1784450.96</v>
      </c>
      <c r="Q176" s="190">
        <v>0</v>
      </c>
      <c r="R176" s="190">
        <v>0</v>
      </c>
      <c r="S176" s="190">
        <f t="shared" si="17"/>
        <v>1784450.96</v>
      </c>
      <c r="T176" s="190">
        <f t="shared" si="15"/>
        <v>647.66657955865276</v>
      </c>
      <c r="U176" s="190">
        <v>892.05865272938445</v>
      </c>
      <c r="V176" s="221">
        <f t="shared" si="16"/>
        <v>244.39207317073169</v>
      </c>
      <c r="W176" s="221">
        <f t="shared" si="18"/>
        <v>795.31</v>
      </c>
      <c r="X176" s="221">
        <v>0</v>
      </c>
      <c r="Y176" s="222">
        <v>0</v>
      </c>
      <c r="Z176" s="222">
        <v>0</v>
      </c>
      <c r="AA176" s="222">
        <v>0</v>
      </c>
      <c r="AB176" s="222">
        <v>795.31</v>
      </c>
      <c r="AC176" s="222">
        <v>0</v>
      </c>
      <c r="AD176" s="222">
        <v>0</v>
      </c>
      <c r="AE176" s="222">
        <v>0</v>
      </c>
      <c r="AF176" s="221">
        <v>0</v>
      </c>
      <c r="AG176" s="222">
        <v>0</v>
      </c>
      <c r="AH176" s="221">
        <v>0</v>
      </c>
      <c r="AI176" s="222">
        <v>0</v>
      </c>
      <c r="AJ176" s="221">
        <v>0</v>
      </c>
      <c r="AK176" s="222">
        <v>0</v>
      </c>
      <c r="AL176" s="222">
        <v>0</v>
      </c>
      <c r="AM176" s="222">
        <v>0</v>
      </c>
      <c r="AN176" s="222"/>
      <c r="AO176" s="222">
        <v>0</v>
      </c>
    </row>
    <row r="177" spans="1:41" s="223" customFormat="1" ht="36" customHeight="1" x14ac:dyDescent="0.25">
      <c r="A177" s="223">
        <v>1</v>
      </c>
      <c r="B177" s="225">
        <f>SUBTOTAL(103,$A$16:A177)</f>
        <v>160</v>
      </c>
      <c r="C177" s="215" t="s">
        <v>1161</v>
      </c>
      <c r="D177" s="217">
        <v>1992</v>
      </c>
      <c r="E177" s="217"/>
      <c r="F177" s="226" t="s">
        <v>311</v>
      </c>
      <c r="G177" s="217">
        <v>9</v>
      </c>
      <c r="H177" s="217" t="s">
        <v>308</v>
      </c>
      <c r="I177" s="190">
        <v>8435</v>
      </c>
      <c r="J177" s="190">
        <v>4621</v>
      </c>
      <c r="K177" s="190">
        <v>4597</v>
      </c>
      <c r="L177" s="219">
        <v>317</v>
      </c>
      <c r="M177" s="217" t="s">
        <v>265</v>
      </c>
      <c r="N177" s="217" t="s">
        <v>269</v>
      </c>
      <c r="O177" s="220" t="s">
        <v>1340</v>
      </c>
      <c r="P177" s="190">
        <v>6364982.3099999996</v>
      </c>
      <c r="Q177" s="190">
        <v>0</v>
      </c>
      <c r="R177" s="190">
        <v>0</v>
      </c>
      <c r="S177" s="190">
        <f t="shared" si="17"/>
        <v>6364982.3099999996</v>
      </c>
      <c r="T177" s="190">
        <f t="shared" si="15"/>
        <v>754.59185655008889</v>
      </c>
      <c r="U177" s="190">
        <v>1165.5245998814464</v>
      </c>
      <c r="V177" s="221">
        <f t="shared" si="16"/>
        <v>410.93274333135753</v>
      </c>
      <c r="W177" s="221">
        <f t="shared" si="18"/>
        <v>291.38114997036161</v>
      </c>
      <c r="X177" s="221">
        <v>0</v>
      </c>
      <c r="Y177" s="222">
        <v>0</v>
      </c>
      <c r="Z177" s="222">
        <v>0</v>
      </c>
      <c r="AA177" s="222">
        <v>0</v>
      </c>
      <c r="AB177" s="222">
        <v>0</v>
      </c>
      <c r="AC177" s="222">
        <v>1</v>
      </c>
      <c r="AD177" s="221">
        <f>2457800*AC177/I177</f>
        <v>291.38114997036161</v>
      </c>
      <c r="AE177" s="222">
        <v>0</v>
      </c>
      <c r="AF177" s="221">
        <v>0</v>
      </c>
      <c r="AG177" s="222">
        <v>0</v>
      </c>
      <c r="AH177" s="221">
        <v>0</v>
      </c>
      <c r="AI177" s="222">
        <v>0</v>
      </c>
      <c r="AJ177" s="221">
        <v>0</v>
      </c>
      <c r="AK177" s="222">
        <v>0</v>
      </c>
      <c r="AL177" s="222">
        <v>0</v>
      </c>
      <c r="AM177" s="222">
        <v>0</v>
      </c>
      <c r="AN177" s="222"/>
      <c r="AO177" s="222">
        <v>0</v>
      </c>
    </row>
    <row r="178" spans="1:41" s="223" customFormat="1" ht="36" customHeight="1" x14ac:dyDescent="0.25">
      <c r="A178" s="223">
        <v>1</v>
      </c>
      <c r="B178" s="225">
        <f>SUBTOTAL(103,$A$16:A178)</f>
        <v>161</v>
      </c>
      <c r="C178" s="215" t="s">
        <v>1277</v>
      </c>
      <c r="D178" s="217">
        <v>1968</v>
      </c>
      <c r="E178" s="217"/>
      <c r="F178" s="226" t="s">
        <v>267</v>
      </c>
      <c r="G178" s="217">
        <v>5</v>
      </c>
      <c r="H178" s="217" t="s">
        <v>308</v>
      </c>
      <c r="I178" s="190">
        <v>3582.37</v>
      </c>
      <c r="J178" s="190">
        <v>3313</v>
      </c>
      <c r="K178" s="190">
        <v>3252.7</v>
      </c>
      <c r="L178" s="219">
        <v>144</v>
      </c>
      <c r="M178" s="217" t="s">
        <v>265</v>
      </c>
      <c r="N178" s="217" t="s">
        <v>269</v>
      </c>
      <c r="O178" s="220" t="s">
        <v>327</v>
      </c>
      <c r="P178" s="190">
        <v>2331324.81</v>
      </c>
      <c r="Q178" s="190">
        <v>0</v>
      </c>
      <c r="R178" s="190">
        <v>0</v>
      </c>
      <c r="S178" s="190">
        <f t="shared" si="17"/>
        <v>2331324.81</v>
      </c>
      <c r="T178" s="190">
        <f t="shared" si="15"/>
        <v>650.777225691372</v>
      </c>
      <c r="U178" s="190">
        <v>3626.97</v>
      </c>
      <c r="V178" s="221">
        <f t="shared" si="16"/>
        <v>2976.192774308628</v>
      </c>
      <c r="W178" s="221">
        <f t="shared" si="18"/>
        <v>686.08211882078069</v>
      </c>
      <c r="X178" s="221">
        <v>0</v>
      </c>
      <c r="Y178" s="222">
        <v>0</v>
      </c>
      <c r="Z178" s="222">
        <v>0</v>
      </c>
      <c r="AA178" s="222">
        <v>0</v>
      </c>
      <c r="AB178" s="222">
        <v>0</v>
      </c>
      <c r="AC178" s="222">
        <v>1</v>
      </c>
      <c r="AD178" s="221">
        <f>2457800*AC178/I178</f>
        <v>686.08211882078069</v>
      </c>
      <c r="AE178" s="222">
        <v>0</v>
      </c>
      <c r="AF178" s="221">
        <v>0</v>
      </c>
      <c r="AG178" s="222">
        <v>0</v>
      </c>
      <c r="AH178" s="221">
        <v>0</v>
      </c>
      <c r="AI178" s="222">
        <v>0</v>
      </c>
      <c r="AJ178" s="221">
        <v>0</v>
      </c>
      <c r="AK178" s="222">
        <v>0</v>
      </c>
      <c r="AL178" s="222">
        <v>0</v>
      </c>
      <c r="AM178" s="222">
        <v>0</v>
      </c>
      <c r="AN178" s="222"/>
      <c r="AO178" s="222">
        <v>0</v>
      </c>
    </row>
    <row r="179" spans="1:41" s="223" customFormat="1" ht="36" customHeight="1" x14ac:dyDescent="0.25">
      <c r="A179" s="223">
        <v>1</v>
      </c>
      <c r="B179" s="225">
        <f>SUBTOTAL(103,$A$16:A179)</f>
        <v>162</v>
      </c>
      <c r="C179" s="215" t="s">
        <v>1290</v>
      </c>
      <c r="D179" s="217">
        <v>1958</v>
      </c>
      <c r="E179" s="217"/>
      <c r="F179" s="226" t="s">
        <v>267</v>
      </c>
      <c r="G179" s="217">
        <v>4</v>
      </c>
      <c r="H179" s="217" t="s">
        <v>308</v>
      </c>
      <c r="I179" s="190">
        <v>5856.4</v>
      </c>
      <c r="J179" s="190">
        <v>3235.1</v>
      </c>
      <c r="K179" s="190">
        <v>2625</v>
      </c>
      <c r="L179" s="219">
        <v>86</v>
      </c>
      <c r="M179" s="217" t="s">
        <v>265</v>
      </c>
      <c r="N179" s="217" t="s">
        <v>269</v>
      </c>
      <c r="O179" s="220" t="s">
        <v>1352</v>
      </c>
      <c r="P179" s="190">
        <v>131828.92000000001</v>
      </c>
      <c r="Q179" s="190">
        <v>0</v>
      </c>
      <c r="R179" s="190">
        <v>0</v>
      </c>
      <c r="S179" s="190">
        <f t="shared" si="17"/>
        <v>131828.92000000001</v>
      </c>
      <c r="T179" s="190">
        <f t="shared" si="15"/>
        <v>22.510231541561371</v>
      </c>
      <c r="U179" s="190">
        <v>22.510231541561371</v>
      </c>
      <c r="V179" s="221">
        <f t="shared" si="16"/>
        <v>0</v>
      </c>
      <c r="W179" s="221">
        <f t="shared" si="18"/>
        <v>1678.7104705962709</v>
      </c>
      <c r="X179" s="221">
        <v>0</v>
      </c>
      <c r="Y179" s="222">
        <v>0</v>
      </c>
      <c r="Z179" s="222">
        <v>0</v>
      </c>
      <c r="AA179" s="222">
        <v>0</v>
      </c>
      <c r="AB179" s="222">
        <v>0</v>
      </c>
      <c r="AC179" s="222">
        <v>4</v>
      </c>
      <c r="AD179" s="221">
        <f>2457800*AC179/I179</f>
        <v>1678.7104705962709</v>
      </c>
      <c r="AE179" s="222">
        <v>0</v>
      </c>
      <c r="AF179" s="221">
        <v>0</v>
      </c>
      <c r="AG179" s="222">
        <v>0</v>
      </c>
      <c r="AH179" s="221">
        <v>0</v>
      </c>
      <c r="AI179" s="222">
        <v>0</v>
      </c>
      <c r="AJ179" s="221">
        <v>0</v>
      </c>
      <c r="AK179" s="222">
        <v>0</v>
      </c>
      <c r="AL179" s="222">
        <v>0</v>
      </c>
      <c r="AM179" s="222">
        <v>0</v>
      </c>
      <c r="AN179" s="222"/>
      <c r="AO179" s="222">
        <v>0</v>
      </c>
    </row>
    <row r="180" spans="1:41" s="223" customFormat="1" ht="36" customHeight="1" x14ac:dyDescent="0.25">
      <c r="A180" s="223">
        <v>1</v>
      </c>
      <c r="B180" s="225">
        <f>SUBTOTAL(103,$A$16:A180)</f>
        <v>163</v>
      </c>
      <c r="C180" s="215" t="s">
        <v>1291</v>
      </c>
      <c r="D180" s="217">
        <v>1968</v>
      </c>
      <c r="E180" s="217"/>
      <c r="F180" s="226" t="s">
        <v>267</v>
      </c>
      <c r="G180" s="217">
        <v>2</v>
      </c>
      <c r="H180" s="217" t="s">
        <v>303</v>
      </c>
      <c r="I180" s="190">
        <v>610.4</v>
      </c>
      <c r="J180" s="190">
        <v>567</v>
      </c>
      <c r="K180" s="190">
        <v>489.2</v>
      </c>
      <c r="L180" s="219">
        <v>29</v>
      </c>
      <c r="M180" s="217" t="s">
        <v>265</v>
      </c>
      <c r="N180" s="217" t="s">
        <v>269</v>
      </c>
      <c r="O180" s="220" t="s">
        <v>1352</v>
      </c>
      <c r="P180" s="190">
        <v>2376594.88</v>
      </c>
      <c r="Q180" s="190">
        <v>0</v>
      </c>
      <c r="R180" s="190">
        <v>0</v>
      </c>
      <c r="S180" s="190">
        <f t="shared" si="17"/>
        <v>2376594.88</v>
      </c>
      <c r="T180" s="190">
        <f t="shared" si="15"/>
        <v>3893.5040629095674</v>
      </c>
      <c r="U180" s="190">
        <v>5106.796035386632</v>
      </c>
      <c r="V180" s="221">
        <f t="shared" si="16"/>
        <v>1213.2919724770645</v>
      </c>
      <c r="W180" s="221">
        <f t="shared" si="18"/>
        <v>3259.66</v>
      </c>
      <c r="X180" s="221">
        <v>0</v>
      </c>
      <c r="Y180" s="222">
        <v>0</v>
      </c>
      <c r="Z180" s="222">
        <v>3259.66</v>
      </c>
      <c r="AA180" s="222">
        <v>0</v>
      </c>
      <c r="AB180" s="222">
        <v>0</v>
      </c>
      <c r="AC180" s="222">
        <v>0</v>
      </c>
      <c r="AD180" s="222">
        <v>0</v>
      </c>
      <c r="AE180" s="222">
        <v>0</v>
      </c>
      <c r="AF180" s="221">
        <v>0</v>
      </c>
      <c r="AG180" s="222">
        <v>0</v>
      </c>
      <c r="AH180" s="221">
        <v>0</v>
      </c>
      <c r="AI180" s="222">
        <v>0</v>
      </c>
      <c r="AJ180" s="221">
        <v>0</v>
      </c>
      <c r="AK180" s="222">
        <v>0</v>
      </c>
      <c r="AL180" s="222">
        <v>0</v>
      </c>
      <c r="AM180" s="222">
        <v>0</v>
      </c>
      <c r="AN180" s="222"/>
      <c r="AO180" s="222">
        <v>0</v>
      </c>
    </row>
    <row r="181" spans="1:41" s="223" customFormat="1" ht="36" customHeight="1" x14ac:dyDescent="0.25">
      <c r="A181" s="223">
        <v>1</v>
      </c>
      <c r="B181" s="225">
        <f>SUBTOTAL(103,$A$16:A181)</f>
        <v>164</v>
      </c>
      <c r="C181" s="215" t="s">
        <v>1292</v>
      </c>
      <c r="D181" s="217">
        <v>1958</v>
      </c>
      <c r="E181" s="217"/>
      <c r="F181" s="226" t="s">
        <v>267</v>
      </c>
      <c r="G181" s="217">
        <v>2</v>
      </c>
      <c r="H181" s="217" t="s">
        <v>303</v>
      </c>
      <c r="I181" s="190">
        <v>822.2</v>
      </c>
      <c r="J181" s="190">
        <v>822.2</v>
      </c>
      <c r="K181" s="190">
        <v>822.2</v>
      </c>
      <c r="L181" s="219">
        <v>22</v>
      </c>
      <c r="M181" s="217" t="s">
        <v>265</v>
      </c>
      <c r="N181" s="217" t="s">
        <v>269</v>
      </c>
      <c r="O181" s="220" t="s">
        <v>1352</v>
      </c>
      <c r="P181" s="190">
        <v>3042838.07</v>
      </c>
      <c r="Q181" s="190">
        <v>0</v>
      </c>
      <c r="R181" s="190">
        <v>0</v>
      </c>
      <c r="S181" s="190">
        <f t="shared" si="17"/>
        <v>3042838.07</v>
      </c>
      <c r="T181" s="190">
        <f t="shared" si="15"/>
        <v>3700.8490270007292</v>
      </c>
      <c r="U181" s="190">
        <v>5177.9826562880071</v>
      </c>
      <c r="V181" s="221">
        <f t="shared" si="16"/>
        <v>1477.1336292872779</v>
      </c>
      <c r="W181" s="221">
        <f>T181</f>
        <v>3700.8490270007292</v>
      </c>
      <c r="X181" s="221">
        <v>0</v>
      </c>
      <c r="Y181" s="222">
        <v>0</v>
      </c>
      <c r="Z181" s="222">
        <v>0</v>
      </c>
      <c r="AA181" s="222">
        <v>0</v>
      </c>
      <c r="AB181" s="222">
        <v>0</v>
      </c>
      <c r="AC181" s="222">
        <v>0</v>
      </c>
      <c r="AD181" s="222">
        <v>0</v>
      </c>
      <c r="AE181" s="222">
        <v>0</v>
      </c>
      <c r="AF181" s="221">
        <v>0</v>
      </c>
      <c r="AG181" s="222">
        <v>0</v>
      </c>
      <c r="AH181" s="221">
        <v>0</v>
      </c>
      <c r="AI181" s="222">
        <v>0</v>
      </c>
      <c r="AJ181" s="221">
        <v>0</v>
      </c>
      <c r="AK181" s="222">
        <v>0</v>
      </c>
      <c r="AL181" s="222">
        <v>0</v>
      </c>
      <c r="AM181" s="222">
        <v>0</v>
      </c>
      <c r="AN181" s="222"/>
      <c r="AO181" s="222">
        <v>0</v>
      </c>
    </row>
    <row r="182" spans="1:41" s="223" customFormat="1" ht="36" customHeight="1" x14ac:dyDescent="0.25">
      <c r="A182" s="223">
        <v>1</v>
      </c>
      <c r="B182" s="225">
        <f>SUBTOTAL(103,$A$16:A182)</f>
        <v>165</v>
      </c>
      <c r="C182" s="215" t="s">
        <v>1293</v>
      </c>
      <c r="D182" s="217">
        <v>1959</v>
      </c>
      <c r="E182" s="217"/>
      <c r="F182" s="226" t="s">
        <v>267</v>
      </c>
      <c r="G182" s="217">
        <v>2</v>
      </c>
      <c r="H182" s="217" t="s">
        <v>304</v>
      </c>
      <c r="I182" s="190">
        <v>310.3</v>
      </c>
      <c r="J182" s="190">
        <v>310.3</v>
      </c>
      <c r="K182" s="190">
        <v>310.3</v>
      </c>
      <c r="L182" s="219">
        <v>10</v>
      </c>
      <c r="M182" s="217" t="s">
        <v>265</v>
      </c>
      <c r="N182" s="217" t="s">
        <v>269</v>
      </c>
      <c r="O182" s="220" t="s">
        <v>1352</v>
      </c>
      <c r="P182" s="190">
        <v>1139819.0599999998</v>
      </c>
      <c r="Q182" s="190">
        <v>0</v>
      </c>
      <c r="R182" s="190">
        <v>0</v>
      </c>
      <c r="S182" s="190">
        <f t="shared" si="17"/>
        <v>1139819.0599999998</v>
      </c>
      <c r="T182" s="190">
        <f t="shared" si="15"/>
        <v>3673.2808894618106</v>
      </c>
      <c r="U182" s="190">
        <v>5447.7607218820494</v>
      </c>
      <c r="V182" s="221">
        <f t="shared" si="16"/>
        <v>1774.4798324202388</v>
      </c>
      <c r="W182" s="221">
        <f t="shared" si="18"/>
        <v>11862.574605220754</v>
      </c>
      <c r="X182" s="221">
        <v>0</v>
      </c>
      <c r="Y182" s="222">
        <v>0</v>
      </c>
      <c r="Z182" s="222">
        <v>0</v>
      </c>
      <c r="AA182" s="222">
        <v>0</v>
      </c>
      <c r="AB182" s="222">
        <v>0</v>
      </c>
      <c r="AC182" s="222">
        <v>0</v>
      </c>
      <c r="AD182" s="222">
        <v>0</v>
      </c>
      <c r="AE182" s="222">
        <v>590</v>
      </c>
      <c r="AF182" s="221">
        <f t="shared" ref="AF182:AF190" si="19">6238.91*AE182/I182</f>
        <v>11862.574605220754</v>
      </c>
      <c r="AG182" s="222">
        <v>0</v>
      </c>
      <c r="AH182" s="221">
        <v>0</v>
      </c>
      <c r="AI182" s="222">
        <v>0</v>
      </c>
      <c r="AJ182" s="221">
        <v>0</v>
      </c>
      <c r="AK182" s="222">
        <v>0</v>
      </c>
      <c r="AL182" s="222">
        <v>0</v>
      </c>
      <c r="AM182" s="222">
        <v>0</v>
      </c>
      <c r="AN182" s="222"/>
      <c r="AO182" s="222">
        <v>0</v>
      </c>
    </row>
    <row r="183" spans="1:41" s="223" customFormat="1" ht="36" customHeight="1" x14ac:dyDescent="0.25">
      <c r="A183" s="223">
        <v>1</v>
      </c>
      <c r="B183" s="225">
        <f>SUBTOTAL(103,$A$16:A183)</f>
        <v>166</v>
      </c>
      <c r="C183" s="215" t="s">
        <v>1294</v>
      </c>
      <c r="D183" s="217">
        <v>1959</v>
      </c>
      <c r="E183" s="217"/>
      <c r="F183" s="226" t="s">
        <v>267</v>
      </c>
      <c r="G183" s="217">
        <v>2</v>
      </c>
      <c r="H183" s="217" t="s">
        <v>304</v>
      </c>
      <c r="I183" s="190">
        <v>287</v>
      </c>
      <c r="J183" s="190">
        <v>287</v>
      </c>
      <c r="K183" s="190">
        <v>287</v>
      </c>
      <c r="L183" s="219">
        <v>18</v>
      </c>
      <c r="M183" s="217" t="s">
        <v>265</v>
      </c>
      <c r="N183" s="217" t="s">
        <v>266</v>
      </c>
      <c r="O183" s="220" t="s">
        <v>268</v>
      </c>
      <c r="P183" s="190">
        <v>1396947.25</v>
      </c>
      <c r="Q183" s="190">
        <v>0</v>
      </c>
      <c r="R183" s="190">
        <v>0</v>
      </c>
      <c r="S183" s="190">
        <f t="shared" si="17"/>
        <v>1396947.25</v>
      </c>
      <c r="T183" s="190">
        <f t="shared" si="15"/>
        <v>4867.4120209059238</v>
      </c>
      <c r="U183" s="190">
        <v>5784.370278745645</v>
      </c>
      <c r="V183" s="221">
        <f t="shared" si="16"/>
        <v>916.95825783972123</v>
      </c>
      <c r="W183" s="221">
        <f t="shared" si="18"/>
        <v>14456.010975609755</v>
      </c>
      <c r="X183" s="221">
        <v>0</v>
      </c>
      <c r="Y183" s="222">
        <v>0</v>
      </c>
      <c r="Z183" s="222">
        <v>0</v>
      </c>
      <c r="AA183" s="222">
        <v>0</v>
      </c>
      <c r="AB183" s="222">
        <v>0</v>
      </c>
      <c r="AC183" s="222">
        <v>0</v>
      </c>
      <c r="AD183" s="222">
        <v>0</v>
      </c>
      <c r="AE183" s="222">
        <v>665</v>
      </c>
      <c r="AF183" s="221">
        <f t="shared" si="19"/>
        <v>14456.010975609755</v>
      </c>
      <c r="AG183" s="222">
        <v>0</v>
      </c>
      <c r="AH183" s="221">
        <v>0</v>
      </c>
      <c r="AI183" s="222">
        <v>0</v>
      </c>
      <c r="AJ183" s="221">
        <v>0</v>
      </c>
      <c r="AK183" s="222">
        <v>0</v>
      </c>
      <c r="AL183" s="222">
        <v>0</v>
      </c>
      <c r="AM183" s="222">
        <v>0</v>
      </c>
      <c r="AN183" s="222"/>
      <c r="AO183" s="222">
        <v>0</v>
      </c>
    </row>
    <row r="184" spans="1:41" s="223" customFormat="1" ht="36" customHeight="1" x14ac:dyDescent="0.25">
      <c r="A184" s="223">
        <v>1</v>
      </c>
      <c r="B184" s="225">
        <f>SUBTOTAL(103,$A$16:A184)</f>
        <v>167</v>
      </c>
      <c r="C184" s="215" t="s">
        <v>1546</v>
      </c>
      <c r="D184" s="217">
        <v>1952</v>
      </c>
      <c r="E184" s="217"/>
      <c r="F184" s="226" t="s">
        <v>1341</v>
      </c>
      <c r="G184" s="217">
        <v>2</v>
      </c>
      <c r="H184" s="217" t="s">
        <v>303</v>
      </c>
      <c r="I184" s="190">
        <v>644.12</v>
      </c>
      <c r="J184" s="190">
        <v>644.12</v>
      </c>
      <c r="K184" s="190">
        <v>644.12</v>
      </c>
      <c r="L184" s="219">
        <v>31</v>
      </c>
      <c r="M184" s="217" t="s">
        <v>265</v>
      </c>
      <c r="N184" s="217" t="s">
        <v>269</v>
      </c>
      <c r="O184" s="220" t="s">
        <v>1572</v>
      </c>
      <c r="P184" s="190">
        <v>2343822.52</v>
      </c>
      <c r="Q184" s="190">
        <v>0</v>
      </c>
      <c r="R184" s="190">
        <v>0</v>
      </c>
      <c r="S184" s="190">
        <f t="shared" si="17"/>
        <v>2343822.52</v>
      </c>
      <c r="T184" s="190">
        <f t="shared" si="15"/>
        <v>3638.7979258523255</v>
      </c>
      <c r="U184" s="190">
        <v>8001.7673725392779</v>
      </c>
      <c r="V184" s="221">
        <f t="shared" si="16"/>
        <v>4362.9694466869523</v>
      </c>
      <c r="W184" s="221">
        <f t="shared" si="18"/>
        <v>2382.7421287958764</v>
      </c>
      <c r="X184" s="221">
        <v>0</v>
      </c>
      <c r="Y184" s="222">
        <v>0</v>
      </c>
      <c r="Z184" s="222">
        <v>0</v>
      </c>
      <c r="AA184" s="222">
        <v>0</v>
      </c>
      <c r="AB184" s="222">
        <v>0</v>
      </c>
      <c r="AC184" s="222">
        <v>0</v>
      </c>
      <c r="AD184" s="222">
        <v>0</v>
      </c>
      <c r="AE184" s="222">
        <v>246</v>
      </c>
      <c r="AF184" s="221">
        <f t="shared" si="19"/>
        <v>2382.7421287958764</v>
      </c>
      <c r="AG184" s="222">
        <v>0</v>
      </c>
      <c r="AH184" s="221">
        <v>0</v>
      </c>
      <c r="AI184" s="222">
        <v>0</v>
      </c>
      <c r="AJ184" s="221">
        <v>0</v>
      </c>
      <c r="AK184" s="222">
        <v>0</v>
      </c>
      <c r="AL184" s="222">
        <v>0</v>
      </c>
      <c r="AM184" s="222">
        <v>0</v>
      </c>
      <c r="AN184" s="222"/>
      <c r="AO184" s="222">
        <v>0</v>
      </c>
    </row>
    <row r="185" spans="1:41" s="223" customFormat="1" ht="36" customHeight="1" x14ac:dyDescent="0.25">
      <c r="A185" s="223">
        <v>1</v>
      </c>
      <c r="B185" s="225">
        <f>SUBTOTAL(103,$A$16:A185)</f>
        <v>168</v>
      </c>
      <c r="C185" s="215" t="s">
        <v>1558</v>
      </c>
      <c r="D185" s="217">
        <v>1968</v>
      </c>
      <c r="E185" s="217"/>
      <c r="F185" s="226" t="s">
        <v>311</v>
      </c>
      <c r="G185" s="217">
        <v>2</v>
      </c>
      <c r="H185" s="217" t="s">
        <v>303</v>
      </c>
      <c r="I185" s="190">
        <v>632.6</v>
      </c>
      <c r="J185" s="190">
        <v>632.6</v>
      </c>
      <c r="K185" s="190">
        <v>632.6</v>
      </c>
      <c r="L185" s="219">
        <v>23</v>
      </c>
      <c r="M185" s="217" t="s">
        <v>265</v>
      </c>
      <c r="N185" s="217" t="s">
        <v>269</v>
      </c>
      <c r="O185" s="220" t="s">
        <v>327</v>
      </c>
      <c r="P185" s="190">
        <v>2905261.2600000002</v>
      </c>
      <c r="Q185" s="190">
        <v>0</v>
      </c>
      <c r="R185" s="190">
        <v>0</v>
      </c>
      <c r="S185" s="190">
        <f t="shared" si="17"/>
        <v>2905261.2600000002</v>
      </c>
      <c r="T185" s="190">
        <f t="shared" si="15"/>
        <v>4592.572336389504</v>
      </c>
      <c r="U185" s="190">
        <v>5688.8367056591842</v>
      </c>
      <c r="V185" s="221">
        <f t="shared" si="16"/>
        <v>1096.2643692696802</v>
      </c>
      <c r="W185" s="221">
        <f t="shared" si="18"/>
        <v>2495.1695067973442</v>
      </c>
      <c r="X185" s="221">
        <v>0</v>
      </c>
      <c r="Y185" s="222">
        <v>0</v>
      </c>
      <c r="Z185" s="222">
        <v>0</v>
      </c>
      <c r="AA185" s="222">
        <v>0</v>
      </c>
      <c r="AB185" s="222">
        <v>0</v>
      </c>
      <c r="AC185" s="222">
        <v>0</v>
      </c>
      <c r="AD185" s="222">
        <v>0</v>
      </c>
      <c r="AE185" s="222">
        <v>253</v>
      </c>
      <c r="AF185" s="221">
        <f t="shared" si="19"/>
        <v>2495.1695067973442</v>
      </c>
      <c r="AG185" s="222">
        <v>0</v>
      </c>
      <c r="AH185" s="221">
        <v>0</v>
      </c>
      <c r="AI185" s="222">
        <v>0</v>
      </c>
      <c r="AJ185" s="221">
        <v>0</v>
      </c>
      <c r="AK185" s="222">
        <v>0</v>
      </c>
      <c r="AL185" s="222">
        <v>0</v>
      </c>
      <c r="AM185" s="222">
        <v>0</v>
      </c>
      <c r="AN185" s="222"/>
      <c r="AO185" s="222">
        <v>0</v>
      </c>
    </row>
    <row r="186" spans="1:41" s="223" customFormat="1" ht="36" customHeight="1" x14ac:dyDescent="0.25">
      <c r="A186" s="223">
        <v>1</v>
      </c>
      <c r="B186" s="225">
        <f>SUBTOTAL(103,$A$16:A186)</f>
        <v>169</v>
      </c>
      <c r="C186" s="215" t="s">
        <v>1559</v>
      </c>
      <c r="D186" s="217">
        <v>1941</v>
      </c>
      <c r="E186" s="217"/>
      <c r="F186" s="226" t="s">
        <v>267</v>
      </c>
      <c r="G186" s="217">
        <v>2</v>
      </c>
      <c r="H186" s="217" t="s">
        <v>303</v>
      </c>
      <c r="I186" s="190">
        <v>733.92</v>
      </c>
      <c r="J186" s="190">
        <v>662.9</v>
      </c>
      <c r="K186" s="190">
        <v>662.9</v>
      </c>
      <c r="L186" s="219">
        <v>22</v>
      </c>
      <c r="M186" s="217" t="s">
        <v>265</v>
      </c>
      <c r="N186" s="217" t="s">
        <v>266</v>
      </c>
      <c r="O186" s="220" t="s">
        <v>268</v>
      </c>
      <c r="P186" s="190">
        <v>2908972.99</v>
      </c>
      <c r="Q186" s="190">
        <v>0</v>
      </c>
      <c r="R186" s="190">
        <v>0</v>
      </c>
      <c r="S186" s="190">
        <f>P186-R186-Q186</f>
        <v>2908972.99</v>
      </c>
      <c r="T186" s="190">
        <f t="shared" si="15"/>
        <v>3963.6104616306961</v>
      </c>
      <c r="U186" s="190">
        <v>5123.9093116415961</v>
      </c>
      <c r="V186" s="221">
        <f t="shared" si="16"/>
        <v>1160.2988500109</v>
      </c>
      <c r="W186" s="221">
        <f t="shared" si="18"/>
        <v>6732.6366906474823</v>
      </c>
      <c r="X186" s="221">
        <v>0</v>
      </c>
      <c r="Y186" s="222">
        <v>0</v>
      </c>
      <c r="Z186" s="222">
        <v>0</v>
      </c>
      <c r="AA186" s="222">
        <v>0</v>
      </c>
      <c r="AB186" s="222">
        <v>0</v>
      </c>
      <c r="AC186" s="222">
        <v>0</v>
      </c>
      <c r="AD186" s="222">
        <v>0</v>
      </c>
      <c r="AE186" s="222">
        <v>792</v>
      </c>
      <c r="AF186" s="221">
        <f t="shared" si="19"/>
        <v>6732.6366906474823</v>
      </c>
      <c r="AG186" s="222">
        <v>0</v>
      </c>
      <c r="AH186" s="221">
        <v>0</v>
      </c>
      <c r="AI186" s="222">
        <v>0</v>
      </c>
      <c r="AJ186" s="221">
        <v>0</v>
      </c>
      <c r="AK186" s="222">
        <v>0</v>
      </c>
      <c r="AL186" s="222">
        <v>0</v>
      </c>
      <c r="AM186" s="222">
        <v>0</v>
      </c>
      <c r="AN186" s="222"/>
      <c r="AO186" s="222">
        <v>0</v>
      </c>
    </row>
    <row r="187" spans="1:41" s="223" customFormat="1" ht="36" customHeight="1" x14ac:dyDescent="0.25">
      <c r="A187" s="223">
        <v>1</v>
      </c>
      <c r="B187" s="225">
        <f>SUBTOTAL(103,$A$16:A187)</f>
        <v>170</v>
      </c>
      <c r="C187" s="215" t="s">
        <v>1589</v>
      </c>
      <c r="D187" s="217">
        <v>1986</v>
      </c>
      <c r="E187" s="217"/>
      <c r="F187" s="226" t="s">
        <v>318</v>
      </c>
      <c r="G187" s="217">
        <v>5</v>
      </c>
      <c r="H187" s="217" t="s">
        <v>308</v>
      </c>
      <c r="I187" s="190">
        <v>3450.6</v>
      </c>
      <c r="J187" s="190">
        <v>3118.5</v>
      </c>
      <c r="K187" s="190">
        <v>3118.5</v>
      </c>
      <c r="L187" s="219">
        <v>32</v>
      </c>
      <c r="M187" s="217" t="s">
        <v>265</v>
      </c>
      <c r="N187" s="217" t="s">
        <v>269</v>
      </c>
      <c r="O187" s="220" t="s">
        <v>1352</v>
      </c>
      <c r="P187" s="190">
        <v>2039264.59</v>
      </c>
      <c r="Q187" s="190">
        <v>0</v>
      </c>
      <c r="R187" s="190">
        <v>0</v>
      </c>
      <c r="S187" s="190">
        <f>P187-R187-Q187</f>
        <v>2039264.59</v>
      </c>
      <c r="T187" s="190">
        <f t="shared" si="15"/>
        <v>590.98840491508724</v>
      </c>
      <c r="U187" s="190">
        <v>1495.5300370949979</v>
      </c>
      <c r="V187" s="221">
        <f t="shared" si="16"/>
        <v>904.54163217991061</v>
      </c>
      <c r="W187" s="221">
        <f t="shared" si="18"/>
        <v>911.26489306207623</v>
      </c>
      <c r="X187" s="221">
        <v>0</v>
      </c>
      <c r="Y187" s="222">
        <v>0</v>
      </c>
      <c r="Z187" s="222">
        <v>0</v>
      </c>
      <c r="AA187" s="222">
        <v>0</v>
      </c>
      <c r="AB187" s="222">
        <v>0</v>
      </c>
      <c r="AC187" s="222">
        <v>0</v>
      </c>
      <c r="AD187" s="222">
        <v>0</v>
      </c>
      <c r="AE187" s="222">
        <v>504</v>
      </c>
      <c r="AF187" s="221">
        <f t="shared" si="19"/>
        <v>911.26489306207623</v>
      </c>
      <c r="AG187" s="222">
        <v>0</v>
      </c>
      <c r="AH187" s="221">
        <v>0</v>
      </c>
      <c r="AI187" s="222">
        <v>0</v>
      </c>
      <c r="AJ187" s="221">
        <v>0</v>
      </c>
      <c r="AK187" s="222">
        <v>0</v>
      </c>
      <c r="AL187" s="222">
        <v>0</v>
      </c>
      <c r="AM187" s="222">
        <v>0</v>
      </c>
      <c r="AN187" s="222"/>
      <c r="AO187" s="222">
        <v>0</v>
      </c>
    </row>
    <row r="188" spans="1:41" s="223" customFormat="1" ht="36" customHeight="1" x14ac:dyDescent="0.25">
      <c r="A188" s="223">
        <v>1</v>
      </c>
      <c r="B188" s="225">
        <f>SUBTOTAL(103,$A$16:A188)</f>
        <v>171</v>
      </c>
      <c r="C188" s="215" t="s">
        <v>402</v>
      </c>
      <c r="D188" s="217" t="s">
        <v>329</v>
      </c>
      <c r="E188" s="217"/>
      <c r="F188" s="226" t="s">
        <v>267</v>
      </c>
      <c r="G188" s="217">
        <v>9</v>
      </c>
      <c r="H188" s="217" t="s">
        <v>304</v>
      </c>
      <c r="I188" s="190">
        <v>2760.5</v>
      </c>
      <c r="J188" s="190">
        <v>2760.5</v>
      </c>
      <c r="K188" s="190">
        <v>2760.5</v>
      </c>
      <c r="L188" s="219">
        <v>140</v>
      </c>
      <c r="M188" s="217" t="s">
        <v>265</v>
      </c>
      <c r="N188" s="217" t="s">
        <v>269</v>
      </c>
      <c r="O188" s="220" t="s">
        <v>322</v>
      </c>
      <c r="P188" s="190">
        <v>1604039.9000000001</v>
      </c>
      <c r="Q188" s="190">
        <v>0</v>
      </c>
      <c r="R188" s="190">
        <v>0</v>
      </c>
      <c r="S188" s="190">
        <f>P188-R188-Q188</f>
        <v>1604039.9000000001</v>
      </c>
      <c r="T188" s="190">
        <f t="shared" si="15"/>
        <v>581.0686107589205</v>
      </c>
      <c r="U188" s="190">
        <v>890.3459518203224</v>
      </c>
      <c r="V188" s="221">
        <f>U188-T188</f>
        <v>309.2773410614019</v>
      </c>
      <c r="W188" s="221">
        <f>X188+Y188+Z188+AA188+AB188+AD188+AF188+AH188+AJ188+AL188+AN188+AO188</f>
        <v>1139.0728636116646</v>
      </c>
      <c r="X188" s="221">
        <v>0</v>
      </c>
      <c r="Y188" s="222">
        <v>0</v>
      </c>
      <c r="Z188" s="222">
        <v>0</v>
      </c>
      <c r="AA188" s="222">
        <v>0</v>
      </c>
      <c r="AB188" s="222">
        <v>0</v>
      </c>
      <c r="AC188" s="222">
        <v>0</v>
      </c>
      <c r="AD188" s="222">
        <v>0</v>
      </c>
      <c r="AE188" s="222">
        <v>504</v>
      </c>
      <c r="AF188" s="221">
        <f t="shared" si="19"/>
        <v>1139.0728636116646</v>
      </c>
      <c r="AG188" s="222">
        <v>0</v>
      </c>
      <c r="AH188" s="221">
        <v>0</v>
      </c>
      <c r="AI188" s="222">
        <v>0</v>
      </c>
      <c r="AJ188" s="221">
        <v>0</v>
      </c>
      <c r="AK188" s="222">
        <v>0</v>
      </c>
      <c r="AL188" s="222">
        <v>0</v>
      </c>
      <c r="AM188" s="222">
        <v>0</v>
      </c>
      <c r="AN188" s="222"/>
      <c r="AO188" s="222">
        <v>0</v>
      </c>
    </row>
    <row r="189" spans="1:41" s="223" customFormat="1" ht="36" customHeight="1" x14ac:dyDescent="0.25">
      <c r="A189" s="223">
        <v>1</v>
      </c>
      <c r="B189" s="225">
        <f>SUBTOTAL(103,$A$16:A189)</f>
        <v>172</v>
      </c>
      <c r="C189" s="215" t="s">
        <v>438</v>
      </c>
      <c r="D189" s="217">
        <v>1994</v>
      </c>
      <c r="E189" s="217"/>
      <c r="F189" s="226" t="s">
        <v>311</v>
      </c>
      <c r="G189" s="217">
        <v>9</v>
      </c>
      <c r="H189" s="217" t="s">
        <v>303</v>
      </c>
      <c r="I189" s="218">
        <v>4306.3</v>
      </c>
      <c r="J189" s="190">
        <v>3866</v>
      </c>
      <c r="K189" s="190">
        <v>3866</v>
      </c>
      <c r="L189" s="219">
        <v>182</v>
      </c>
      <c r="M189" s="217" t="s">
        <v>265</v>
      </c>
      <c r="N189" s="217" t="s">
        <v>269</v>
      </c>
      <c r="O189" s="220" t="s">
        <v>321</v>
      </c>
      <c r="P189" s="190">
        <v>105635.39</v>
      </c>
      <c r="Q189" s="190">
        <v>0</v>
      </c>
      <c r="R189" s="190">
        <v>0</v>
      </c>
      <c r="S189" s="190">
        <f>P189-R189-Q189</f>
        <v>105635.39</v>
      </c>
      <c r="T189" s="190">
        <f t="shared" si="15"/>
        <v>24.530429835357499</v>
      </c>
      <c r="U189" s="190">
        <v>24.530429835357499</v>
      </c>
      <c r="V189" s="221">
        <f>U189-T189</f>
        <v>0</v>
      </c>
      <c r="W189" s="221">
        <f>X189+Y189+Z189+AA189+AB189+AD189+AF189+AH189+AJ189+AL189+AN189+AO189</f>
        <v>912.73559668392807</v>
      </c>
      <c r="X189" s="221">
        <v>0</v>
      </c>
      <c r="Y189" s="222">
        <v>0</v>
      </c>
      <c r="Z189" s="222">
        <v>0</v>
      </c>
      <c r="AA189" s="222">
        <v>0</v>
      </c>
      <c r="AB189" s="222">
        <v>0</v>
      </c>
      <c r="AC189" s="222">
        <v>0</v>
      </c>
      <c r="AD189" s="222">
        <v>0</v>
      </c>
      <c r="AE189" s="222">
        <v>630</v>
      </c>
      <c r="AF189" s="221">
        <f t="shared" si="19"/>
        <v>912.73559668392807</v>
      </c>
      <c r="AG189" s="222">
        <v>0</v>
      </c>
      <c r="AH189" s="221">
        <v>0</v>
      </c>
      <c r="AI189" s="222">
        <v>0</v>
      </c>
      <c r="AJ189" s="221">
        <v>0</v>
      </c>
      <c r="AK189" s="222">
        <v>0</v>
      </c>
      <c r="AL189" s="222">
        <v>0</v>
      </c>
      <c r="AM189" s="222">
        <v>0</v>
      </c>
      <c r="AN189" s="222"/>
      <c r="AO189" s="222">
        <v>0</v>
      </c>
    </row>
    <row r="190" spans="1:41" s="223" customFormat="1" ht="36" customHeight="1" x14ac:dyDescent="0.25">
      <c r="A190" s="223">
        <v>1</v>
      </c>
      <c r="B190" s="225">
        <f>SUBTOTAL(103,$A$16:A190)</f>
        <v>173</v>
      </c>
      <c r="C190" s="215" t="s">
        <v>406</v>
      </c>
      <c r="D190" s="217">
        <v>1957</v>
      </c>
      <c r="E190" s="217"/>
      <c r="F190" s="226" t="s">
        <v>267</v>
      </c>
      <c r="G190" s="217">
        <v>2</v>
      </c>
      <c r="H190" s="217" t="s">
        <v>303</v>
      </c>
      <c r="I190" s="190">
        <v>706.7</v>
      </c>
      <c r="J190" s="190">
        <v>646.1</v>
      </c>
      <c r="K190" s="190">
        <v>646.1</v>
      </c>
      <c r="L190" s="219">
        <v>18</v>
      </c>
      <c r="M190" s="217" t="s">
        <v>265</v>
      </c>
      <c r="N190" s="217" t="s">
        <v>266</v>
      </c>
      <c r="O190" s="220" t="s">
        <v>268</v>
      </c>
      <c r="P190" s="190">
        <v>81776.960000000006</v>
      </c>
      <c r="Q190" s="190">
        <v>0</v>
      </c>
      <c r="R190" s="190">
        <v>0</v>
      </c>
      <c r="S190" s="190">
        <f>P190-Q190-R190</f>
        <v>81776.960000000006</v>
      </c>
      <c r="T190" s="190">
        <f t="shared" si="15"/>
        <v>115.71665487477006</v>
      </c>
      <c r="U190" s="190">
        <v>115.71665487477006</v>
      </c>
      <c r="V190" s="221">
        <f>U190-T190</f>
        <v>0</v>
      </c>
      <c r="W190" s="221">
        <f>X190+Y190+Z190+AA190+AB190+AD190+AF190+AH190+AJ190+AL190+AN190+AO190</f>
        <v>7000.6096671855103</v>
      </c>
      <c r="X190" s="221">
        <v>0</v>
      </c>
      <c r="Y190" s="222">
        <v>0</v>
      </c>
      <c r="Z190" s="222">
        <v>0</v>
      </c>
      <c r="AA190" s="222">
        <v>0</v>
      </c>
      <c r="AB190" s="222">
        <v>0</v>
      </c>
      <c r="AC190" s="222">
        <v>0</v>
      </c>
      <c r="AD190" s="222">
        <v>0</v>
      </c>
      <c r="AE190" s="222">
        <v>792.98</v>
      </c>
      <c r="AF190" s="221">
        <f t="shared" si="19"/>
        <v>7000.6096671855103</v>
      </c>
      <c r="AG190" s="222">
        <v>0</v>
      </c>
      <c r="AH190" s="221">
        <v>0</v>
      </c>
      <c r="AI190" s="222">
        <v>0</v>
      </c>
      <c r="AJ190" s="221">
        <v>0</v>
      </c>
      <c r="AK190" s="222">
        <v>0</v>
      </c>
      <c r="AL190" s="222">
        <v>0</v>
      </c>
      <c r="AM190" s="222">
        <v>0</v>
      </c>
      <c r="AN190" s="222"/>
      <c r="AO190" s="222">
        <v>0</v>
      </c>
    </row>
    <row r="191" spans="1:41" s="223" customFormat="1" ht="36" customHeight="1" x14ac:dyDescent="0.25">
      <c r="A191" s="223">
        <v>1</v>
      </c>
      <c r="B191" s="225">
        <f>SUBTOTAL(103,$A$16:A191)</f>
        <v>174</v>
      </c>
      <c r="C191" s="215" t="s">
        <v>407</v>
      </c>
      <c r="D191" s="217">
        <v>1960</v>
      </c>
      <c r="E191" s="217"/>
      <c r="F191" s="226" t="s">
        <v>267</v>
      </c>
      <c r="G191" s="217">
        <v>2</v>
      </c>
      <c r="H191" s="217" t="s">
        <v>303</v>
      </c>
      <c r="I191" s="218">
        <v>582.70000000000005</v>
      </c>
      <c r="J191" s="218">
        <v>576.70000000000005</v>
      </c>
      <c r="K191" s="218">
        <v>576.70000000000005</v>
      </c>
      <c r="L191" s="219">
        <v>31</v>
      </c>
      <c r="M191" s="217" t="s">
        <v>265</v>
      </c>
      <c r="N191" s="217" t="s">
        <v>269</v>
      </c>
      <c r="O191" s="220" t="s">
        <v>321</v>
      </c>
      <c r="P191" s="190">
        <v>64771.71</v>
      </c>
      <c r="Q191" s="190">
        <v>0</v>
      </c>
      <c r="R191" s="190">
        <v>0</v>
      </c>
      <c r="S191" s="190">
        <f>P191-Q191-R191</f>
        <v>64771.71</v>
      </c>
      <c r="T191" s="190">
        <f t="shared" si="15"/>
        <v>111.15790286596875</v>
      </c>
      <c r="U191" s="190">
        <v>111.15790286596875</v>
      </c>
      <c r="V191" s="221">
        <f>U191-T191</f>
        <v>0</v>
      </c>
      <c r="W191" s="221">
        <f>X191+Y191+Z191+AA191+AB191+AD191+AF191+AH191+AJ191+AL191+AN191+AO191</f>
        <v>4217.9509181396943</v>
      </c>
      <c r="X191" s="221">
        <v>0</v>
      </c>
      <c r="Y191" s="222">
        <v>0</v>
      </c>
      <c r="Z191" s="222">
        <v>0</v>
      </c>
      <c r="AA191" s="222">
        <v>0</v>
      </c>
      <c r="AB191" s="222">
        <v>0</v>
      </c>
      <c r="AC191" s="222">
        <v>1</v>
      </c>
      <c r="AD191" s="221">
        <f>2457800*AC191/I191</f>
        <v>4217.9509181396943</v>
      </c>
      <c r="AE191" s="222">
        <v>0</v>
      </c>
      <c r="AF191" s="221">
        <v>0</v>
      </c>
      <c r="AG191" s="222">
        <v>0</v>
      </c>
      <c r="AH191" s="221">
        <v>0</v>
      </c>
      <c r="AI191" s="222">
        <v>0</v>
      </c>
      <c r="AJ191" s="221">
        <v>0</v>
      </c>
      <c r="AK191" s="222">
        <v>0</v>
      </c>
      <c r="AL191" s="222">
        <v>0</v>
      </c>
      <c r="AM191" s="222">
        <v>0</v>
      </c>
      <c r="AN191" s="222"/>
      <c r="AO191" s="222">
        <v>0</v>
      </c>
    </row>
    <row r="192" spans="1:41" s="223" customFormat="1" ht="36" customHeight="1" x14ac:dyDescent="0.25">
      <c r="A192" s="223">
        <v>1</v>
      </c>
      <c r="B192" s="225">
        <f>SUBTOTAL(103,$A$16:A192)</f>
        <v>175</v>
      </c>
      <c r="C192" s="215" t="s">
        <v>408</v>
      </c>
      <c r="D192" s="217">
        <v>1960</v>
      </c>
      <c r="E192" s="217"/>
      <c r="F192" s="226" t="s">
        <v>267</v>
      </c>
      <c r="G192" s="217">
        <v>2</v>
      </c>
      <c r="H192" s="217" t="s">
        <v>303</v>
      </c>
      <c r="I192" s="190">
        <v>592.20000000000005</v>
      </c>
      <c r="J192" s="190">
        <v>550.70000000000005</v>
      </c>
      <c r="K192" s="190">
        <v>550.70000000000005</v>
      </c>
      <c r="L192" s="219">
        <v>37</v>
      </c>
      <c r="M192" s="217" t="s">
        <v>265</v>
      </c>
      <c r="N192" s="217" t="s">
        <v>269</v>
      </c>
      <c r="O192" s="220" t="s">
        <v>328</v>
      </c>
      <c r="P192" s="190">
        <v>64458.1</v>
      </c>
      <c r="Q192" s="190">
        <v>0</v>
      </c>
      <c r="R192" s="190">
        <v>0</v>
      </c>
      <c r="S192" s="190">
        <f>P192-R192-Q192</f>
        <v>64458.1</v>
      </c>
      <c r="T192" s="190">
        <f t="shared" si="15"/>
        <v>108.84515366430259</v>
      </c>
      <c r="U192" s="190">
        <v>108.84515366430259</v>
      </c>
      <c r="V192" s="221">
        <f t="shared" si="16"/>
        <v>0</v>
      </c>
      <c r="W192" s="221">
        <f t="shared" si="18"/>
        <v>5309.7106382978718</v>
      </c>
      <c r="X192" s="221">
        <v>0</v>
      </c>
      <c r="Y192" s="222">
        <v>0</v>
      </c>
      <c r="Z192" s="222">
        <v>0</v>
      </c>
      <c r="AA192" s="222">
        <v>0</v>
      </c>
      <c r="AB192" s="222">
        <v>0</v>
      </c>
      <c r="AC192" s="222">
        <v>0</v>
      </c>
      <c r="AD192" s="222">
        <v>0</v>
      </c>
      <c r="AE192" s="222">
        <v>504</v>
      </c>
      <c r="AF192" s="221">
        <f>6238.91*AE192/I192</f>
        <v>5309.7106382978718</v>
      </c>
      <c r="AG192" s="222">
        <v>0</v>
      </c>
      <c r="AH192" s="221">
        <v>0</v>
      </c>
      <c r="AI192" s="222">
        <v>0</v>
      </c>
      <c r="AJ192" s="221">
        <v>0</v>
      </c>
      <c r="AK192" s="222">
        <v>0</v>
      </c>
      <c r="AL192" s="222">
        <v>0</v>
      </c>
      <c r="AM192" s="222">
        <v>0</v>
      </c>
      <c r="AN192" s="222"/>
      <c r="AO192" s="222">
        <v>0</v>
      </c>
    </row>
    <row r="193" spans="1:41" s="223" customFormat="1" ht="36" customHeight="1" x14ac:dyDescent="0.25">
      <c r="A193" s="223">
        <v>1</v>
      </c>
      <c r="B193" s="225">
        <f>SUBTOTAL(103,$A$16:A193)</f>
        <v>176</v>
      </c>
      <c r="C193" s="215" t="s">
        <v>413</v>
      </c>
      <c r="D193" s="217">
        <v>1958</v>
      </c>
      <c r="E193" s="217"/>
      <c r="F193" s="226" t="s">
        <v>267</v>
      </c>
      <c r="G193" s="217">
        <v>2</v>
      </c>
      <c r="H193" s="217" t="s">
        <v>303</v>
      </c>
      <c r="I193" s="218">
        <v>653.29999999999995</v>
      </c>
      <c r="J193" s="190">
        <v>605.6</v>
      </c>
      <c r="K193" s="190">
        <v>605.6</v>
      </c>
      <c r="L193" s="219">
        <v>30</v>
      </c>
      <c r="M193" s="217" t="s">
        <v>265</v>
      </c>
      <c r="N193" s="217" t="s">
        <v>269</v>
      </c>
      <c r="O193" s="220" t="s">
        <v>325</v>
      </c>
      <c r="P193" s="190">
        <v>68984.12</v>
      </c>
      <c r="Q193" s="190">
        <v>0</v>
      </c>
      <c r="R193" s="190">
        <v>0</v>
      </c>
      <c r="S193" s="190">
        <f>P193-R193-Q193</f>
        <v>68984.12</v>
      </c>
      <c r="T193" s="190">
        <f t="shared" si="15"/>
        <v>105.59332619011174</v>
      </c>
      <c r="U193" s="190">
        <v>105.59332619011174</v>
      </c>
      <c r="V193" s="221">
        <f t="shared" si="16"/>
        <v>0</v>
      </c>
      <c r="W193" s="221">
        <f t="shared" si="18"/>
        <v>6016.3987448339203</v>
      </c>
      <c r="X193" s="221">
        <v>0</v>
      </c>
      <c r="Y193" s="222">
        <v>0</v>
      </c>
      <c r="Z193" s="222">
        <v>0</v>
      </c>
      <c r="AA193" s="222">
        <v>0</v>
      </c>
      <c r="AB193" s="222">
        <v>0</v>
      </c>
      <c r="AC193" s="222">
        <v>0</v>
      </c>
      <c r="AD193" s="222">
        <v>0</v>
      </c>
      <c r="AE193" s="222">
        <v>630</v>
      </c>
      <c r="AF193" s="221">
        <f>6238.91*AE193/I193</f>
        <v>6016.3987448339203</v>
      </c>
      <c r="AG193" s="222">
        <v>0</v>
      </c>
      <c r="AH193" s="221">
        <v>0</v>
      </c>
      <c r="AI193" s="222">
        <v>0</v>
      </c>
      <c r="AJ193" s="221">
        <v>0</v>
      </c>
      <c r="AK193" s="222">
        <v>0</v>
      </c>
      <c r="AL193" s="222">
        <v>0</v>
      </c>
      <c r="AM193" s="222">
        <v>0</v>
      </c>
      <c r="AN193" s="222"/>
      <c r="AO193" s="222">
        <v>0</v>
      </c>
    </row>
    <row r="194" spans="1:41" s="223" customFormat="1" ht="36" customHeight="1" x14ac:dyDescent="0.25">
      <c r="A194" s="223">
        <v>1</v>
      </c>
      <c r="B194" s="225">
        <f>SUBTOTAL(103,$A$16:A194)</f>
        <v>177</v>
      </c>
      <c r="C194" s="215" t="s">
        <v>414</v>
      </c>
      <c r="D194" s="217">
        <v>1961</v>
      </c>
      <c r="E194" s="217"/>
      <c r="F194" s="226" t="s">
        <v>267</v>
      </c>
      <c r="G194" s="217">
        <v>2</v>
      </c>
      <c r="H194" s="217" t="s">
        <v>304</v>
      </c>
      <c r="I194" s="190">
        <v>291.64999999999998</v>
      </c>
      <c r="J194" s="190">
        <v>275.13</v>
      </c>
      <c r="K194" s="190">
        <v>275.13</v>
      </c>
      <c r="L194" s="219">
        <v>17</v>
      </c>
      <c r="M194" s="217" t="s">
        <v>265</v>
      </c>
      <c r="N194" s="217" t="s">
        <v>266</v>
      </c>
      <c r="O194" s="220" t="s">
        <v>268</v>
      </c>
      <c r="P194" s="190">
        <v>49086.239999999998</v>
      </c>
      <c r="Q194" s="190">
        <v>0</v>
      </c>
      <c r="R194" s="190">
        <v>0</v>
      </c>
      <c r="S194" s="190">
        <f>P194-Q194-R194</f>
        <v>49086.239999999998</v>
      </c>
      <c r="T194" s="190">
        <f t="shared" si="15"/>
        <v>168.30529744556833</v>
      </c>
      <c r="U194" s="190">
        <v>168.30529744556833</v>
      </c>
      <c r="V194" s="221">
        <f t="shared" si="16"/>
        <v>0</v>
      </c>
      <c r="W194" s="221">
        <f t="shared" si="18"/>
        <v>16963.246534544833</v>
      </c>
      <c r="X194" s="221">
        <v>0</v>
      </c>
      <c r="Y194" s="222">
        <v>0</v>
      </c>
      <c r="Z194" s="222">
        <v>0</v>
      </c>
      <c r="AA194" s="222">
        <v>0</v>
      </c>
      <c r="AB194" s="222">
        <v>0</v>
      </c>
      <c r="AC194" s="222">
        <v>0</v>
      </c>
      <c r="AD194" s="222">
        <v>0</v>
      </c>
      <c r="AE194" s="222">
        <v>792.98</v>
      </c>
      <c r="AF194" s="221">
        <f>6238.91*AE194/I194</f>
        <v>16963.246534544833</v>
      </c>
      <c r="AG194" s="222">
        <v>0</v>
      </c>
      <c r="AH194" s="221">
        <v>0</v>
      </c>
      <c r="AI194" s="222">
        <v>0</v>
      </c>
      <c r="AJ194" s="221">
        <v>0</v>
      </c>
      <c r="AK194" s="222">
        <v>0</v>
      </c>
      <c r="AL194" s="222">
        <v>0</v>
      </c>
      <c r="AM194" s="222">
        <v>0</v>
      </c>
      <c r="AN194" s="222"/>
      <c r="AO194" s="222">
        <v>0</v>
      </c>
    </row>
    <row r="195" spans="1:41" s="223" customFormat="1" ht="36" customHeight="1" x14ac:dyDescent="0.25">
      <c r="A195" s="223">
        <v>1</v>
      </c>
      <c r="B195" s="225">
        <f>SUBTOTAL(103,$A$16:A195)</f>
        <v>178</v>
      </c>
      <c r="C195" s="215" t="s">
        <v>422</v>
      </c>
      <c r="D195" s="217">
        <v>1962</v>
      </c>
      <c r="E195" s="217"/>
      <c r="F195" s="226" t="s">
        <v>324</v>
      </c>
      <c r="G195" s="217">
        <v>2</v>
      </c>
      <c r="H195" s="217" t="s">
        <v>303</v>
      </c>
      <c r="I195" s="218">
        <v>590.99</v>
      </c>
      <c r="J195" s="218">
        <v>550.29</v>
      </c>
      <c r="K195" s="218">
        <v>550.29</v>
      </c>
      <c r="L195" s="219">
        <v>18</v>
      </c>
      <c r="M195" s="217" t="s">
        <v>265</v>
      </c>
      <c r="N195" s="217" t="s">
        <v>269</v>
      </c>
      <c r="O195" s="220" t="s">
        <v>328</v>
      </c>
      <c r="P195" s="190">
        <v>66103.89</v>
      </c>
      <c r="Q195" s="190">
        <v>0</v>
      </c>
      <c r="R195" s="190">
        <v>0</v>
      </c>
      <c r="S195" s="190">
        <f>P195-Q195-R195</f>
        <v>66103.89</v>
      </c>
      <c r="T195" s="190">
        <f t="shared" si="15"/>
        <v>111.85280630805936</v>
      </c>
      <c r="U195" s="190">
        <v>111.85280630805936</v>
      </c>
      <c r="V195" s="221">
        <f>U195-T195</f>
        <v>0</v>
      </c>
      <c r="W195" s="221">
        <f>X195+Y195+Z195+AA195+AB195+AD195+AF195+AH195+AJ195+AL195+AN195+AO195</f>
        <v>4158.7844125958136</v>
      </c>
      <c r="X195" s="221">
        <v>0</v>
      </c>
      <c r="Y195" s="222">
        <v>0</v>
      </c>
      <c r="Z195" s="222">
        <v>0</v>
      </c>
      <c r="AA195" s="222">
        <v>0</v>
      </c>
      <c r="AB195" s="222">
        <v>0</v>
      </c>
      <c r="AC195" s="222">
        <v>1</v>
      </c>
      <c r="AD195" s="221">
        <f>2457800*AC195/I195</f>
        <v>4158.7844125958136</v>
      </c>
      <c r="AE195" s="222">
        <v>0</v>
      </c>
      <c r="AF195" s="221">
        <v>0</v>
      </c>
      <c r="AG195" s="222">
        <v>0</v>
      </c>
      <c r="AH195" s="221">
        <v>0</v>
      </c>
      <c r="AI195" s="222">
        <v>0</v>
      </c>
      <c r="AJ195" s="221">
        <v>0</v>
      </c>
      <c r="AK195" s="222">
        <v>0</v>
      </c>
      <c r="AL195" s="222">
        <v>0</v>
      </c>
      <c r="AM195" s="222">
        <v>0</v>
      </c>
      <c r="AN195" s="222"/>
      <c r="AO195" s="222">
        <v>0</v>
      </c>
    </row>
    <row r="196" spans="1:41" s="223" customFormat="1" ht="36" customHeight="1" x14ac:dyDescent="0.25">
      <c r="B196" s="215" t="s">
        <v>760</v>
      </c>
      <c r="C196" s="227"/>
      <c r="D196" s="217" t="s">
        <v>890</v>
      </c>
      <c r="E196" s="217" t="s">
        <v>890</v>
      </c>
      <c r="F196" s="217" t="s">
        <v>890</v>
      </c>
      <c r="G196" s="217" t="s">
        <v>890</v>
      </c>
      <c r="H196" s="217" t="s">
        <v>890</v>
      </c>
      <c r="I196" s="218">
        <f>SUM(I197:I232)</f>
        <v>218132.8</v>
      </c>
      <c r="J196" s="218">
        <f>SUM(J197:J232)</f>
        <v>185137.02000000002</v>
      </c>
      <c r="K196" s="218">
        <f>SUM(K197:K232)</f>
        <v>177475.53000000003</v>
      </c>
      <c r="L196" s="219">
        <f>SUM(L197:L232)</f>
        <v>7911</v>
      </c>
      <c r="M196" s="217" t="s">
        <v>890</v>
      </c>
      <c r="N196" s="217" t="s">
        <v>890</v>
      </c>
      <c r="O196" s="220" t="s">
        <v>890</v>
      </c>
      <c r="P196" s="218">
        <v>128937901.11000001</v>
      </c>
      <c r="Q196" s="218">
        <f>SUM(Q197:Q232)</f>
        <v>0</v>
      </c>
      <c r="R196" s="218">
        <f>SUM(R197:R232)</f>
        <v>0</v>
      </c>
      <c r="S196" s="218">
        <f>SUM(S197:S232)</f>
        <v>128937901.11000001</v>
      </c>
      <c r="T196" s="190">
        <f t="shared" si="15"/>
        <v>591.09818014530606</v>
      </c>
      <c r="U196" s="190">
        <f>MAX(U197:U232)</f>
        <v>9917.957710597826</v>
      </c>
      <c r="V196" s="221">
        <f t="shared" si="16"/>
        <v>9326.8595304525206</v>
      </c>
      <c r="W196" s="221"/>
      <c r="X196" s="221"/>
      <c r="Y196" s="222"/>
      <c r="Z196" s="222"/>
      <c r="AA196" s="222"/>
      <c r="AB196" s="222"/>
      <c r="AC196" s="222"/>
      <c r="AD196" s="222"/>
      <c r="AE196" s="222"/>
      <c r="AF196" s="222"/>
      <c r="AG196" s="222"/>
      <c r="AH196" s="222"/>
      <c r="AI196" s="222"/>
      <c r="AJ196" s="222"/>
      <c r="AK196" s="222"/>
      <c r="AL196" s="222"/>
      <c r="AM196" s="222"/>
      <c r="AN196" s="222"/>
      <c r="AO196" s="222"/>
    </row>
    <row r="197" spans="1:41" s="223" customFormat="1" ht="36" customHeight="1" x14ac:dyDescent="0.25">
      <c r="A197" s="223">
        <v>1</v>
      </c>
      <c r="B197" s="225">
        <f>SUBTOTAL(103,$A$16:A197)</f>
        <v>179</v>
      </c>
      <c r="C197" s="215" t="s">
        <v>761</v>
      </c>
      <c r="D197" s="217">
        <v>1960</v>
      </c>
      <c r="E197" s="217"/>
      <c r="F197" s="226" t="s">
        <v>267</v>
      </c>
      <c r="G197" s="217">
        <v>4</v>
      </c>
      <c r="H197" s="217" t="s">
        <v>312</v>
      </c>
      <c r="I197" s="190">
        <v>2116.5</v>
      </c>
      <c r="J197" s="190">
        <v>1931.2</v>
      </c>
      <c r="K197" s="190">
        <v>1680.5</v>
      </c>
      <c r="L197" s="219">
        <v>73</v>
      </c>
      <c r="M197" s="217" t="s">
        <v>265</v>
      </c>
      <c r="N197" s="217" t="s">
        <v>269</v>
      </c>
      <c r="O197" s="220" t="s">
        <v>801</v>
      </c>
      <c r="P197" s="190">
        <v>131699.56</v>
      </c>
      <c r="Q197" s="190">
        <v>0</v>
      </c>
      <c r="R197" s="190">
        <v>0</v>
      </c>
      <c r="S197" s="190">
        <f t="shared" ref="S197:S224" si="20">P197-Q197-R197</f>
        <v>131699.56</v>
      </c>
      <c r="T197" s="190">
        <f t="shared" si="15"/>
        <v>62.225164186156391</v>
      </c>
      <c r="U197" s="190">
        <v>62.225164186156391</v>
      </c>
      <c r="V197" s="221">
        <f t="shared" si="16"/>
        <v>0</v>
      </c>
      <c r="W197" s="221">
        <f t="shared" ref="W197:W232" si="21">X197+Y197+Z197+AA197+AB197+AD197+AF197+AH197+AJ197+AL197+AN197+AO197</f>
        <v>4927.7666902905748</v>
      </c>
      <c r="X197" s="221">
        <v>0</v>
      </c>
      <c r="Y197" s="222">
        <v>0</v>
      </c>
      <c r="Z197" s="222">
        <v>0</v>
      </c>
      <c r="AA197" s="222">
        <v>0</v>
      </c>
      <c r="AB197" s="222">
        <v>0</v>
      </c>
      <c r="AC197" s="222">
        <v>0</v>
      </c>
      <c r="AD197" s="222">
        <v>0</v>
      </c>
      <c r="AE197" s="222">
        <v>0</v>
      </c>
      <c r="AF197" s="221">
        <v>0</v>
      </c>
      <c r="AG197" s="222">
        <v>0</v>
      </c>
      <c r="AH197" s="221">
        <v>0</v>
      </c>
      <c r="AI197" s="222">
        <v>1402</v>
      </c>
      <c r="AJ197" s="221">
        <f>7439.1*AI197/I197</f>
        <v>4927.7666902905748</v>
      </c>
      <c r="AK197" s="222">
        <v>0</v>
      </c>
      <c r="AL197" s="222">
        <v>0</v>
      </c>
      <c r="AM197" s="222">
        <v>0</v>
      </c>
      <c r="AN197" s="222"/>
      <c r="AO197" s="222">
        <v>0</v>
      </c>
    </row>
    <row r="198" spans="1:41" s="223" customFormat="1" ht="36" customHeight="1" x14ac:dyDescent="0.25">
      <c r="A198" s="223">
        <v>1</v>
      </c>
      <c r="B198" s="225">
        <f>SUBTOTAL(103,$A$16:A198)</f>
        <v>180</v>
      </c>
      <c r="C198" s="215" t="s">
        <v>762</v>
      </c>
      <c r="D198" s="217">
        <v>1938</v>
      </c>
      <c r="E198" s="217"/>
      <c r="F198" s="226" t="s">
        <v>324</v>
      </c>
      <c r="G198" s="217">
        <v>2</v>
      </c>
      <c r="H198" s="217" t="s">
        <v>303</v>
      </c>
      <c r="I198" s="190">
        <v>692.4</v>
      </c>
      <c r="J198" s="190">
        <v>692.4</v>
      </c>
      <c r="K198" s="190">
        <v>632.79999999999995</v>
      </c>
      <c r="L198" s="219">
        <v>23</v>
      </c>
      <c r="M198" s="217" t="s">
        <v>265</v>
      </c>
      <c r="N198" s="217" t="s">
        <v>266</v>
      </c>
      <c r="O198" s="220" t="s">
        <v>268</v>
      </c>
      <c r="P198" s="190">
        <v>2194413.6799999997</v>
      </c>
      <c r="Q198" s="190">
        <v>0</v>
      </c>
      <c r="R198" s="190">
        <v>0</v>
      </c>
      <c r="S198" s="190">
        <f t="shared" si="20"/>
        <v>2194413.6799999997</v>
      </c>
      <c r="T198" s="190">
        <f t="shared" si="15"/>
        <v>3169.2860774119004</v>
      </c>
      <c r="U198" s="190">
        <v>5078.8068298671287</v>
      </c>
      <c r="V198" s="221">
        <f t="shared" si="16"/>
        <v>1909.5207524552284</v>
      </c>
      <c r="W198" s="221">
        <f t="shared" si="21"/>
        <v>4869.0349461294045</v>
      </c>
      <c r="X198" s="221">
        <v>0</v>
      </c>
      <c r="Y198" s="222">
        <v>0</v>
      </c>
      <c r="Z198" s="222">
        <v>0</v>
      </c>
      <c r="AA198" s="222">
        <v>0</v>
      </c>
      <c r="AB198" s="222">
        <v>0</v>
      </c>
      <c r="AC198" s="222">
        <v>0</v>
      </c>
      <c r="AD198" s="222">
        <v>0</v>
      </c>
      <c r="AE198" s="222">
        <v>540.37</v>
      </c>
      <c r="AF198" s="221">
        <f>6238.91*AE198/I198</f>
        <v>4869.0349461294045</v>
      </c>
      <c r="AG198" s="222">
        <v>0</v>
      </c>
      <c r="AH198" s="221">
        <v>0</v>
      </c>
      <c r="AI198" s="222">
        <v>0</v>
      </c>
      <c r="AJ198" s="221">
        <v>0</v>
      </c>
      <c r="AK198" s="222">
        <v>0</v>
      </c>
      <c r="AL198" s="222">
        <v>0</v>
      </c>
      <c r="AM198" s="222">
        <v>0</v>
      </c>
      <c r="AN198" s="222"/>
      <c r="AO198" s="222">
        <v>0</v>
      </c>
    </row>
    <row r="199" spans="1:41" s="223" customFormat="1" ht="36" customHeight="1" x14ac:dyDescent="0.25">
      <c r="A199" s="223">
        <v>1</v>
      </c>
      <c r="B199" s="225">
        <f>SUBTOTAL(103,$A$16:A199)</f>
        <v>181</v>
      </c>
      <c r="C199" s="215" t="s">
        <v>763</v>
      </c>
      <c r="D199" s="217">
        <v>1961</v>
      </c>
      <c r="E199" s="217"/>
      <c r="F199" s="226" t="s">
        <v>267</v>
      </c>
      <c r="G199" s="217">
        <v>2</v>
      </c>
      <c r="H199" s="217" t="s">
        <v>304</v>
      </c>
      <c r="I199" s="190">
        <v>296.39999999999998</v>
      </c>
      <c r="J199" s="190">
        <v>275.5</v>
      </c>
      <c r="K199" s="190">
        <v>275.5</v>
      </c>
      <c r="L199" s="219">
        <v>8</v>
      </c>
      <c r="M199" s="217" t="s">
        <v>265</v>
      </c>
      <c r="N199" s="217" t="s">
        <v>269</v>
      </c>
      <c r="O199" s="220" t="s">
        <v>802</v>
      </c>
      <c r="P199" s="190">
        <v>62023.07</v>
      </c>
      <c r="Q199" s="190">
        <v>0</v>
      </c>
      <c r="R199" s="190">
        <v>0</v>
      </c>
      <c r="S199" s="190">
        <f t="shared" si="20"/>
        <v>62023.07</v>
      </c>
      <c r="T199" s="190">
        <f t="shared" si="15"/>
        <v>209.25462213225373</v>
      </c>
      <c r="U199" s="190">
        <v>209.25462213225373</v>
      </c>
      <c r="V199" s="221">
        <f t="shared" si="16"/>
        <v>0</v>
      </c>
      <c r="W199" s="221">
        <f t="shared" si="21"/>
        <v>5577.9728407557359</v>
      </c>
      <c r="X199" s="221">
        <v>0</v>
      </c>
      <c r="Y199" s="222">
        <v>0</v>
      </c>
      <c r="Z199" s="222">
        <v>0</v>
      </c>
      <c r="AA199" s="222">
        <v>0</v>
      </c>
      <c r="AB199" s="222">
        <v>0</v>
      </c>
      <c r="AC199" s="222">
        <v>0</v>
      </c>
      <c r="AD199" s="222">
        <v>0</v>
      </c>
      <c r="AE199" s="222">
        <v>265</v>
      </c>
      <c r="AF199" s="221">
        <f>6238.91*AE199/I199</f>
        <v>5577.9728407557359</v>
      </c>
      <c r="AG199" s="222">
        <v>0</v>
      </c>
      <c r="AH199" s="221">
        <v>0</v>
      </c>
      <c r="AI199" s="222">
        <v>0</v>
      </c>
      <c r="AJ199" s="221">
        <v>0</v>
      </c>
      <c r="AK199" s="222">
        <v>0</v>
      </c>
      <c r="AL199" s="222">
        <v>0</v>
      </c>
      <c r="AM199" s="222">
        <v>0</v>
      </c>
      <c r="AN199" s="222"/>
      <c r="AO199" s="222">
        <v>0</v>
      </c>
    </row>
    <row r="200" spans="1:41" s="223" customFormat="1" ht="36" customHeight="1" x14ac:dyDescent="0.25">
      <c r="A200" s="223">
        <v>1</v>
      </c>
      <c r="B200" s="225">
        <f>SUBTOTAL(103,$A$16:A200)</f>
        <v>182</v>
      </c>
      <c r="C200" s="215" t="s">
        <v>764</v>
      </c>
      <c r="D200" s="217">
        <v>1988</v>
      </c>
      <c r="E200" s="217"/>
      <c r="F200" s="226" t="s">
        <v>318</v>
      </c>
      <c r="G200" s="217">
        <v>9</v>
      </c>
      <c r="H200" s="217" t="s">
        <v>312</v>
      </c>
      <c r="I200" s="190">
        <v>6561.4</v>
      </c>
      <c r="J200" s="190">
        <v>5844</v>
      </c>
      <c r="K200" s="190">
        <v>5844</v>
      </c>
      <c r="L200" s="219">
        <v>243</v>
      </c>
      <c r="M200" s="217" t="s">
        <v>265</v>
      </c>
      <c r="N200" s="217" t="s">
        <v>269</v>
      </c>
      <c r="O200" s="220" t="s">
        <v>803</v>
      </c>
      <c r="P200" s="190">
        <v>4939980.5199999996</v>
      </c>
      <c r="Q200" s="190">
        <v>0</v>
      </c>
      <c r="R200" s="190">
        <v>0</v>
      </c>
      <c r="S200" s="190">
        <f t="shared" si="20"/>
        <v>4939980.5199999996</v>
      </c>
      <c r="T200" s="190">
        <f t="shared" si="15"/>
        <v>752.88513427012526</v>
      </c>
      <c r="U200" s="190">
        <v>1123.7540768738379</v>
      </c>
      <c r="V200" s="221">
        <f t="shared" si="16"/>
        <v>370.86894260371264</v>
      </c>
      <c r="W200" s="221">
        <f t="shared" si="21"/>
        <v>1123.7540768738379</v>
      </c>
      <c r="X200" s="221">
        <v>0</v>
      </c>
      <c r="Y200" s="222">
        <v>0</v>
      </c>
      <c r="Z200" s="222">
        <v>0</v>
      </c>
      <c r="AA200" s="222">
        <v>0</v>
      </c>
      <c r="AB200" s="222">
        <v>0</v>
      </c>
      <c r="AC200" s="222">
        <v>3</v>
      </c>
      <c r="AD200" s="221">
        <f>2457800*AC200/I200</f>
        <v>1123.7540768738379</v>
      </c>
      <c r="AE200" s="222">
        <v>0</v>
      </c>
      <c r="AF200" s="221">
        <v>0</v>
      </c>
      <c r="AG200" s="222">
        <v>0</v>
      </c>
      <c r="AH200" s="221">
        <v>0</v>
      </c>
      <c r="AI200" s="222">
        <v>0</v>
      </c>
      <c r="AJ200" s="221">
        <v>0</v>
      </c>
      <c r="AK200" s="222">
        <v>0</v>
      </c>
      <c r="AL200" s="222">
        <v>0</v>
      </c>
      <c r="AM200" s="222">
        <v>0</v>
      </c>
      <c r="AN200" s="222"/>
      <c r="AO200" s="222">
        <v>0</v>
      </c>
    </row>
    <row r="201" spans="1:41" s="223" customFormat="1" ht="36" customHeight="1" x14ac:dyDescent="0.25">
      <c r="A201" s="223">
        <v>1</v>
      </c>
      <c r="B201" s="225">
        <f>SUBTOTAL(103,$A$16:A201)</f>
        <v>183</v>
      </c>
      <c r="C201" s="215" t="s">
        <v>765</v>
      </c>
      <c r="D201" s="217">
        <v>1988</v>
      </c>
      <c r="E201" s="217"/>
      <c r="F201" s="226" t="s">
        <v>267</v>
      </c>
      <c r="G201" s="217">
        <v>9</v>
      </c>
      <c r="H201" s="217" t="s">
        <v>308</v>
      </c>
      <c r="I201" s="190">
        <v>9256.7000000000007</v>
      </c>
      <c r="J201" s="190">
        <v>8471</v>
      </c>
      <c r="K201" s="190">
        <v>8471</v>
      </c>
      <c r="L201" s="219">
        <v>378</v>
      </c>
      <c r="M201" s="217" t="s">
        <v>265</v>
      </c>
      <c r="N201" s="217" t="s">
        <v>269</v>
      </c>
      <c r="O201" s="220" t="s">
        <v>802</v>
      </c>
      <c r="P201" s="190">
        <v>6608023.2199999997</v>
      </c>
      <c r="Q201" s="190">
        <v>0</v>
      </c>
      <c r="R201" s="190">
        <v>0</v>
      </c>
      <c r="S201" s="190">
        <f t="shared" si="20"/>
        <v>6608023.2199999997</v>
      </c>
      <c r="T201" s="190">
        <f t="shared" si="15"/>
        <v>713.8638197197705</v>
      </c>
      <c r="U201" s="190">
        <v>1062.0631542558363</v>
      </c>
      <c r="V201" s="221">
        <f t="shared" si="16"/>
        <v>348.19933453606575</v>
      </c>
      <c r="W201" s="221">
        <f t="shared" si="21"/>
        <v>1062.0631542558363</v>
      </c>
      <c r="X201" s="221">
        <v>0</v>
      </c>
      <c r="Y201" s="222">
        <v>0</v>
      </c>
      <c r="Z201" s="222">
        <v>0</v>
      </c>
      <c r="AA201" s="222">
        <v>0</v>
      </c>
      <c r="AB201" s="222">
        <v>0</v>
      </c>
      <c r="AC201" s="222">
        <v>4</v>
      </c>
      <c r="AD201" s="221">
        <f>2457800*AC201/I201</f>
        <v>1062.0631542558363</v>
      </c>
      <c r="AE201" s="222">
        <v>0</v>
      </c>
      <c r="AF201" s="221">
        <v>0</v>
      </c>
      <c r="AG201" s="222">
        <v>0</v>
      </c>
      <c r="AH201" s="221">
        <v>0</v>
      </c>
      <c r="AI201" s="222">
        <v>0</v>
      </c>
      <c r="AJ201" s="221">
        <v>0</v>
      </c>
      <c r="AK201" s="222">
        <v>0</v>
      </c>
      <c r="AL201" s="222">
        <v>0</v>
      </c>
      <c r="AM201" s="222">
        <v>0</v>
      </c>
      <c r="AN201" s="222"/>
      <c r="AO201" s="222">
        <v>0</v>
      </c>
    </row>
    <row r="202" spans="1:41" s="223" customFormat="1" ht="36" customHeight="1" x14ac:dyDescent="0.25">
      <c r="A202" s="223">
        <v>1</v>
      </c>
      <c r="B202" s="225">
        <f>SUBTOTAL(103,$A$16:A202)</f>
        <v>184</v>
      </c>
      <c r="C202" s="215" t="s">
        <v>766</v>
      </c>
      <c r="D202" s="217">
        <v>1984</v>
      </c>
      <c r="E202" s="217"/>
      <c r="F202" s="226" t="s">
        <v>318</v>
      </c>
      <c r="G202" s="217">
        <v>9</v>
      </c>
      <c r="H202" s="217" t="s">
        <v>351</v>
      </c>
      <c r="I202" s="190">
        <v>12333.3</v>
      </c>
      <c r="J202" s="190">
        <v>9669.2000000000007</v>
      </c>
      <c r="K202" s="190">
        <v>9669.2000000000007</v>
      </c>
      <c r="L202" s="219">
        <v>396</v>
      </c>
      <c r="M202" s="217" t="s">
        <v>265</v>
      </c>
      <c r="N202" s="217" t="s">
        <v>269</v>
      </c>
      <c r="O202" s="220" t="s">
        <v>804</v>
      </c>
      <c r="P202" s="190">
        <v>8162096.2000000002</v>
      </c>
      <c r="Q202" s="190">
        <v>0</v>
      </c>
      <c r="R202" s="190">
        <v>0</v>
      </c>
      <c r="S202" s="190">
        <f t="shared" si="20"/>
        <v>8162096.2000000002</v>
      </c>
      <c r="T202" s="190">
        <f t="shared" si="15"/>
        <v>661.79337241452015</v>
      </c>
      <c r="U202" s="190">
        <v>996.408098400266</v>
      </c>
      <c r="V202" s="221">
        <f t="shared" si="16"/>
        <v>334.61472598574585</v>
      </c>
      <c r="W202" s="221">
        <f t="shared" si="21"/>
        <v>996.408098400266</v>
      </c>
      <c r="X202" s="221">
        <v>0</v>
      </c>
      <c r="Y202" s="222">
        <v>0</v>
      </c>
      <c r="Z202" s="222">
        <v>0</v>
      </c>
      <c r="AA202" s="222">
        <v>0</v>
      </c>
      <c r="AB202" s="222">
        <v>0</v>
      </c>
      <c r="AC202" s="222">
        <v>5</v>
      </c>
      <c r="AD202" s="221">
        <f>2457800*AC202/I202</f>
        <v>996.408098400266</v>
      </c>
      <c r="AE202" s="222">
        <v>0</v>
      </c>
      <c r="AF202" s="221">
        <v>0</v>
      </c>
      <c r="AG202" s="222">
        <v>0</v>
      </c>
      <c r="AH202" s="221">
        <v>0</v>
      </c>
      <c r="AI202" s="222">
        <v>0</v>
      </c>
      <c r="AJ202" s="221">
        <v>0</v>
      </c>
      <c r="AK202" s="222">
        <v>0</v>
      </c>
      <c r="AL202" s="222">
        <v>0</v>
      </c>
      <c r="AM202" s="222">
        <v>0</v>
      </c>
      <c r="AN202" s="222"/>
      <c r="AO202" s="222">
        <v>0</v>
      </c>
    </row>
    <row r="203" spans="1:41" s="223" customFormat="1" ht="36" customHeight="1" x14ac:dyDescent="0.25">
      <c r="A203" s="223">
        <v>1</v>
      </c>
      <c r="B203" s="225">
        <f>SUBTOTAL(103,$A$16:A203)</f>
        <v>185</v>
      </c>
      <c r="C203" s="215" t="s">
        <v>767</v>
      </c>
      <c r="D203" s="217">
        <v>1987</v>
      </c>
      <c r="E203" s="217"/>
      <c r="F203" s="226" t="s">
        <v>318</v>
      </c>
      <c r="G203" s="217">
        <v>9</v>
      </c>
      <c r="H203" s="217" t="s">
        <v>351</v>
      </c>
      <c r="I203" s="190">
        <v>12462.6</v>
      </c>
      <c r="J203" s="190">
        <v>9746.7999999999993</v>
      </c>
      <c r="K203" s="190">
        <v>9746.7999999999993</v>
      </c>
      <c r="L203" s="219">
        <v>398</v>
      </c>
      <c r="M203" s="217" t="s">
        <v>265</v>
      </c>
      <c r="N203" s="217" t="s">
        <v>269</v>
      </c>
      <c r="O203" s="220" t="s">
        <v>804</v>
      </c>
      <c r="P203" s="190">
        <v>7899262.5999999996</v>
      </c>
      <c r="Q203" s="190">
        <v>0</v>
      </c>
      <c r="R203" s="190">
        <v>0</v>
      </c>
      <c r="S203" s="190">
        <f t="shared" si="20"/>
        <v>7899262.5999999996</v>
      </c>
      <c r="T203" s="190">
        <f t="shared" si="15"/>
        <v>633.83744964935079</v>
      </c>
      <c r="U203" s="190">
        <v>986.07032240463468</v>
      </c>
      <c r="V203" s="221">
        <f t="shared" si="16"/>
        <v>352.23287275528389</v>
      </c>
      <c r="W203" s="221">
        <f t="shared" si="21"/>
        <v>986.07032240463468</v>
      </c>
      <c r="X203" s="221">
        <v>0</v>
      </c>
      <c r="Y203" s="222">
        <v>0</v>
      </c>
      <c r="Z203" s="222">
        <v>0</v>
      </c>
      <c r="AA203" s="222">
        <v>0</v>
      </c>
      <c r="AB203" s="222">
        <v>0</v>
      </c>
      <c r="AC203" s="222">
        <v>5</v>
      </c>
      <c r="AD203" s="221">
        <f>2457800*AC203/I203</f>
        <v>986.07032240463468</v>
      </c>
      <c r="AE203" s="222">
        <v>0</v>
      </c>
      <c r="AF203" s="221">
        <v>0</v>
      </c>
      <c r="AG203" s="222">
        <v>0</v>
      </c>
      <c r="AH203" s="221">
        <v>0</v>
      </c>
      <c r="AI203" s="222">
        <v>0</v>
      </c>
      <c r="AJ203" s="221">
        <v>0</v>
      </c>
      <c r="AK203" s="222">
        <v>0</v>
      </c>
      <c r="AL203" s="222">
        <v>0</v>
      </c>
      <c r="AM203" s="222">
        <v>0</v>
      </c>
      <c r="AN203" s="222"/>
      <c r="AO203" s="222">
        <v>0</v>
      </c>
    </row>
    <row r="204" spans="1:41" s="223" customFormat="1" ht="36" customHeight="1" x14ac:dyDescent="0.25">
      <c r="A204" s="223">
        <v>1</v>
      </c>
      <c r="B204" s="225">
        <f>SUBTOTAL(103,$A$16:A204)</f>
        <v>186</v>
      </c>
      <c r="C204" s="215" t="s">
        <v>769</v>
      </c>
      <c r="D204" s="217">
        <v>1958</v>
      </c>
      <c r="E204" s="217"/>
      <c r="F204" s="226" t="s">
        <v>267</v>
      </c>
      <c r="G204" s="217">
        <v>2</v>
      </c>
      <c r="H204" s="217" t="s">
        <v>303</v>
      </c>
      <c r="I204" s="190">
        <v>478.27</v>
      </c>
      <c r="J204" s="190">
        <v>446.77</v>
      </c>
      <c r="K204" s="190">
        <v>446.77</v>
      </c>
      <c r="L204" s="219">
        <v>20</v>
      </c>
      <c r="M204" s="217" t="s">
        <v>265</v>
      </c>
      <c r="N204" s="217" t="s">
        <v>266</v>
      </c>
      <c r="O204" s="220" t="s">
        <v>268</v>
      </c>
      <c r="P204" s="190">
        <v>1703879.76</v>
      </c>
      <c r="Q204" s="190">
        <v>0</v>
      </c>
      <c r="R204" s="190">
        <v>0</v>
      </c>
      <c r="S204" s="190">
        <f t="shared" si="20"/>
        <v>1703879.76</v>
      </c>
      <c r="T204" s="190">
        <f t="shared" si="15"/>
        <v>3562.5896669245408</v>
      </c>
      <c r="U204" s="190">
        <v>5725.3119137725553</v>
      </c>
      <c r="V204" s="221">
        <f t="shared" si="16"/>
        <v>2162.7222468480145</v>
      </c>
      <c r="W204" s="221">
        <f t="shared" si="21"/>
        <v>8805.2026052229921</v>
      </c>
      <c r="X204" s="221">
        <v>0</v>
      </c>
      <c r="Y204" s="222">
        <v>0</v>
      </c>
      <c r="Z204" s="222">
        <v>0</v>
      </c>
      <c r="AA204" s="222">
        <v>0</v>
      </c>
      <c r="AB204" s="222">
        <v>0</v>
      </c>
      <c r="AC204" s="222">
        <v>0</v>
      </c>
      <c r="AD204" s="222">
        <v>0</v>
      </c>
      <c r="AE204" s="222">
        <v>675</v>
      </c>
      <c r="AF204" s="221">
        <f>6238.91*AE204/I204</f>
        <v>8805.2026052229921</v>
      </c>
      <c r="AG204" s="222">
        <v>0</v>
      </c>
      <c r="AH204" s="221">
        <v>0</v>
      </c>
      <c r="AI204" s="222">
        <v>0</v>
      </c>
      <c r="AJ204" s="221">
        <v>0</v>
      </c>
      <c r="AK204" s="222">
        <v>0</v>
      </c>
      <c r="AL204" s="222">
        <v>0</v>
      </c>
      <c r="AM204" s="222">
        <v>0</v>
      </c>
      <c r="AN204" s="222"/>
      <c r="AO204" s="222">
        <v>0</v>
      </c>
    </row>
    <row r="205" spans="1:41" s="223" customFormat="1" ht="36" customHeight="1" x14ac:dyDescent="0.25">
      <c r="A205" s="223">
        <v>1</v>
      </c>
      <c r="B205" s="225">
        <f>SUBTOTAL(103,$A$16:A205)</f>
        <v>187</v>
      </c>
      <c r="C205" s="215" t="s">
        <v>770</v>
      </c>
      <c r="D205" s="217">
        <v>1962</v>
      </c>
      <c r="E205" s="217"/>
      <c r="F205" s="226" t="s">
        <v>267</v>
      </c>
      <c r="G205" s="217">
        <v>6</v>
      </c>
      <c r="H205" s="217" t="s">
        <v>351</v>
      </c>
      <c r="I205" s="190">
        <v>5489.1</v>
      </c>
      <c r="J205" s="190">
        <v>4500.5</v>
      </c>
      <c r="K205" s="190">
        <v>4154.3</v>
      </c>
      <c r="L205" s="219">
        <v>130</v>
      </c>
      <c r="M205" s="217" t="s">
        <v>265</v>
      </c>
      <c r="N205" s="217" t="s">
        <v>269</v>
      </c>
      <c r="O205" s="220" t="s">
        <v>806</v>
      </c>
      <c r="P205" s="190">
        <v>114842.89</v>
      </c>
      <c r="Q205" s="190">
        <v>0</v>
      </c>
      <c r="R205" s="190">
        <v>0</v>
      </c>
      <c r="S205" s="190">
        <f t="shared" si="20"/>
        <v>114842.89</v>
      </c>
      <c r="T205" s="190">
        <f t="shared" ref="T205:T268" si="22">P205/I205</f>
        <v>20.921989032810476</v>
      </c>
      <c r="U205" s="190">
        <v>20.921989032810476</v>
      </c>
      <c r="V205" s="221">
        <f t="shared" si="16"/>
        <v>0</v>
      </c>
      <c r="W205" s="221">
        <f>T205</f>
        <v>20.921989032810476</v>
      </c>
      <c r="X205" s="221">
        <v>0</v>
      </c>
      <c r="Y205" s="222">
        <v>0</v>
      </c>
      <c r="Z205" s="222">
        <v>0</v>
      </c>
      <c r="AA205" s="222">
        <v>0</v>
      </c>
      <c r="AB205" s="222">
        <v>0</v>
      </c>
      <c r="AC205" s="222">
        <v>0</v>
      </c>
      <c r="AD205" s="222">
        <v>0</v>
      </c>
      <c r="AE205" s="222">
        <v>0</v>
      </c>
      <c r="AF205" s="221">
        <v>0</v>
      </c>
      <c r="AG205" s="222">
        <v>0</v>
      </c>
      <c r="AH205" s="221">
        <v>0</v>
      </c>
      <c r="AI205" s="222">
        <v>0</v>
      </c>
      <c r="AJ205" s="221">
        <v>0</v>
      </c>
      <c r="AK205" s="222">
        <v>0</v>
      </c>
      <c r="AL205" s="222">
        <v>0</v>
      </c>
      <c r="AM205" s="222">
        <v>0</v>
      </c>
      <c r="AN205" s="222"/>
      <c r="AO205" s="222">
        <v>0</v>
      </c>
    </row>
    <row r="206" spans="1:41" s="223" customFormat="1" ht="36" customHeight="1" x14ac:dyDescent="0.25">
      <c r="A206" s="223">
        <v>1</v>
      </c>
      <c r="B206" s="225">
        <f>SUBTOTAL(103,$A$16:A206)</f>
        <v>188</v>
      </c>
      <c r="C206" s="215" t="s">
        <v>771</v>
      </c>
      <c r="D206" s="217">
        <v>1962</v>
      </c>
      <c r="E206" s="217"/>
      <c r="F206" s="226" t="s">
        <v>267</v>
      </c>
      <c r="G206" s="217">
        <v>4</v>
      </c>
      <c r="H206" s="217" t="s">
        <v>312</v>
      </c>
      <c r="I206" s="190">
        <v>2946.2</v>
      </c>
      <c r="J206" s="190">
        <v>1967.3</v>
      </c>
      <c r="K206" s="190">
        <v>1810.2</v>
      </c>
      <c r="L206" s="219">
        <v>95</v>
      </c>
      <c r="M206" s="217" t="s">
        <v>265</v>
      </c>
      <c r="N206" s="217" t="s">
        <v>269</v>
      </c>
      <c r="O206" s="220" t="s">
        <v>803</v>
      </c>
      <c r="P206" s="190">
        <v>136497.56</v>
      </c>
      <c r="Q206" s="190">
        <v>0</v>
      </c>
      <c r="R206" s="190">
        <v>0</v>
      </c>
      <c r="S206" s="190">
        <f t="shared" si="20"/>
        <v>136497.56</v>
      </c>
      <c r="T206" s="190">
        <f t="shared" si="22"/>
        <v>46.330038693910801</v>
      </c>
      <c r="U206" s="190">
        <v>46.330038693910801</v>
      </c>
      <c r="V206" s="221">
        <f t="shared" si="16"/>
        <v>0</v>
      </c>
      <c r="W206" s="221">
        <f t="shared" si="21"/>
        <v>2287.0215192451292</v>
      </c>
      <c r="X206" s="221">
        <v>0</v>
      </c>
      <c r="Y206" s="222">
        <v>0</v>
      </c>
      <c r="Z206" s="222">
        <v>0</v>
      </c>
      <c r="AA206" s="222">
        <v>0</v>
      </c>
      <c r="AB206" s="222">
        <v>0</v>
      </c>
      <c r="AC206" s="222">
        <v>0</v>
      </c>
      <c r="AD206" s="222">
        <v>0</v>
      </c>
      <c r="AE206" s="222">
        <v>1080</v>
      </c>
      <c r="AF206" s="221">
        <f>6238.91*AE206/I206</f>
        <v>2287.0215192451292</v>
      </c>
      <c r="AG206" s="222">
        <v>0</v>
      </c>
      <c r="AH206" s="221">
        <v>0</v>
      </c>
      <c r="AI206" s="222">
        <v>0</v>
      </c>
      <c r="AJ206" s="221">
        <v>0</v>
      </c>
      <c r="AK206" s="222">
        <v>0</v>
      </c>
      <c r="AL206" s="222">
        <v>0</v>
      </c>
      <c r="AM206" s="222">
        <v>0</v>
      </c>
      <c r="AN206" s="222"/>
      <c r="AO206" s="222">
        <v>0</v>
      </c>
    </row>
    <row r="207" spans="1:41" s="223" customFormat="1" ht="36" customHeight="1" x14ac:dyDescent="0.25">
      <c r="A207" s="223">
        <v>1</v>
      </c>
      <c r="B207" s="225">
        <f>SUBTOTAL(103,$A$16:A207)</f>
        <v>189</v>
      </c>
      <c r="C207" s="215" t="s">
        <v>1162</v>
      </c>
      <c r="D207" s="217">
        <v>1954</v>
      </c>
      <c r="E207" s="217"/>
      <c r="F207" s="226" t="s">
        <v>267</v>
      </c>
      <c r="G207" s="217">
        <v>2</v>
      </c>
      <c r="H207" s="217" t="s">
        <v>304</v>
      </c>
      <c r="I207" s="190">
        <v>777.3</v>
      </c>
      <c r="J207" s="190">
        <v>475.5</v>
      </c>
      <c r="K207" s="190">
        <v>475.5</v>
      </c>
      <c r="L207" s="219">
        <v>37</v>
      </c>
      <c r="M207" s="217" t="s">
        <v>265</v>
      </c>
      <c r="N207" s="217" t="s">
        <v>269</v>
      </c>
      <c r="O207" s="220" t="s">
        <v>1297</v>
      </c>
      <c r="P207" s="190">
        <v>3517276.18</v>
      </c>
      <c r="Q207" s="190">
        <v>0</v>
      </c>
      <c r="R207" s="190">
        <v>0</v>
      </c>
      <c r="S207" s="190">
        <f t="shared" si="20"/>
        <v>3517276.18</v>
      </c>
      <c r="T207" s="190">
        <f t="shared" si="22"/>
        <v>4524.991869291136</v>
      </c>
      <c r="U207" s="190">
        <v>7806.2219297568508</v>
      </c>
      <c r="V207" s="221">
        <f t="shared" si="16"/>
        <v>3281.2300604657148</v>
      </c>
      <c r="W207" s="221">
        <f t="shared" si="21"/>
        <v>11838.814784510487</v>
      </c>
      <c r="X207" s="221">
        <v>0</v>
      </c>
      <c r="Y207" s="222">
        <v>0</v>
      </c>
      <c r="Z207" s="222">
        <v>0</v>
      </c>
      <c r="AA207" s="222">
        <v>0</v>
      </c>
      <c r="AB207" s="222">
        <v>795.31</v>
      </c>
      <c r="AC207" s="222">
        <v>0</v>
      </c>
      <c r="AD207" s="222">
        <v>0</v>
      </c>
      <c r="AE207" s="222">
        <v>1375.9</v>
      </c>
      <c r="AF207" s="221">
        <f>6238.91*AE207/I207</f>
        <v>11043.504784510487</v>
      </c>
      <c r="AG207" s="222">
        <v>0</v>
      </c>
      <c r="AH207" s="221">
        <v>0</v>
      </c>
      <c r="AI207" s="222">
        <v>0</v>
      </c>
      <c r="AJ207" s="221">
        <v>0</v>
      </c>
      <c r="AK207" s="222">
        <v>0</v>
      </c>
      <c r="AL207" s="222">
        <v>0</v>
      </c>
      <c r="AM207" s="222">
        <v>0</v>
      </c>
      <c r="AN207" s="222"/>
      <c r="AO207" s="222">
        <v>0</v>
      </c>
    </row>
    <row r="208" spans="1:41" s="223" customFormat="1" ht="36" customHeight="1" x14ac:dyDescent="0.25">
      <c r="A208" s="223">
        <v>1</v>
      </c>
      <c r="B208" s="225">
        <f>SUBTOTAL(103,$A$16:A208)</f>
        <v>190</v>
      </c>
      <c r="C208" s="215" t="s">
        <v>1163</v>
      </c>
      <c r="D208" s="217">
        <v>1937</v>
      </c>
      <c r="E208" s="217"/>
      <c r="F208" s="226" t="s">
        <v>267</v>
      </c>
      <c r="G208" s="217" t="s">
        <v>308</v>
      </c>
      <c r="H208" s="217" t="s">
        <v>308</v>
      </c>
      <c r="I208" s="190">
        <v>2626</v>
      </c>
      <c r="J208" s="190">
        <v>2536</v>
      </c>
      <c r="K208" s="190">
        <v>2536</v>
      </c>
      <c r="L208" s="219">
        <v>96</v>
      </c>
      <c r="M208" s="217" t="s">
        <v>265</v>
      </c>
      <c r="N208" s="217" t="s">
        <v>269</v>
      </c>
      <c r="O208" s="220" t="s">
        <v>810</v>
      </c>
      <c r="P208" s="190">
        <v>581865.37</v>
      </c>
      <c r="Q208" s="190">
        <v>0</v>
      </c>
      <c r="R208" s="190">
        <v>0</v>
      </c>
      <c r="S208" s="190">
        <f t="shared" si="20"/>
        <v>581865.37</v>
      </c>
      <c r="T208" s="190">
        <f t="shared" si="22"/>
        <v>221.57858720487434</v>
      </c>
      <c r="U208" s="190">
        <v>810.46</v>
      </c>
      <c r="V208" s="221">
        <f t="shared" si="16"/>
        <v>588.8814127951257</v>
      </c>
      <c r="W208" s="221">
        <f t="shared" si="21"/>
        <v>2310.653581873572</v>
      </c>
      <c r="X208" s="221">
        <v>0</v>
      </c>
      <c r="Y208" s="222">
        <v>0</v>
      </c>
      <c r="Z208" s="222">
        <v>0</v>
      </c>
      <c r="AA208" s="222">
        <v>0</v>
      </c>
      <c r="AB208" s="222">
        <v>0</v>
      </c>
      <c r="AC208" s="222">
        <v>0</v>
      </c>
      <c r="AD208" s="222">
        <v>0</v>
      </c>
      <c r="AE208" s="222">
        <v>0</v>
      </c>
      <c r="AF208" s="221">
        <v>0</v>
      </c>
      <c r="AG208" s="222">
        <v>0</v>
      </c>
      <c r="AH208" s="221">
        <v>0</v>
      </c>
      <c r="AI208" s="222">
        <v>815.66</v>
      </c>
      <c r="AJ208" s="221">
        <f>7439.1*AI208/I208</f>
        <v>2310.653581873572</v>
      </c>
      <c r="AK208" s="222">
        <v>0</v>
      </c>
      <c r="AL208" s="222">
        <v>0</v>
      </c>
      <c r="AM208" s="222">
        <v>0</v>
      </c>
      <c r="AN208" s="222"/>
      <c r="AO208" s="222">
        <v>0</v>
      </c>
    </row>
    <row r="209" spans="1:41" s="223" customFormat="1" ht="36" customHeight="1" x14ac:dyDescent="0.25">
      <c r="A209" s="223">
        <v>1</v>
      </c>
      <c r="B209" s="225">
        <f>SUBTOTAL(103,$A$16:A209)</f>
        <v>191</v>
      </c>
      <c r="C209" s="215" t="s">
        <v>1164</v>
      </c>
      <c r="D209" s="217">
        <v>1934</v>
      </c>
      <c r="E209" s="217"/>
      <c r="F209" s="226" t="s">
        <v>267</v>
      </c>
      <c r="G209" s="217">
        <v>4</v>
      </c>
      <c r="H209" s="217" t="s">
        <v>371</v>
      </c>
      <c r="I209" s="190">
        <v>3106.06</v>
      </c>
      <c r="J209" s="190">
        <v>3106.06</v>
      </c>
      <c r="K209" s="190">
        <v>3042.06</v>
      </c>
      <c r="L209" s="219">
        <v>138</v>
      </c>
      <c r="M209" s="217" t="s">
        <v>265</v>
      </c>
      <c r="N209" s="217" t="s">
        <v>269</v>
      </c>
      <c r="O209" s="220" t="s">
        <v>1601</v>
      </c>
      <c r="P209" s="190">
        <v>4997938.54</v>
      </c>
      <c r="Q209" s="190">
        <v>0</v>
      </c>
      <c r="R209" s="190">
        <v>0</v>
      </c>
      <c r="S209" s="190">
        <f t="shared" si="20"/>
        <v>4997938.54</v>
      </c>
      <c r="T209" s="190">
        <f t="shared" si="22"/>
        <v>1609.0927219693117</v>
      </c>
      <c r="U209" s="190">
        <v>2527.2267419174132</v>
      </c>
      <c r="V209" s="221">
        <f t="shared" ref="V209:V270" si="23">U209-T209</f>
        <v>918.13401994810147</v>
      </c>
      <c r="W209" s="221">
        <f t="shared" si="21"/>
        <v>795.31</v>
      </c>
      <c r="X209" s="221">
        <v>0</v>
      </c>
      <c r="Y209" s="222">
        <v>0</v>
      </c>
      <c r="Z209" s="222">
        <v>0</v>
      </c>
      <c r="AA209" s="222">
        <v>0</v>
      </c>
      <c r="AB209" s="222">
        <v>795.31</v>
      </c>
      <c r="AC209" s="222">
        <v>0</v>
      </c>
      <c r="AD209" s="222">
        <v>0</v>
      </c>
      <c r="AE209" s="222">
        <v>0</v>
      </c>
      <c r="AF209" s="221">
        <v>0</v>
      </c>
      <c r="AG209" s="222">
        <v>0</v>
      </c>
      <c r="AH209" s="221">
        <v>0</v>
      </c>
      <c r="AI209" s="222">
        <v>0</v>
      </c>
      <c r="AJ209" s="221">
        <v>0</v>
      </c>
      <c r="AK209" s="222">
        <v>0</v>
      </c>
      <c r="AL209" s="222">
        <v>0</v>
      </c>
      <c r="AM209" s="222">
        <v>0</v>
      </c>
      <c r="AN209" s="222"/>
      <c r="AO209" s="222">
        <v>0</v>
      </c>
    </row>
    <row r="210" spans="1:41" s="223" customFormat="1" ht="36" customHeight="1" x14ac:dyDescent="0.25">
      <c r="A210" s="223">
        <v>1</v>
      </c>
      <c r="B210" s="225">
        <f>SUBTOTAL(103,$A$16:A210)</f>
        <v>192</v>
      </c>
      <c r="C210" s="215" t="s">
        <v>1167</v>
      </c>
      <c r="D210" s="217">
        <v>1981</v>
      </c>
      <c r="E210" s="217"/>
      <c r="F210" s="226" t="s">
        <v>318</v>
      </c>
      <c r="G210" s="217">
        <v>5</v>
      </c>
      <c r="H210" s="217" t="s">
        <v>371</v>
      </c>
      <c r="I210" s="190">
        <v>6247.1</v>
      </c>
      <c r="J210" s="190">
        <v>4719.7</v>
      </c>
      <c r="K210" s="190">
        <v>4641.3999999999996</v>
      </c>
      <c r="L210" s="219">
        <v>189</v>
      </c>
      <c r="M210" s="217" t="s">
        <v>265</v>
      </c>
      <c r="N210" s="217" t="s">
        <v>269</v>
      </c>
      <c r="O210" s="220" t="s">
        <v>1343</v>
      </c>
      <c r="P210" s="190">
        <v>3797251.5799999996</v>
      </c>
      <c r="Q210" s="190">
        <v>0</v>
      </c>
      <c r="R210" s="190">
        <v>0</v>
      </c>
      <c r="S210" s="190">
        <f t="shared" si="20"/>
        <v>3797251.5799999996</v>
      </c>
      <c r="T210" s="190">
        <f t="shared" si="22"/>
        <v>607.84229162331314</v>
      </c>
      <c r="U210" s="190">
        <v>1158.2833042531736</v>
      </c>
      <c r="V210" s="221">
        <f t="shared" si="23"/>
        <v>550.44101262986044</v>
      </c>
      <c r="W210" s="221">
        <f t="shared" si="21"/>
        <v>1204.6386355588993</v>
      </c>
      <c r="X210" s="221">
        <v>0</v>
      </c>
      <c r="Y210" s="222">
        <v>0</v>
      </c>
      <c r="Z210" s="222">
        <v>0</v>
      </c>
      <c r="AA210" s="222">
        <v>0</v>
      </c>
      <c r="AB210" s="222">
        <v>0</v>
      </c>
      <c r="AC210" s="222">
        <v>0</v>
      </c>
      <c r="AD210" s="222">
        <v>0</v>
      </c>
      <c r="AE210" s="222">
        <v>1206.22</v>
      </c>
      <c r="AF210" s="221">
        <f>6238.91*AE210/I210</f>
        <v>1204.6386355588993</v>
      </c>
      <c r="AG210" s="222">
        <v>0</v>
      </c>
      <c r="AH210" s="221">
        <v>0</v>
      </c>
      <c r="AI210" s="222">
        <v>0</v>
      </c>
      <c r="AJ210" s="221">
        <v>0</v>
      </c>
      <c r="AK210" s="222">
        <v>0</v>
      </c>
      <c r="AL210" s="222">
        <v>0</v>
      </c>
      <c r="AM210" s="222">
        <v>0</v>
      </c>
      <c r="AN210" s="222"/>
      <c r="AO210" s="222">
        <v>0</v>
      </c>
    </row>
    <row r="211" spans="1:41" s="223" customFormat="1" ht="36" customHeight="1" x14ac:dyDescent="0.25">
      <c r="A211" s="223">
        <v>1</v>
      </c>
      <c r="B211" s="225">
        <f>SUBTOTAL(103,$A$16:A211)</f>
        <v>193</v>
      </c>
      <c r="C211" s="215" t="s">
        <v>1168</v>
      </c>
      <c r="D211" s="217" t="s">
        <v>1325</v>
      </c>
      <c r="E211" s="217"/>
      <c r="F211" s="226" t="s">
        <v>267</v>
      </c>
      <c r="G211" s="217" t="s">
        <v>303</v>
      </c>
      <c r="H211" s="217" t="s">
        <v>304</v>
      </c>
      <c r="I211" s="190">
        <v>286.8</v>
      </c>
      <c r="J211" s="190">
        <v>286.8</v>
      </c>
      <c r="K211" s="190">
        <v>286.8</v>
      </c>
      <c r="L211" s="219">
        <v>9</v>
      </c>
      <c r="M211" s="217" t="s">
        <v>265</v>
      </c>
      <c r="N211" s="217" t="s">
        <v>266</v>
      </c>
      <c r="O211" s="220" t="s">
        <v>268</v>
      </c>
      <c r="P211" s="190">
        <v>1338677.8699999999</v>
      </c>
      <c r="Q211" s="190">
        <v>0</v>
      </c>
      <c r="R211" s="190">
        <v>0</v>
      </c>
      <c r="S211" s="190">
        <f t="shared" si="20"/>
        <v>1338677.8699999999</v>
      </c>
      <c r="T211" s="190">
        <f t="shared" si="22"/>
        <v>4667.6355299860525</v>
      </c>
      <c r="U211" s="190">
        <v>9843.0602092050212</v>
      </c>
      <c r="V211" s="221">
        <f t="shared" si="23"/>
        <v>5175.4246792189688</v>
      </c>
      <c r="W211" s="221">
        <f t="shared" si="21"/>
        <v>980.29</v>
      </c>
      <c r="X211" s="221">
        <v>0</v>
      </c>
      <c r="Y211" s="222">
        <v>0</v>
      </c>
      <c r="Z211" s="222">
        <v>0</v>
      </c>
      <c r="AA211" s="222">
        <v>184.98</v>
      </c>
      <c r="AB211" s="222">
        <v>795.31</v>
      </c>
      <c r="AC211" s="222">
        <v>0</v>
      </c>
      <c r="AD211" s="222">
        <v>0</v>
      </c>
      <c r="AE211" s="222">
        <v>0</v>
      </c>
      <c r="AF211" s="221">
        <v>0</v>
      </c>
      <c r="AG211" s="222">
        <v>0</v>
      </c>
      <c r="AH211" s="221">
        <v>0</v>
      </c>
      <c r="AI211" s="222">
        <v>0</v>
      </c>
      <c r="AJ211" s="221">
        <v>0</v>
      </c>
      <c r="AK211" s="222">
        <v>0</v>
      </c>
      <c r="AL211" s="222">
        <v>0</v>
      </c>
      <c r="AM211" s="222">
        <v>0</v>
      </c>
      <c r="AN211" s="222"/>
      <c r="AO211" s="222">
        <v>0</v>
      </c>
    </row>
    <row r="212" spans="1:41" s="223" customFormat="1" ht="36" customHeight="1" x14ac:dyDescent="0.25">
      <c r="A212" s="223">
        <v>1</v>
      </c>
      <c r="B212" s="225">
        <f>SUBTOTAL(103,$A$16:A212)</f>
        <v>194</v>
      </c>
      <c r="C212" s="215" t="s">
        <v>1169</v>
      </c>
      <c r="D212" s="217">
        <v>1979</v>
      </c>
      <c r="E212" s="217"/>
      <c r="F212" s="226" t="s">
        <v>267</v>
      </c>
      <c r="G212" s="217">
        <v>9</v>
      </c>
      <c r="H212" s="217" t="s">
        <v>2270</v>
      </c>
      <c r="I212" s="190">
        <v>21489.200000000001</v>
      </c>
      <c r="J212" s="190">
        <v>21489.200000000001</v>
      </c>
      <c r="K212" s="190">
        <v>21320.3</v>
      </c>
      <c r="L212" s="219">
        <v>1110</v>
      </c>
      <c r="M212" s="217" t="s">
        <v>265</v>
      </c>
      <c r="N212" s="217" t="s">
        <v>269</v>
      </c>
      <c r="O212" s="220" t="s">
        <v>803</v>
      </c>
      <c r="P212" s="190">
        <v>4355063.8499999996</v>
      </c>
      <c r="Q212" s="190">
        <v>0</v>
      </c>
      <c r="R212" s="190">
        <v>0</v>
      </c>
      <c r="S212" s="190">
        <f t="shared" si="20"/>
        <v>4355063.8499999996</v>
      </c>
      <c r="T212" s="190">
        <f t="shared" si="22"/>
        <v>202.66291206745711</v>
      </c>
      <c r="U212" s="190">
        <v>343.12119576345327</v>
      </c>
      <c r="V212" s="221">
        <f t="shared" si="23"/>
        <v>140.45828369599616</v>
      </c>
      <c r="W212" s="221">
        <f t="shared" si="21"/>
        <v>322.81536906911379</v>
      </c>
      <c r="X212" s="221">
        <v>0</v>
      </c>
      <c r="Y212" s="222">
        <v>0</v>
      </c>
      <c r="Z212" s="222">
        <v>0</v>
      </c>
      <c r="AA212" s="222">
        <v>0</v>
      </c>
      <c r="AB212" s="222">
        <v>0</v>
      </c>
      <c r="AC212" s="222">
        <v>0</v>
      </c>
      <c r="AD212" s="222">
        <v>0</v>
      </c>
      <c r="AE212" s="222">
        <v>1111.9000000000001</v>
      </c>
      <c r="AF212" s="221">
        <f>6238.91*AE212/I212</f>
        <v>322.81536906911379</v>
      </c>
      <c r="AG212" s="222">
        <v>0</v>
      </c>
      <c r="AH212" s="221">
        <v>0</v>
      </c>
      <c r="AI212" s="222">
        <v>0</v>
      </c>
      <c r="AJ212" s="221">
        <v>0</v>
      </c>
      <c r="AK212" s="222">
        <v>0</v>
      </c>
      <c r="AL212" s="222">
        <v>0</v>
      </c>
      <c r="AM212" s="222">
        <v>0</v>
      </c>
      <c r="AN212" s="222"/>
      <c r="AO212" s="222">
        <v>0</v>
      </c>
    </row>
    <row r="213" spans="1:41" s="223" customFormat="1" ht="36" customHeight="1" x14ac:dyDescent="0.25">
      <c r="A213" s="223">
        <v>1</v>
      </c>
      <c r="B213" s="225">
        <f>SUBTOTAL(103,$A$16:A213)</f>
        <v>195</v>
      </c>
      <c r="C213" s="215" t="s">
        <v>1170</v>
      </c>
      <c r="D213" s="217">
        <v>1949</v>
      </c>
      <c r="E213" s="217"/>
      <c r="F213" s="226" t="s">
        <v>267</v>
      </c>
      <c r="G213" s="217">
        <v>2</v>
      </c>
      <c r="H213" s="217" t="s">
        <v>304</v>
      </c>
      <c r="I213" s="190">
        <v>402.7</v>
      </c>
      <c r="J213" s="190">
        <v>402.7</v>
      </c>
      <c r="K213" s="190">
        <v>402.7</v>
      </c>
      <c r="L213" s="219">
        <v>20</v>
      </c>
      <c r="M213" s="217" t="s">
        <v>265</v>
      </c>
      <c r="N213" s="217" t="s">
        <v>269</v>
      </c>
      <c r="O213" s="220" t="s">
        <v>1297</v>
      </c>
      <c r="P213" s="190">
        <v>1700754.66</v>
      </c>
      <c r="Q213" s="190">
        <v>0</v>
      </c>
      <c r="R213" s="190">
        <v>0</v>
      </c>
      <c r="S213" s="190">
        <f t="shared" si="20"/>
        <v>1700754.66</v>
      </c>
      <c r="T213" s="190">
        <f t="shared" si="22"/>
        <v>4223.3788428110256</v>
      </c>
      <c r="U213" s="190">
        <v>9303.7703600695313</v>
      </c>
      <c r="V213" s="221">
        <f t="shared" si="23"/>
        <v>5080.3915172585057</v>
      </c>
      <c r="W213" s="221">
        <f t="shared" si="21"/>
        <v>7010.1556195679168</v>
      </c>
      <c r="X213" s="221">
        <v>0</v>
      </c>
      <c r="Y213" s="222">
        <v>0</v>
      </c>
      <c r="Z213" s="222">
        <v>0</v>
      </c>
      <c r="AA213" s="222">
        <v>0</v>
      </c>
      <c r="AB213" s="222">
        <v>0</v>
      </c>
      <c r="AC213" s="222">
        <v>0</v>
      </c>
      <c r="AD213" s="222">
        <v>0</v>
      </c>
      <c r="AE213" s="222">
        <v>0</v>
      </c>
      <c r="AF213" s="221">
        <v>0</v>
      </c>
      <c r="AG213" s="222">
        <v>0</v>
      </c>
      <c r="AH213" s="221">
        <v>0</v>
      </c>
      <c r="AI213" s="222">
        <v>379.48</v>
      </c>
      <c r="AJ213" s="221">
        <f>7439.1*AI213/I213</f>
        <v>7010.1556195679168</v>
      </c>
      <c r="AK213" s="222">
        <v>0</v>
      </c>
      <c r="AL213" s="222">
        <v>0</v>
      </c>
      <c r="AM213" s="222">
        <v>0</v>
      </c>
      <c r="AN213" s="222"/>
      <c r="AO213" s="222">
        <v>0</v>
      </c>
    </row>
    <row r="214" spans="1:41" s="223" customFormat="1" ht="36" customHeight="1" x14ac:dyDescent="0.25">
      <c r="A214" s="223">
        <v>1</v>
      </c>
      <c r="B214" s="225">
        <f>SUBTOTAL(103,$A$16:A214)</f>
        <v>196</v>
      </c>
      <c r="C214" s="215" t="s">
        <v>1171</v>
      </c>
      <c r="D214" s="217">
        <v>1958</v>
      </c>
      <c r="E214" s="217"/>
      <c r="F214" s="226" t="s">
        <v>267</v>
      </c>
      <c r="G214" s="217">
        <v>2</v>
      </c>
      <c r="H214" s="217" t="s">
        <v>304</v>
      </c>
      <c r="I214" s="190">
        <v>294.39999999999998</v>
      </c>
      <c r="J214" s="190">
        <v>294.39999999999998</v>
      </c>
      <c r="K214" s="190">
        <v>294.39999999999998</v>
      </c>
      <c r="L214" s="219">
        <v>10</v>
      </c>
      <c r="M214" s="217" t="s">
        <v>265</v>
      </c>
      <c r="N214" s="217" t="s">
        <v>269</v>
      </c>
      <c r="O214" s="220" t="s">
        <v>1297</v>
      </c>
      <c r="P214" s="190">
        <v>1402602.78</v>
      </c>
      <c r="Q214" s="190">
        <v>0</v>
      </c>
      <c r="R214" s="190">
        <v>0</v>
      </c>
      <c r="S214" s="190">
        <f t="shared" si="20"/>
        <v>1402602.78</v>
      </c>
      <c r="T214" s="190">
        <f t="shared" si="22"/>
        <v>4764.2757472826088</v>
      </c>
      <c r="U214" s="190">
        <v>9917.957710597826</v>
      </c>
      <c r="V214" s="221">
        <f t="shared" si="23"/>
        <v>5153.6819633152172</v>
      </c>
      <c r="W214" s="221">
        <f t="shared" si="21"/>
        <v>25045.516304347828</v>
      </c>
      <c r="X214" s="221">
        <v>0</v>
      </c>
      <c r="Y214" s="222">
        <v>0</v>
      </c>
      <c r="Z214" s="222">
        <v>0</v>
      </c>
      <c r="AA214" s="222">
        <v>0</v>
      </c>
      <c r="AB214" s="222">
        <v>0</v>
      </c>
      <c r="AC214" s="222">
        <v>3</v>
      </c>
      <c r="AD214" s="221">
        <f>2457800*AC214/I214</f>
        <v>25045.516304347828</v>
      </c>
      <c r="AE214" s="222">
        <v>0</v>
      </c>
      <c r="AF214" s="221">
        <v>0</v>
      </c>
      <c r="AG214" s="222">
        <v>0</v>
      </c>
      <c r="AH214" s="221">
        <v>0</v>
      </c>
      <c r="AI214" s="222">
        <v>0</v>
      </c>
      <c r="AJ214" s="221">
        <v>0</v>
      </c>
      <c r="AK214" s="222">
        <v>0</v>
      </c>
      <c r="AL214" s="222">
        <v>0</v>
      </c>
      <c r="AM214" s="222">
        <v>0</v>
      </c>
      <c r="AN214" s="222"/>
      <c r="AO214" s="222">
        <v>0</v>
      </c>
    </row>
    <row r="215" spans="1:41" s="223" customFormat="1" ht="36" customHeight="1" x14ac:dyDescent="0.25">
      <c r="A215" s="223">
        <v>1</v>
      </c>
      <c r="B215" s="225">
        <f>SUBTOTAL(103,$A$16:A215)</f>
        <v>197</v>
      </c>
      <c r="C215" s="215" t="s">
        <v>1172</v>
      </c>
      <c r="D215" s="217">
        <v>1993</v>
      </c>
      <c r="E215" s="217"/>
      <c r="F215" s="226" t="s">
        <v>318</v>
      </c>
      <c r="G215" s="217">
        <v>9</v>
      </c>
      <c r="H215" s="217" t="s">
        <v>308</v>
      </c>
      <c r="I215" s="190">
        <v>10873.5</v>
      </c>
      <c r="J215" s="190">
        <v>7723.2</v>
      </c>
      <c r="K215" s="190">
        <v>7661.3</v>
      </c>
      <c r="L215" s="219">
        <v>328</v>
      </c>
      <c r="M215" s="217" t="s">
        <v>265</v>
      </c>
      <c r="N215" s="217" t="s">
        <v>269</v>
      </c>
      <c r="O215" s="220" t="s">
        <v>1344</v>
      </c>
      <c r="P215" s="190">
        <v>6356844.0800000001</v>
      </c>
      <c r="Q215" s="190">
        <v>0</v>
      </c>
      <c r="R215" s="190">
        <v>0</v>
      </c>
      <c r="S215" s="190">
        <f t="shared" si="20"/>
        <v>6356844.0800000001</v>
      </c>
      <c r="T215" s="190">
        <f t="shared" si="22"/>
        <v>584.61802363544393</v>
      </c>
      <c r="U215" s="190">
        <v>904.14310019772847</v>
      </c>
      <c r="V215" s="221">
        <f t="shared" si="23"/>
        <v>319.52507656228454</v>
      </c>
      <c r="W215" s="221">
        <f t="shared" si="21"/>
        <v>344.56507325148294</v>
      </c>
      <c r="X215" s="221">
        <v>0</v>
      </c>
      <c r="Y215" s="222">
        <v>0</v>
      </c>
      <c r="Z215" s="222">
        <v>0</v>
      </c>
      <c r="AA215" s="222">
        <v>0</v>
      </c>
      <c r="AB215" s="222">
        <v>0</v>
      </c>
      <c r="AC215" s="222">
        <v>0</v>
      </c>
      <c r="AD215" s="222">
        <v>0</v>
      </c>
      <c r="AE215" s="222">
        <v>0</v>
      </c>
      <c r="AF215" s="221">
        <v>0</v>
      </c>
      <c r="AG215" s="222">
        <v>0</v>
      </c>
      <c r="AH215" s="221">
        <v>0</v>
      </c>
      <c r="AI215" s="222">
        <v>503.64</v>
      </c>
      <c r="AJ215" s="221">
        <f>7439.1*AI215/I215</f>
        <v>344.56507325148294</v>
      </c>
      <c r="AK215" s="222">
        <v>0</v>
      </c>
      <c r="AL215" s="222">
        <v>0</v>
      </c>
      <c r="AM215" s="222">
        <v>0</v>
      </c>
      <c r="AN215" s="222"/>
      <c r="AO215" s="222">
        <v>0</v>
      </c>
    </row>
    <row r="216" spans="1:41" s="223" customFormat="1" ht="36" customHeight="1" x14ac:dyDescent="0.25">
      <c r="A216" s="223">
        <v>1</v>
      </c>
      <c r="B216" s="225">
        <f>SUBTOTAL(103,$A$16:A216)</f>
        <v>198</v>
      </c>
      <c r="C216" s="215" t="s">
        <v>1276</v>
      </c>
      <c r="D216" s="217">
        <v>1931</v>
      </c>
      <c r="E216" s="217"/>
      <c r="F216" s="226" t="s">
        <v>267</v>
      </c>
      <c r="G216" s="217">
        <v>4</v>
      </c>
      <c r="H216" s="217" t="s">
        <v>371</v>
      </c>
      <c r="I216" s="190">
        <v>4408.1000000000004</v>
      </c>
      <c r="J216" s="190">
        <v>4408.1000000000004</v>
      </c>
      <c r="K216" s="190">
        <v>2703.21</v>
      </c>
      <c r="L216" s="219">
        <v>109</v>
      </c>
      <c r="M216" s="217" t="s">
        <v>265</v>
      </c>
      <c r="N216" s="217" t="s">
        <v>269</v>
      </c>
      <c r="O216" s="220" t="s">
        <v>1353</v>
      </c>
      <c r="P216" s="190">
        <v>172775.04000000001</v>
      </c>
      <c r="Q216" s="190">
        <v>0</v>
      </c>
      <c r="R216" s="190">
        <v>0</v>
      </c>
      <c r="S216" s="190">
        <f t="shared" si="20"/>
        <v>172775.04000000001</v>
      </c>
      <c r="T216" s="190">
        <f t="shared" si="22"/>
        <v>39.19490029718019</v>
      </c>
      <c r="U216" s="190">
        <v>39.19490029718019</v>
      </c>
      <c r="V216" s="221">
        <f t="shared" si="23"/>
        <v>0</v>
      </c>
      <c r="W216" s="221">
        <f t="shared" si="21"/>
        <v>690.10938113926636</v>
      </c>
      <c r="X216" s="221">
        <v>0</v>
      </c>
      <c r="Y216" s="222">
        <v>0</v>
      </c>
      <c r="Z216" s="222">
        <v>0</v>
      </c>
      <c r="AA216" s="222">
        <v>0</v>
      </c>
      <c r="AB216" s="222">
        <v>0</v>
      </c>
      <c r="AC216" s="222">
        <v>0</v>
      </c>
      <c r="AD216" s="222">
        <v>0</v>
      </c>
      <c r="AE216" s="222">
        <v>0</v>
      </c>
      <c r="AF216" s="221">
        <v>0</v>
      </c>
      <c r="AG216" s="222">
        <v>0</v>
      </c>
      <c r="AH216" s="221">
        <v>0</v>
      </c>
      <c r="AI216" s="222">
        <v>408.93</v>
      </c>
      <c r="AJ216" s="221">
        <f>7439.1*AI216/I216</f>
        <v>690.10938113926636</v>
      </c>
      <c r="AK216" s="222">
        <v>0</v>
      </c>
      <c r="AL216" s="222">
        <v>0</v>
      </c>
      <c r="AM216" s="222">
        <v>0</v>
      </c>
      <c r="AN216" s="222"/>
      <c r="AO216" s="222">
        <v>0</v>
      </c>
    </row>
    <row r="217" spans="1:41" s="223" customFormat="1" ht="36" customHeight="1" x14ac:dyDescent="0.25">
      <c r="A217" s="223">
        <v>1</v>
      </c>
      <c r="B217" s="225">
        <f>SUBTOTAL(103,$A$16:A217)</f>
        <v>199</v>
      </c>
      <c r="C217" s="215" t="s">
        <v>1368</v>
      </c>
      <c r="D217" s="217">
        <v>1986</v>
      </c>
      <c r="E217" s="217"/>
      <c r="F217" s="226" t="s">
        <v>267</v>
      </c>
      <c r="G217" s="217">
        <v>9</v>
      </c>
      <c r="H217" s="217" t="s">
        <v>357</v>
      </c>
      <c r="I217" s="190">
        <v>22008.74</v>
      </c>
      <c r="J217" s="190">
        <v>20090.2</v>
      </c>
      <c r="K217" s="190">
        <v>16765.8</v>
      </c>
      <c r="L217" s="219">
        <v>668</v>
      </c>
      <c r="M217" s="217" t="s">
        <v>265</v>
      </c>
      <c r="N217" s="217" t="s">
        <v>341</v>
      </c>
      <c r="O217" s="220" t="s">
        <v>1389</v>
      </c>
      <c r="P217" s="190">
        <v>13083489.59</v>
      </c>
      <c r="Q217" s="190">
        <v>0</v>
      </c>
      <c r="R217" s="190">
        <v>0</v>
      </c>
      <c r="S217" s="190">
        <f t="shared" si="20"/>
        <v>13083489.59</v>
      </c>
      <c r="T217" s="190">
        <f t="shared" si="22"/>
        <v>594.46790638628102</v>
      </c>
      <c r="U217" s="190">
        <v>1005.0643517075488</v>
      </c>
      <c r="V217" s="221">
        <f t="shared" si="23"/>
        <v>410.59644532126777</v>
      </c>
      <c r="W217" s="221">
        <f t="shared" si="21"/>
        <v>446.69526742557724</v>
      </c>
      <c r="X217" s="221">
        <v>0</v>
      </c>
      <c r="Y217" s="222">
        <v>0</v>
      </c>
      <c r="Z217" s="222">
        <v>0</v>
      </c>
      <c r="AA217" s="222">
        <v>0</v>
      </c>
      <c r="AB217" s="222">
        <v>0</v>
      </c>
      <c r="AC217" s="222">
        <v>4</v>
      </c>
      <c r="AD217" s="221">
        <f>2457800*AC217/I217</f>
        <v>446.69526742557724</v>
      </c>
      <c r="AE217" s="222">
        <v>0</v>
      </c>
      <c r="AF217" s="221">
        <v>0</v>
      </c>
      <c r="AG217" s="222">
        <v>0</v>
      </c>
      <c r="AH217" s="221">
        <v>0</v>
      </c>
      <c r="AI217" s="222">
        <v>0</v>
      </c>
      <c r="AJ217" s="221">
        <v>0</v>
      </c>
      <c r="AK217" s="222">
        <v>0</v>
      </c>
      <c r="AL217" s="222">
        <v>0</v>
      </c>
      <c r="AM217" s="222">
        <v>0</v>
      </c>
      <c r="AN217" s="222"/>
      <c r="AO217" s="222">
        <v>0</v>
      </c>
    </row>
    <row r="218" spans="1:41" s="223" customFormat="1" ht="36" customHeight="1" x14ac:dyDescent="0.25">
      <c r="A218" s="223">
        <v>1</v>
      </c>
      <c r="B218" s="225">
        <f>SUBTOTAL(103,$A$16:A218)</f>
        <v>200</v>
      </c>
      <c r="C218" s="215" t="s">
        <v>1384</v>
      </c>
      <c r="D218" s="217">
        <v>1986</v>
      </c>
      <c r="E218" s="217"/>
      <c r="F218" s="226" t="s">
        <v>318</v>
      </c>
      <c r="G218" s="217">
        <v>9</v>
      </c>
      <c r="H218" s="217" t="s">
        <v>312</v>
      </c>
      <c r="I218" s="190">
        <v>5847.8</v>
      </c>
      <c r="J218" s="190">
        <v>5847.8</v>
      </c>
      <c r="K218" s="190">
        <v>5847.8</v>
      </c>
      <c r="L218" s="219">
        <v>220</v>
      </c>
      <c r="M218" s="217" t="s">
        <v>265</v>
      </c>
      <c r="N218" s="217" t="s">
        <v>269</v>
      </c>
      <c r="O218" s="220" t="s">
        <v>1390</v>
      </c>
      <c r="P218" s="190">
        <v>5478127.7400000002</v>
      </c>
      <c r="Q218" s="190">
        <v>0</v>
      </c>
      <c r="R218" s="190">
        <v>0</v>
      </c>
      <c r="S218" s="190">
        <f t="shared" si="20"/>
        <v>5478127.7400000002</v>
      </c>
      <c r="T218" s="190">
        <f t="shared" si="22"/>
        <v>936.78438729094705</v>
      </c>
      <c r="U218" s="190">
        <v>1260.8844351722014</v>
      </c>
      <c r="V218" s="221">
        <f t="shared" si="23"/>
        <v>324.10004788125434</v>
      </c>
      <c r="W218" s="221">
        <f t="shared" si="21"/>
        <v>1652.3754948698656</v>
      </c>
      <c r="X218" s="221">
        <v>0</v>
      </c>
      <c r="Y218" s="222">
        <v>0</v>
      </c>
      <c r="Z218" s="222">
        <v>0</v>
      </c>
      <c r="AA218" s="222">
        <v>0</v>
      </c>
      <c r="AB218" s="222">
        <v>0</v>
      </c>
      <c r="AC218" s="222">
        <v>0</v>
      </c>
      <c r="AD218" s="222">
        <v>0</v>
      </c>
      <c r="AE218" s="222">
        <v>1548.79</v>
      </c>
      <c r="AF218" s="221">
        <f>6238.91*AE218/I218</f>
        <v>1652.3754948698656</v>
      </c>
      <c r="AG218" s="222">
        <v>0</v>
      </c>
      <c r="AH218" s="221">
        <v>0</v>
      </c>
      <c r="AI218" s="222">
        <v>0</v>
      </c>
      <c r="AJ218" s="221">
        <v>0</v>
      </c>
      <c r="AK218" s="222">
        <v>0</v>
      </c>
      <c r="AL218" s="222">
        <v>0</v>
      </c>
      <c r="AM218" s="222">
        <v>0</v>
      </c>
      <c r="AN218" s="222"/>
      <c r="AO218" s="222">
        <v>0</v>
      </c>
    </row>
    <row r="219" spans="1:41" s="223" customFormat="1" ht="36" customHeight="1" x14ac:dyDescent="0.25">
      <c r="A219" s="223">
        <v>1</v>
      </c>
      <c r="B219" s="225">
        <f>SUBTOTAL(103,$A$16:A219)</f>
        <v>201</v>
      </c>
      <c r="C219" s="215" t="s">
        <v>1385</v>
      </c>
      <c r="D219" s="217">
        <v>1986</v>
      </c>
      <c r="E219" s="217"/>
      <c r="F219" s="226" t="s">
        <v>318</v>
      </c>
      <c r="G219" s="217">
        <v>9</v>
      </c>
      <c r="H219" s="217" t="s">
        <v>308</v>
      </c>
      <c r="I219" s="190">
        <v>8861.6</v>
      </c>
      <c r="J219" s="190">
        <v>7954.2</v>
      </c>
      <c r="K219" s="190">
        <v>7894.7</v>
      </c>
      <c r="L219" s="219">
        <v>295</v>
      </c>
      <c r="M219" s="217" t="s">
        <v>265</v>
      </c>
      <c r="N219" s="217" t="s">
        <v>298</v>
      </c>
      <c r="O219" s="220" t="s">
        <v>1391</v>
      </c>
      <c r="P219" s="190">
        <v>7310851.2000000002</v>
      </c>
      <c r="Q219" s="190">
        <v>0</v>
      </c>
      <c r="R219" s="190">
        <v>0</v>
      </c>
      <c r="S219" s="190">
        <f t="shared" si="20"/>
        <v>7310851.2000000002</v>
      </c>
      <c r="T219" s="190">
        <f t="shared" si="22"/>
        <v>825.00352080888331</v>
      </c>
      <c r="U219" s="190">
        <v>1109.4159068339802</v>
      </c>
      <c r="V219" s="221">
        <f t="shared" si="23"/>
        <v>284.41238602509691</v>
      </c>
      <c r="W219" s="221">
        <f t="shared" si="21"/>
        <v>2496.1857903764558</v>
      </c>
      <c r="X219" s="221">
        <v>0</v>
      </c>
      <c r="Y219" s="222">
        <v>0</v>
      </c>
      <c r="Z219" s="222">
        <v>0</v>
      </c>
      <c r="AA219" s="222">
        <v>0</v>
      </c>
      <c r="AB219" s="222">
        <v>0</v>
      </c>
      <c r="AC219" s="222">
        <v>9</v>
      </c>
      <c r="AD219" s="221">
        <f t="shared" ref="AD219:AD227" si="24">2457800*AC219/I219</f>
        <v>2496.1857903764558</v>
      </c>
      <c r="AE219" s="222">
        <v>0</v>
      </c>
      <c r="AF219" s="221">
        <v>0</v>
      </c>
      <c r="AG219" s="222">
        <v>0</v>
      </c>
      <c r="AH219" s="221">
        <v>0</v>
      </c>
      <c r="AI219" s="222">
        <v>0</v>
      </c>
      <c r="AJ219" s="221">
        <v>0</v>
      </c>
      <c r="AK219" s="222">
        <v>0</v>
      </c>
      <c r="AL219" s="222">
        <v>0</v>
      </c>
      <c r="AM219" s="222">
        <v>0</v>
      </c>
      <c r="AN219" s="222"/>
      <c r="AO219" s="222">
        <v>0</v>
      </c>
    </row>
    <row r="220" spans="1:41" s="223" customFormat="1" ht="36" customHeight="1" x14ac:dyDescent="0.25">
      <c r="A220" s="223">
        <v>1</v>
      </c>
      <c r="B220" s="225">
        <f>SUBTOTAL(103,$A$16:A220)</f>
        <v>202</v>
      </c>
      <c r="C220" s="215" t="s">
        <v>1386</v>
      </c>
      <c r="D220" s="217">
        <v>1988</v>
      </c>
      <c r="E220" s="217"/>
      <c r="F220" s="226" t="s">
        <v>318</v>
      </c>
      <c r="G220" s="217">
        <v>9</v>
      </c>
      <c r="H220" s="217" t="s">
        <v>312</v>
      </c>
      <c r="I220" s="190">
        <v>8029.8</v>
      </c>
      <c r="J220" s="190">
        <v>5819.3</v>
      </c>
      <c r="K220" s="190">
        <v>5819.3</v>
      </c>
      <c r="L220" s="219">
        <v>281</v>
      </c>
      <c r="M220" s="217" t="s">
        <v>265</v>
      </c>
      <c r="N220" s="217" t="s">
        <v>269</v>
      </c>
      <c r="O220" s="220" t="s">
        <v>1392</v>
      </c>
      <c r="P220" s="190">
        <v>5327196</v>
      </c>
      <c r="Q220" s="190">
        <v>0</v>
      </c>
      <c r="R220" s="190">
        <v>0</v>
      </c>
      <c r="S220" s="190">
        <f t="shared" si="20"/>
        <v>5327196</v>
      </c>
      <c r="T220" s="190">
        <f t="shared" si="22"/>
        <v>663.42822984383167</v>
      </c>
      <c r="U220" s="190">
        <v>918.25450198012402</v>
      </c>
      <c r="V220" s="221">
        <f t="shared" si="23"/>
        <v>254.82627213629235</v>
      </c>
      <c r="W220" s="221">
        <f t="shared" si="21"/>
        <v>918.25450198012402</v>
      </c>
      <c r="X220" s="221">
        <v>0</v>
      </c>
      <c r="Y220" s="222">
        <v>0</v>
      </c>
      <c r="Z220" s="222">
        <v>0</v>
      </c>
      <c r="AA220" s="222">
        <v>0</v>
      </c>
      <c r="AB220" s="222">
        <v>0</v>
      </c>
      <c r="AC220" s="222">
        <v>3</v>
      </c>
      <c r="AD220" s="221">
        <f t="shared" si="24"/>
        <v>918.25450198012402</v>
      </c>
      <c r="AE220" s="222">
        <v>0</v>
      </c>
      <c r="AF220" s="221">
        <v>0</v>
      </c>
      <c r="AG220" s="222">
        <v>0</v>
      </c>
      <c r="AH220" s="221">
        <v>0</v>
      </c>
      <c r="AI220" s="222">
        <v>0</v>
      </c>
      <c r="AJ220" s="221">
        <v>0</v>
      </c>
      <c r="AK220" s="222">
        <v>0</v>
      </c>
      <c r="AL220" s="222">
        <v>0</v>
      </c>
      <c r="AM220" s="222">
        <v>0</v>
      </c>
      <c r="AN220" s="222"/>
      <c r="AO220" s="222">
        <v>0</v>
      </c>
    </row>
    <row r="221" spans="1:41" s="223" customFormat="1" ht="36" customHeight="1" x14ac:dyDescent="0.25">
      <c r="A221" s="223">
        <v>1</v>
      </c>
      <c r="B221" s="225">
        <f>SUBTOTAL(103,$A$16:A221)</f>
        <v>203</v>
      </c>
      <c r="C221" s="215" t="s">
        <v>1387</v>
      </c>
      <c r="D221" s="217">
        <v>1986</v>
      </c>
      <c r="E221" s="217"/>
      <c r="F221" s="226" t="s">
        <v>318</v>
      </c>
      <c r="G221" s="217">
        <v>9</v>
      </c>
      <c r="H221" s="217" t="s">
        <v>308</v>
      </c>
      <c r="I221" s="190">
        <v>8130.5</v>
      </c>
      <c r="J221" s="190">
        <v>7378.4</v>
      </c>
      <c r="K221" s="190">
        <v>6959.7</v>
      </c>
      <c r="L221" s="219">
        <v>323</v>
      </c>
      <c r="M221" s="217" t="s">
        <v>265</v>
      </c>
      <c r="N221" s="217" t="s">
        <v>269</v>
      </c>
      <c r="O221" s="220" t="s">
        <v>802</v>
      </c>
      <c r="P221" s="190">
        <v>7367915.9199999999</v>
      </c>
      <c r="Q221" s="190">
        <v>0</v>
      </c>
      <c r="R221" s="190">
        <v>0</v>
      </c>
      <c r="S221" s="190">
        <f t="shared" si="20"/>
        <v>7367915.9199999999</v>
      </c>
      <c r="T221" s="190">
        <f t="shared" si="22"/>
        <v>906.20698850009228</v>
      </c>
      <c r="U221" s="190">
        <v>1209.1753274706352</v>
      </c>
      <c r="V221" s="221">
        <f t="shared" si="23"/>
        <v>302.96833897054296</v>
      </c>
      <c r="W221" s="221">
        <f t="shared" si="21"/>
        <v>1209.1753274706352</v>
      </c>
      <c r="X221" s="221">
        <v>0</v>
      </c>
      <c r="Y221" s="222">
        <v>0</v>
      </c>
      <c r="Z221" s="222">
        <v>0</v>
      </c>
      <c r="AA221" s="222">
        <v>0</v>
      </c>
      <c r="AB221" s="222">
        <v>0</v>
      </c>
      <c r="AC221" s="222">
        <v>4</v>
      </c>
      <c r="AD221" s="221">
        <f t="shared" si="24"/>
        <v>1209.1753274706352</v>
      </c>
      <c r="AE221" s="222">
        <v>0</v>
      </c>
      <c r="AF221" s="221">
        <v>0</v>
      </c>
      <c r="AG221" s="222">
        <v>0</v>
      </c>
      <c r="AH221" s="221">
        <v>0</v>
      </c>
      <c r="AI221" s="222">
        <v>0</v>
      </c>
      <c r="AJ221" s="221">
        <v>0</v>
      </c>
      <c r="AK221" s="222">
        <v>0</v>
      </c>
      <c r="AL221" s="222">
        <v>0</v>
      </c>
      <c r="AM221" s="222">
        <v>0</v>
      </c>
      <c r="AN221" s="222"/>
      <c r="AO221" s="222">
        <v>0</v>
      </c>
    </row>
    <row r="222" spans="1:41" s="223" customFormat="1" ht="36" customHeight="1" x14ac:dyDescent="0.25">
      <c r="A222" s="223">
        <v>1</v>
      </c>
      <c r="B222" s="225">
        <f>SUBTOTAL(103,$A$16:A222)</f>
        <v>204</v>
      </c>
      <c r="C222" s="215" t="s">
        <v>1388</v>
      </c>
      <c r="D222" s="217">
        <v>1987</v>
      </c>
      <c r="E222" s="217"/>
      <c r="F222" s="226" t="s">
        <v>267</v>
      </c>
      <c r="G222" s="217">
        <v>9</v>
      </c>
      <c r="H222" s="217" t="s">
        <v>312</v>
      </c>
      <c r="I222" s="190">
        <v>7146.1</v>
      </c>
      <c r="J222" s="190">
        <v>3870.6</v>
      </c>
      <c r="K222" s="190">
        <v>3226.3</v>
      </c>
      <c r="L222" s="219">
        <v>206</v>
      </c>
      <c r="M222" s="217" t="s">
        <v>265</v>
      </c>
      <c r="N222" s="217" t="s">
        <v>269</v>
      </c>
      <c r="O222" s="220" t="s">
        <v>805</v>
      </c>
      <c r="P222" s="190">
        <v>5462413.6200000001</v>
      </c>
      <c r="Q222" s="190">
        <v>0</v>
      </c>
      <c r="R222" s="190">
        <v>0</v>
      </c>
      <c r="S222" s="190">
        <f t="shared" si="20"/>
        <v>5462413.6200000001</v>
      </c>
      <c r="T222" s="190">
        <f t="shared" si="22"/>
        <v>764.39087334350199</v>
      </c>
      <c r="U222" s="190">
        <v>1031.8075593680469</v>
      </c>
      <c r="V222" s="221">
        <f t="shared" si="23"/>
        <v>267.4166860245449</v>
      </c>
      <c r="W222" s="221">
        <f t="shared" si="21"/>
        <v>1031.8075593680469</v>
      </c>
      <c r="X222" s="221">
        <v>0</v>
      </c>
      <c r="Y222" s="222">
        <v>0</v>
      </c>
      <c r="Z222" s="222">
        <v>0</v>
      </c>
      <c r="AA222" s="222">
        <v>0</v>
      </c>
      <c r="AB222" s="222">
        <v>0</v>
      </c>
      <c r="AC222" s="222">
        <v>3</v>
      </c>
      <c r="AD222" s="221">
        <f t="shared" si="24"/>
        <v>1031.8075593680469</v>
      </c>
      <c r="AE222" s="222">
        <v>0</v>
      </c>
      <c r="AF222" s="221">
        <v>0</v>
      </c>
      <c r="AG222" s="222">
        <v>0</v>
      </c>
      <c r="AH222" s="221">
        <v>0</v>
      </c>
      <c r="AI222" s="222">
        <v>0</v>
      </c>
      <c r="AJ222" s="221">
        <v>0</v>
      </c>
      <c r="AK222" s="222">
        <v>0</v>
      </c>
      <c r="AL222" s="222">
        <v>0</v>
      </c>
      <c r="AM222" s="222">
        <v>0</v>
      </c>
      <c r="AN222" s="222"/>
      <c r="AO222" s="222">
        <v>0</v>
      </c>
    </row>
    <row r="223" spans="1:41" s="223" customFormat="1" ht="36" customHeight="1" x14ac:dyDescent="0.25">
      <c r="A223" s="223">
        <v>1</v>
      </c>
      <c r="B223" s="225">
        <f>SUBTOTAL(103,$A$16:A223)</f>
        <v>205</v>
      </c>
      <c r="C223" s="215" t="s">
        <v>1532</v>
      </c>
      <c r="D223" s="217">
        <v>1986</v>
      </c>
      <c r="E223" s="217"/>
      <c r="F223" s="226" t="s">
        <v>267</v>
      </c>
      <c r="G223" s="217">
        <v>9</v>
      </c>
      <c r="H223" s="217" t="s">
        <v>304</v>
      </c>
      <c r="I223" s="190">
        <v>3555.69</v>
      </c>
      <c r="J223" s="190">
        <v>3555.69</v>
      </c>
      <c r="K223" s="190">
        <v>3353.49</v>
      </c>
      <c r="L223" s="219">
        <v>294</v>
      </c>
      <c r="M223" s="217" t="s">
        <v>265</v>
      </c>
      <c r="N223" s="217" t="s">
        <v>269</v>
      </c>
      <c r="O223" s="220" t="s">
        <v>1390</v>
      </c>
      <c r="P223" s="190">
        <v>1452147.29</v>
      </c>
      <c r="Q223" s="190">
        <v>0</v>
      </c>
      <c r="R223" s="190">
        <v>0</v>
      </c>
      <c r="S223" s="190">
        <f t="shared" si="20"/>
        <v>1452147.29</v>
      </c>
      <c r="T223" s="190">
        <f t="shared" si="22"/>
        <v>408.40098265034356</v>
      </c>
      <c r="U223" s="190">
        <v>691.23011286135738</v>
      </c>
      <c r="V223" s="221">
        <f t="shared" si="23"/>
        <v>282.82913021101382</v>
      </c>
      <c r="W223" s="221">
        <f t="shared" si="21"/>
        <v>2764.9204514454295</v>
      </c>
      <c r="X223" s="221">
        <v>0</v>
      </c>
      <c r="Y223" s="222">
        <v>0</v>
      </c>
      <c r="Z223" s="222">
        <v>0</v>
      </c>
      <c r="AA223" s="222">
        <v>0</v>
      </c>
      <c r="AB223" s="222">
        <v>0</v>
      </c>
      <c r="AC223" s="222">
        <v>4</v>
      </c>
      <c r="AD223" s="221">
        <f t="shared" si="24"/>
        <v>2764.9204514454295</v>
      </c>
      <c r="AE223" s="222">
        <v>0</v>
      </c>
      <c r="AF223" s="221">
        <v>0</v>
      </c>
      <c r="AG223" s="222">
        <v>0</v>
      </c>
      <c r="AH223" s="221">
        <v>0</v>
      </c>
      <c r="AI223" s="222">
        <v>0</v>
      </c>
      <c r="AJ223" s="221">
        <v>0</v>
      </c>
      <c r="AK223" s="222">
        <v>0</v>
      </c>
      <c r="AL223" s="222">
        <v>0</v>
      </c>
      <c r="AM223" s="222">
        <v>0</v>
      </c>
      <c r="AN223" s="222"/>
      <c r="AO223" s="222">
        <v>0</v>
      </c>
    </row>
    <row r="224" spans="1:41" s="223" customFormat="1" ht="36" customHeight="1" x14ac:dyDescent="0.25">
      <c r="A224" s="223">
        <v>1</v>
      </c>
      <c r="B224" s="225">
        <f>SUBTOTAL(103,$A$16:A224)</f>
        <v>206</v>
      </c>
      <c r="C224" s="215" t="s">
        <v>1533</v>
      </c>
      <c r="D224" s="217">
        <v>1984</v>
      </c>
      <c r="E224" s="217"/>
      <c r="F224" s="226" t="s">
        <v>318</v>
      </c>
      <c r="G224" s="217">
        <v>9</v>
      </c>
      <c r="H224" s="217" t="s">
        <v>303</v>
      </c>
      <c r="I224" s="190">
        <v>3925.2</v>
      </c>
      <c r="J224" s="190">
        <v>3897.5</v>
      </c>
      <c r="K224" s="190">
        <v>3897.5</v>
      </c>
      <c r="L224" s="219">
        <v>156</v>
      </c>
      <c r="M224" s="217" t="s">
        <v>265</v>
      </c>
      <c r="N224" s="217" t="s">
        <v>269</v>
      </c>
      <c r="O224" s="220" t="s">
        <v>1390</v>
      </c>
      <c r="P224" s="190">
        <v>2915220.6</v>
      </c>
      <c r="Q224" s="190">
        <v>0</v>
      </c>
      <c r="R224" s="190">
        <v>0</v>
      </c>
      <c r="S224" s="190">
        <f t="shared" si="20"/>
        <v>2915220.6</v>
      </c>
      <c r="T224" s="190">
        <f t="shared" si="22"/>
        <v>742.69351880158979</v>
      </c>
      <c r="U224" s="190">
        <v>1252.3183532049322</v>
      </c>
      <c r="V224" s="221">
        <f t="shared" si="23"/>
        <v>509.62483440334245</v>
      </c>
      <c r="W224" s="221">
        <f t="shared" si="21"/>
        <v>1878.4775298073985</v>
      </c>
      <c r="X224" s="221">
        <v>0</v>
      </c>
      <c r="Y224" s="222">
        <v>0</v>
      </c>
      <c r="Z224" s="222">
        <v>0</v>
      </c>
      <c r="AA224" s="222">
        <v>0</v>
      </c>
      <c r="AB224" s="222">
        <v>0</v>
      </c>
      <c r="AC224" s="222">
        <v>3</v>
      </c>
      <c r="AD224" s="221">
        <f t="shared" si="24"/>
        <v>1878.4775298073985</v>
      </c>
      <c r="AE224" s="222">
        <v>0</v>
      </c>
      <c r="AF224" s="221">
        <v>0</v>
      </c>
      <c r="AG224" s="222">
        <v>0</v>
      </c>
      <c r="AH224" s="221">
        <v>0</v>
      </c>
      <c r="AI224" s="222">
        <v>0</v>
      </c>
      <c r="AJ224" s="221">
        <v>0</v>
      </c>
      <c r="AK224" s="222">
        <v>0</v>
      </c>
      <c r="AL224" s="222">
        <v>0</v>
      </c>
      <c r="AM224" s="222">
        <v>0</v>
      </c>
      <c r="AN224" s="222"/>
      <c r="AO224" s="222">
        <v>0</v>
      </c>
    </row>
    <row r="225" spans="1:41" s="223" customFormat="1" ht="36" customHeight="1" x14ac:dyDescent="0.25">
      <c r="A225" s="223">
        <v>1</v>
      </c>
      <c r="B225" s="225">
        <f>SUBTOTAL(103,$A$16:A225)</f>
        <v>207</v>
      </c>
      <c r="C225" s="215" t="s">
        <v>1534</v>
      </c>
      <c r="D225" s="217">
        <v>1984</v>
      </c>
      <c r="E225" s="217"/>
      <c r="F225" s="226" t="s">
        <v>318</v>
      </c>
      <c r="G225" s="217">
        <v>9</v>
      </c>
      <c r="H225" s="217" t="s">
        <v>312</v>
      </c>
      <c r="I225" s="190">
        <v>6500.5</v>
      </c>
      <c r="J225" s="190">
        <v>5846.6</v>
      </c>
      <c r="K225" s="190">
        <v>5846.6</v>
      </c>
      <c r="L225" s="219">
        <v>233</v>
      </c>
      <c r="M225" s="217" t="s">
        <v>265</v>
      </c>
      <c r="N225" s="217" t="s">
        <v>269</v>
      </c>
      <c r="O225" s="220" t="s">
        <v>1573</v>
      </c>
      <c r="P225" s="190">
        <v>4354761.09</v>
      </c>
      <c r="Q225" s="190">
        <v>0</v>
      </c>
      <c r="R225" s="190">
        <v>0</v>
      </c>
      <c r="S225" s="190">
        <f>P225-R225-Q225</f>
        <v>4354761.09</v>
      </c>
      <c r="T225" s="190">
        <f t="shared" si="22"/>
        <v>669.911712945158</v>
      </c>
      <c r="U225" s="190">
        <v>1134.2819783093607</v>
      </c>
      <c r="V225" s="221">
        <f t="shared" si="23"/>
        <v>464.37026536420274</v>
      </c>
      <c r="W225" s="221">
        <f t="shared" si="21"/>
        <v>378.09399276978695</v>
      </c>
      <c r="X225" s="221">
        <v>0</v>
      </c>
      <c r="Y225" s="222">
        <v>0</v>
      </c>
      <c r="Z225" s="222">
        <v>0</v>
      </c>
      <c r="AA225" s="222">
        <v>0</v>
      </c>
      <c r="AB225" s="222">
        <v>0</v>
      </c>
      <c r="AC225" s="222">
        <v>1</v>
      </c>
      <c r="AD225" s="221">
        <f t="shared" si="24"/>
        <v>378.09399276978695</v>
      </c>
      <c r="AE225" s="222">
        <v>0</v>
      </c>
      <c r="AF225" s="221">
        <v>0</v>
      </c>
      <c r="AG225" s="222">
        <v>0</v>
      </c>
      <c r="AH225" s="221">
        <v>0</v>
      </c>
      <c r="AI225" s="222">
        <v>0</v>
      </c>
      <c r="AJ225" s="221">
        <v>0</v>
      </c>
      <c r="AK225" s="222">
        <v>0</v>
      </c>
      <c r="AL225" s="222">
        <v>0</v>
      </c>
      <c r="AM225" s="222">
        <v>0</v>
      </c>
      <c r="AN225" s="222"/>
      <c r="AO225" s="222">
        <v>0</v>
      </c>
    </row>
    <row r="226" spans="1:41" s="223" customFormat="1" ht="36" customHeight="1" x14ac:dyDescent="0.25">
      <c r="A226" s="223">
        <v>1</v>
      </c>
      <c r="B226" s="225">
        <f>SUBTOTAL(103,$A$16:A226)</f>
        <v>208</v>
      </c>
      <c r="C226" s="215" t="s">
        <v>774</v>
      </c>
      <c r="D226" s="217">
        <v>1992</v>
      </c>
      <c r="E226" s="217"/>
      <c r="F226" s="226" t="s">
        <v>318</v>
      </c>
      <c r="G226" s="217">
        <v>9</v>
      </c>
      <c r="H226" s="217" t="s">
        <v>312</v>
      </c>
      <c r="I226" s="190">
        <v>8073.1</v>
      </c>
      <c r="J226" s="190">
        <v>5829</v>
      </c>
      <c r="K226" s="190">
        <v>5829</v>
      </c>
      <c r="L226" s="219">
        <v>241</v>
      </c>
      <c r="M226" s="217" t="s">
        <v>265</v>
      </c>
      <c r="N226" s="217" t="s">
        <v>269</v>
      </c>
      <c r="O226" s="220" t="s">
        <v>801</v>
      </c>
      <c r="P226" s="190">
        <v>4557762.04</v>
      </c>
      <c r="Q226" s="190">
        <v>0</v>
      </c>
      <c r="R226" s="190">
        <v>0</v>
      </c>
      <c r="S226" s="190">
        <f>P226-R226-Q226</f>
        <v>4557762.04</v>
      </c>
      <c r="T226" s="190">
        <f t="shared" si="22"/>
        <v>564.56157362103772</v>
      </c>
      <c r="U226" s="190">
        <v>913.32945213115158</v>
      </c>
      <c r="V226" s="221">
        <f t="shared" si="23"/>
        <v>348.76787851011386</v>
      </c>
      <c r="W226" s="221">
        <f t="shared" si="21"/>
        <v>608.88630142076772</v>
      </c>
      <c r="X226" s="221">
        <v>0</v>
      </c>
      <c r="Y226" s="222">
        <v>0</v>
      </c>
      <c r="Z226" s="222">
        <v>0</v>
      </c>
      <c r="AA226" s="222">
        <v>0</v>
      </c>
      <c r="AB226" s="222">
        <v>0</v>
      </c>
      <c r="AC226" s="222">
        <v>2</v>
      </c>
      <c r="AD226" s="221">
        <f t="shared" si="24"/>
        <v>608.88630142076772</v>
      </c>
      <c r="AE226" s="222">
        <v>0</v>
      </c>
      <c r="AF226" s="221">
        <v>0</v>
      </c>
      <c r="AG226" s="222">
        <v>0</v>
      </c>
      <c r="AH226" s="221">
        <v>0</v>
      </c>
      <c r="AI226" s="222">
        <v>0</v>
      </c>
      <c r="AJ226" s="221">
        <v>0</v>
      </c>
      <c r="AK226" s="222">
        <v>0</v>
      </c>
      <c r="AL226" s="222">
        <v>0</v>
      </c>
      <c r="AM226" s="222">
        <v>0</v>
      </c>
      <c r="AN226" s="222"/>
      <c r="AO226" s="222">
        <v>0</v>
      </c>
    </row>
    <row r="227" spans="1:41" s="223" customFormat="1" ht="36" customHeight="1" x14ac:dyDescent="0.25">
      <c r="A227" s="223">
        <v>1</v>
      </c>
      <c r="B227" s="225">
        <f>SUBTOTAL(103,$A$16:A227)</f>
        <v>209</v>
      </c>
      <c r="C227" s="215" t="s">
        <v>777</v>
      </c>
      <c r="D227" s="217">
        <v>1994</v>
      </c>
      <c r="E227" s="217"/>
      <c r="F227" s="226" t="s">
        <v>318</v>
      </c>
      <c r="G227" s="217">
        <v>9</v>
      </c>
      <c r="H227" s="217" t="s">
        <v>303</v>
      </c>
      <c r="I227" s="190">
        <v>4401.8</v>
      </c>
      <c r="J227" s="190">
        <v>3886.2</v>
      </c>
      <c r="K227" s="190">
        <v>3886.2</v>
      </c>
      <c r="L227" s="219">
        <v>159</v>
      </c>
      <c r="M227" s="217" t="s">
        <v>265</v>
      </c>
      <c r="N227" s="217" t="s">
        <v>269</v>
      </c>
      <c r="O227" s="220" t="s">
        <v>803</v>
      </c>
      <c r="P227" s="190">
        <v>3054448.7</v>
      </c>
      <c r="Q227" s="190">
        <v>0</v>
      </c>
      <c r="R227" s="190">
        <v>0</v>
      </c>
      <c r="S227" s="190">
        <f>P227-R227-Q227</f>
        <v>3054448.7</v>
      </c>
      <c r="T227" s="190">
        <f t="shared" si="22"/>
        <v>693.90901449407068</v>
      </c>
      <c r="U227" s="190">
        <v>1116.7249761461219</v>
      </c>
      <c r="V227" s="221">
        <f t="shared" si="23"/>
        <v>422.81596165205121</v>
      </c>
      <c r="W227" s="221">
        <f t="shared" si="21"/>
        <v>1675.0874642191829</v>
      </c>
      <c r="X227" s="221">
        <v>0</v>
      </c>
      <c r="Y227" s="222">
        <v>0</v>
      </c>
      <c r="Z227" s="222">
        <v>0</v>
      </c>
      <c r="AA227" s="222">
        <v>0</v>
      </c>
      <c r="AB227" s="222">
        <v>0</v>
      </c>
      <c r="AC227" s="222">
        <v>3</v>
      </c>
      <c r="AD227" s="221">
        <f t="shared" si="24"/>
        <v>1675.0874642191829</v>
      </c>
      <c r="AE227" s="222">
        <v>0</v>
      </c>
      <c r="AF227" s="221">
        <v>0</v>
      </c>
      <c r="AG227" s="222">
        <v>0</v>
      </c>
      <c r="AH227" s="221">
        <v>0</v>
      </c>
      <c r="AI227" s="222">
        <v>0</v>
      </c>
      <c r="AJ227" s="221">
        <v>0</v>
      </c>
      <c r="AK227" s="222">
        <v>0</v>
      </c>
      <c r="AL227" s="222">
        <v>0</v>
      </c>
      <c r="AM227" s="222">
        <v>0</v>
      </c>
      <c r="AN227" s="222"/>
      <c r="AO227" s="222">
        <v>0</v>
      </c>
    </row>
    <row r="228" spans="1:41" s="223" customFormat="1" ht="36" customHeight="1" x14ac:dyDescent="0.25">
      <c r="A228" s="223">
        <v>1</v>
      </c>
      <c r="B228" s="225">
        <f>SUBTOTAL(103,$A$16:A228)</f>
        <v>210</v>
      </c>
      <c r="C228" s="215" t="s">
        <v>779</v>
      </c>
      <c r="D228" s="217">
        <v>1992</v>
      </c>
      <c r="E228" s="217"/>
      <c r="F228" s="226" t="s">
        <v>318</v>
      </c>
      <c r="G228" s="217">
        <v>9</v>
      </c>
      <c r="H228" s="217" t="s">
        <v>303</v>
      </c>
      <c r="I228" s="190">
        <v>4929.04</v>
      </c>
      <c r="J228" s="190">
        <v>3924.5</v>
      </c>
      <c r="K228" s="190">
        <v>3924.5</v>
      </c>
      <c r="L228" s="219">
        <v>180</v>
      </c>
      <c r="M228" s="217" t="s">
        <v>265</v>
      </c>
      <c r="N228" s="217" t="s">
        <v>269</v>
      </c>
      <c r="O228" s="220" t="s">
        <v>808</v>
      </c>
      <c r="P228" s="190">
        <v>3051298.6999999997</v>
      </c>
      <c r="Q228" s="190">
        <v>0</v>
      </c>
      <c r="R228" s="190">
        <v>0</v>
      </c>
      <c r="S228" s="190">
        <f>P228-R228-Q228</f>
        <v>3051298.6999999997</v>
      </c>
      <c r="T228" s="190">
        <f t="shared" si="22"/>
        <v>619.04522990278019</v>
      </c>
      <c r="U228" s="190">
        <v>997.27330271208996</v>
      </c>
      <c r="V228" s="221">
        <f t="shared" si="23"/>
        <v>378.22807280930977</v>
      </c>
      <c r="W228" s="221">
        <f>X228+Y228+Z228+AA228+AB228+AD228+AF228+AH228+AJ228+AL228+AN228+AO228</f>
        <v>712.1</v>
      </c>
      <c r="X228" s="221">
        <v>0</v>
      </c>
      <c r="Y228" s="222">
        <v>0</v>
      </c>
      <c r="Z228" s="222">
        <v>0</v>
      </c>
      <c r="AA228" s="222">
        <v>0</v>
      </c>
      <c r="AB228" s="222">
        <v>0</v>
      </c>
      <c r="AC228" s="222">
        <v>0</v>
      </c>
      <c r="AD228" s="222">
        <v>0</v>
      </c>
      <c r="AE228" s="222">
        <v>0</v>
      </c>
      <c r="AF228" s="221">
        <v>0</v>
      </c>
      <c r="AG228" s="222">
        <v>0</v>
      </c>
      <c r="AH228" s="221">
        <v>0</v>
      </c>
      <c r="AI228" s="222">
        <v>0</v>
      </c>
      <c r="AJ228" s="221">
        <v>0</v>
      </c>
      <c r="AK228" s="222">
        <v>0</v>
      </c>
      <c r="AL228" s="222">
        <v>0</v>
      </c>
      <c r="AM228" s="222">
        <v>0</v>
      </c>
      <c r="AN228" s="222"/>
      <c r="AO228" s="222">
        <v>712.1</v>
      </c>
    </row>
    <row r="229" spans="1:41" s="223" customFormat="1" ht="36" customHeight="1" x14ac:dyDescent="0.25">
      <c r="A229" s="223">
        <v>1</v>
      </c>
      <c r="B229" s="225">
        <f>SUBTOTAL(103,$A$16:A229)</f>
        <v>211</v>
      </c>
      <c r="C229" s="215" t="s">
        <v>775</v>
      </c>
      <c r="D229" s="217">
        <v>1993</v>
      </c>
      <c r="E229" s="217"/>
      <c r="F229" s="226" t="s">
        <v>318</v>
      </c>
      <c r="G229" s="217">
        <v>9</v>
      </c>
      <c r="H229" s="217" t="s">
        <v>308</v>
      </c>
      <c r="I229" s="218">
        <v>11047.1</v>
      </c>
      <c r="J229" s="218">
        <v>7851.2</v>
      </c>
      <c r="K229" s="218">
        <v>7851.2</v>
      </c>
      <c r="L229" s="219">
        <v>267</v>
      </c>
      <c r="M229" s="217" t="s">
        <v>265</v>
      </c>
      <c r="N229" s="217" t="s">
        <v>269</v>
      </c>
      <c r="O229" s="220" t="s">
        <v>807</v>
      </c>
      <c r="P229" s="190">
        <v>123350.33</v>
      </c>
      <c r="Q229" s="190">
        <v>0</v>
      </c>
      <c r="R229" s="190">
        <v>0</v>
      </c>
      <c r="S229" s="190">
        <f>P229-Q229-R229</f>
        <v>123350.33</v>
      </c>
      <c r="T229" s="190">
        <f t="shared" si="22"/>
        <v>11.16585619755411</v>
      </c>
      <c r="U229" s="190">
        <v>11.16585619755411</v>
      </c>
      <c r="V229" s="221">
        <f t="shared" si="23"/>
        <v>0</v>
      </c>
      <c r="W229" s="221">
        <f t="shared" si="21"/>
        <v>667.45118628418311</v>
      </c>
      <c r="X229" s="221">
        <v>0</v>
      </c>
      <c r="Y229" s="222">
        <v>0</v>
      </c>
      <c r="Z229" s="222">
        <v>0</v>
      </c>
      <c r="AA229" s="222">
        <v>0</v>
      </c>
      <c r="AB229" s="222">
        <v>0</v>
      </c>
      <c r="AC229" s="222">
        <v>3</v>
      </c>
      <c r="AD229" s="221">
        <f>2457800*AC229/I229</f>
        <v>667.45118628418311</v>
      </c>
      <c r="AE229" s="222">
        <v>0</v>
      </c>
      <c r="AF229" s="221">
        <v>0</v>
      </c>
      <c r="AG229" s="222">
        <v>0</v>
      </c>
      <c r="AH229" s="221">
        <v>0</v>
      </c>
      <c r="AI229" s="222">
        <v>0</v>
      </c>
      <c r="AJ229" s="221">
        <v>0</v>
      </c>
      <c r="AK229" s="222">
        <v>0</v>
      </c>
      <c r="AL229" s="222">
        <v>0</v>
      </c>
      <c r="AM229" s="222">
        <v>0</v>
      </c>
      <c r="AN229" s="222"/>
      <c r="AO229" s="222">
        <v>0</v>
      </c>
    </row>
    <row r="230" spans="1:41" s="223" customFormat="1" ht="36" customHeight="1" x14ac:dyDescent="0.25">
      <c r="A230" s="223">
        <v>1</v>
      </c>
      <c r="B230" s="225">
        <f>SUBTOTAL(103,$A$16:A230)</f>
        <v>212</v>
      </c>
      <c r="C230" s="215" t="s">
        <v>780</v>
      </c>
      <c r="D230" s="217">
        <v>1990</v>
      </c>
      <c r="E230" s="217"/>
      <c r="F230" s="226" t="s">
        <v>267</v>
      </c>
      <c r="G230" s="217">
        <v>9</v>
      </c>
      <c r="H230" s="217" t="s">
        <v>304</v>
      </c>
      <c r="I230" s="218">
        <v>5846.4</v>
      </c>
      <c r="J230" s="218">
        <v>4863.8999999999996</v>
      </c>
      <c r="K230" s="218">
        <v>4863.8999999999996</v>
      </c>
      <c r="L230" s="219">
        <v>374</v>
      </c>
      <c r="M230" s="217" t="s">
        <v>265</v>
      </c>
      <c r="N230" s="217" t="s">
        <v>269</v>
      </c>
      <c r="O230" s="220" t="s">
        <v>809</v>
      </c>
      <c r="P230" s="190">
        <v>1765429.7</v>
      </c>
      <c r="Q230" s="190">
        <v>0</v>
      </c>
      <c r="R230" s="190">
        <v>0</v>
      </c>
      <c r="S230" s="190">
        <f>P230-Q230-R230</f>
        <v>1765429.7</v>
      </c>
      <c r="T230" s="190">
        <f t="shared" si="22"/>
        <v>301.96868158182815</v>
      </c>
      <c r="U230" s="190">
        <v>420.39545703338808</v>
      </c>
      <c r="V230" s="221">
        <f t="shared" si="23"/>
        <v>118.42677545155993</v>
      </c>
      <c r="W230" s="221">
        <f t="shared" si="21"/>
        <v>840.79091406677617</v>
      </c>
      <c r="X230" s="221">
        <v>0</v>
      </c>
      <c r="Y230" s="222">
        <v>0</v>
      </c>
      <c r="Z230" s="222">
        <v>0</v>
      </c>
      <c r="AA230" s="222">
        <v>0</v>
      </c>
      <c r="AB230" s="222">
        <v>0</v>
      </c>
      <c r="AC230" s="222">
        <v>2</v>
      </c>
      <c r="AD230" s="221">
        <f>2457800*AC230/I230</f>
        <v>840.79091406677617</v>
      </c>
      <c r="AE230" s="222">
        <v>0</v>
      </c>
      <c r="AF230" s="221">
        <v>0</v>
      </c>
      <c r="AG230" s="222">
        <v>0</v>
      </c>
      <c r="AH230" s="221">
        <v>0</v>
      </c>
      <c r="AI230" s="222">
        <v>0</v>
      </c>
      <c r="AJ230" s="221">
        <v>0</v>
      </c>
      <c r="AK230" s="222">
        <v>0</v>
      </c>
      <c r="AL230" s="222">
        <v>0</v>
      </c>
      <c r="AM230" s="222">
        <v>0</v>
      </c>
      <c r="AN230" s="222"/>
      <c r="AO230" s="222">
        <v>0</v>
      </c>
    </row>
    <row r="231" spans="1:41" s="223" customFormat="1" ht="36" customHeight="1" x14ac:dyDescent="0.25">
      <c r="A231" s="223">
        <v>1</v>
      </c>
      <c r="B231" s="225">
        <f>SUBTOTAL(103,$A$16:A231)</f>
        <v>213</v>
      </c>
      <c r="C231" s="215" t="s">
        <v>1673</v>
      </c>
      <c r="D231" s="217">
        <v>1991</v>
      </c>
      <c r="E231" s="217"/>
      <c r="F231" s="226" t="s">
        <v>318</v>
      </c>
      <c r="G231" s="217">
        <v>9</v>
      </c>
      <c r="H231" s="217" t="s">
        <v>303</v>
      </c>
      <c r="I231" s="218">
        <v>5099.5</v>
      </c>
      <c r="J231" s="218">
        <v>3949.7</v>
      </c>
      <c r="K231" s="218">
        <v>3949.7</v>
      </c>
      <c r="L231" s="219">
        <v>168</v>
      </c>
      <c r="M231" s="217" t="s">
        <v>265</v>
      </c>
      <c r="N231" s="217" t="s">
        <v>269</v>
      </c>
      <c r="O231" s="220" t="s">
        <v>1674</v>
      </c>
      <c r="P231" s="190">
        <v>3250173.78</v>
      </c>
      <c r="Q231" s="190">
        <v>0</v>
      </c>
      <c r="R231" s="190">
        <v>0</v>
      </c>
      <c r="S231" s="190">
        <f>P231-Q231-R231</f>
        <v>3250173.78</v>
      </c>
      <c r="T231" s="190">
        <f t="shared" si="22"/>
        <v>637.35146190803016</v>
      </c>
      <c r="U231" s="190">
        <v>963.93764094519065</v>
      </c>
      <c r="V231" s="221">
        <f t="shared" si="23"/>
        <v>326.58617903716049</v>
      </c>
      <c r="W231" s="221">
        <f t="shared" si="21"/>
        <v>963.93764094519065</v>
      </c>
      <c r="X231" s="221">
        <v>0</v>
      </c>
      <c r="Y231" s="222">
        <v>0</v>
      </c>
      <c r="Z231" s="222">
        <v>0</v>
      </c>
      <c r="AA231" s="222">
        <v>0</v>
      </c>
      <c r="AB231" s="222">
        <v>0</v>
      </c>
      <c r="AC231" s="222">
        <v>2</v>
      </c>
      <c r="AD231" s="221">
        <f>2457800*AC231/I231</f>
        <v>963.93764094519065</v>
      </c>
      <c r="AE231" s="222">
        <v>0</v>
      </c>
      <c r="AF231" s="221">
        <v>0</v>
      </c>
      <c r="AG231" s="222">
        <v>0</v>
      </c>
      <c r="AH231" s="221">
        <v>0</v>
      </c>
      <c r="AI231" s="222">
        <v>0</v>
      </c>
      <c r="AJ231" s="221">
        <v>0</v>
      </c>
      <c r="AK231" s="222">
        <v>0</v>
      </c>
      <c r="AL231" s="222">
        <v>0</v>
      </c>
      <c r="AM231" s="222">
        <v>0</v>
      </c>
      <c r="AN231" s="222"/>
      <c r="AO231" s="222">
        <v>0</v>
      </c>
    </row>
    <row r="232" spans="1:41" s="223" customFormat="1" ht="36" customHeight="1" x14ac:dyDescent="0.25">
      <c r="A232" s="223">
        <v>1</v>
      </c>
      <c r="B232" s="225">
        <f>SUBTOTAL(103,$A$16:A232)</f>
        <v>214</v>
      </c>
      <c r="C232" s="215" t="s">
        <v>1166</v>
      </c>
      <c r="D232" s="217">
        <v>1937</v>
      </c>
      <c r="E232" s="217"/>
      <c r="F232" s="226" t="s">
        <v>267</v>
      </c>
      <c r="G232" s="217" t="s">
        <v>308</v>
      </c>
      <c r="H232" s="217" t="s">
        <v>312</v>
      </c>
      <c r="I232" s="190">
        <v>1585.9</v>
      </c>
      <c r="J232" s="190">
        <v>1585.9</v>
      </c>
      <c r="K232" s="190">
        <v>1465.1</v>
      </c>
      <c r="L232" s="219">
        <v>36</v>
      </c>
      <c r="M232" s="217" t="s">
        <v>265</v>
      </c>
      <c r="N232" s="217" t="s">
        <v>266</v>
      </c>
      <c r="O232" s="220" t="s">
        <v>268</v>
      </c>
      <c r="P232" s="190">
        <v>209545.8</v>
      </c>
      <c r="Q232" s="190">
        <v>0</v>
      </c>
      <c r="R232" s="190">
        <v>0</v>
      </c>
      <c r="S232" s="190">
        <f>P232-Q232-R232</f>
        <v>209545.8</v>
      </c>
      <c r="T232" s="190">
        <f t="shared" si="22"/>
        <v>132.13052525379908</v>
      </c>
      <c r="U232" s="190">
        <v>132.13052525379908</v>
      </c>
      <c r="V232" s="221">
        <f t="shared" si="23"/>
        <v>0</v>
      </c>
      <c r="W232" s="221">
        <f t="shared" si="21"/>
        <v>12120.693789015701</v>
      </c>
      <c r="X232" s="221">
        <v>0</v>
      </c>
      <c r="Y232" s="222">
        <v>0</v>
      </c>
      <c r="Z232" s="222">
        <v>0</v>
      </c>
      <c r="AA232" s="222">
        <v>0</v>
      </c>
      <c r="AB232" s="222">
        <v>0</v>
      </c>
      <c r="AC232" s="222">
        <v>0</v>
      </c>
      <c r="AD232" s="222">
        <v>0</v>
      </c>
      <c r="AE232" s="222">
        <v>627</v>
      </c>
      <c r="AF232" s="221">
        <f>6238.91*AE232/I232</f>
        <v>2466.6098556024967</v>
      </c>
      <c r="AG232" s="222">
        <v>0</v>
      </c>
      <c r="AH232" s="221">
        <v>0</v>
      </c>
      <c r="AI232" s="222">
        <v>2058.1</v>
      </c>
      <c r="AJ232" s="221">
        <f>7439.1*AI232/I232</f>
        <v>9654.0839334132033</v>
      </c>
      <c r="AK232" s="222">
        <v>0</v>
      </c>
      <c r="AL232" s="222">
        <v>0</v>
      </c>
      <c r="AM232" s="222">
        <v>0</v>
      </c>
      <c r="AN232" s="222"/>
      <c r="AO232" s="222">
        <v>0</v>
      </c>
    </row>
    <row r="233" spans="1:41" s="223" customFormat="1" ht="36" customHeight="1" x14ac:dyDescent="0.25">
      <c r="B233" s="215" t="s">
        <v>758</v>
      </c>
      <c r="C233" s="227"/>
      <c r="D233" s="217" t="s">
        <v>890</v>
      </c>
      <c r="E233" s="217" t="s">
        <v>890</v>
      </c>
      <c r="F233" s="217" t="s">
        <v>890</v>
      </c>
      <c r="G233" s="217" t="s">
        <v>890</v>
      </c>
      <c r="H233" s="217" t="s">
        <v>890</v>
      </c>
      <c r="I233" s="218">
        <f>SUM(I234:I238)</f>
        <v>38189.1</v>
      </c>
      <c r="J233" s="218">
        <f>SUM(J234:J238)</f>
        <v>33999.300000000003</v>
      </c>
      <c r="K233" s="218">
        <f>SUM(K234:K238)</f>
        <v>33586.1</v>
      </c>
      <c r="L233" s="219">
        <f>SUM(L234:L238)</f>
        <v>1569</v>
      </c>
      <c r="M233" s="217" t="s">
        <v>890</v>
      </c>
      <c r="N233" s="217" t="s">
        <v>890</v>
      </c>
      <c r="O233" s="220" t="s">
        <v>890</v>
      </c>
      <c r="P233" s="218">
        <v>11570369.789999999</v>
      </c>
      <c r="Q233" s="218">
        <f>SUM(Q234:Q238)</f>
        <v>0</v>
      </c>
      <c r="R233" s="218">
        <f>SUM(R234:R238)</f>
        <v>0</v>
      </c>
      <c r="S233" s="218">
        <f>SUM(S234:S238)</f>
        <v>11570369.789999999</v>
      </c>
      <c r="T233" s="190">
        <f t="shared" si="22"/>
        <v>302.975712703363</v>
      </c>
      <c r="U233" s="190">
        <f>MAX(U234:U238)</f>
        <v>5973.586655167127</v>
      </c>
      <c r="V233" s="221">
        <f t="shared" si="23"/>
        <v>5670.6109424637643</v>
      </c>
      <c r="W233" s="221"/>
      <c r="X233" s="221"/>
      <c r="Y233" s="222"/>
      <c r="Z233" s="222"/>
      <c r="AA233" s="222"/>
      <c r="AB233" s="222"/>
      <c r="AC233" s="222"/>
      <c r="AD233" s="222"/>
      <c r="AE233" s="222"/>
      <c r="AF233" s="222"/>
      <c r="AG233" s="222"/>
      <c r="AH233" s="222"/>
      <c r="AI233" s="222"/>
      <c r="AJ233" s="222"/>
      <c r="AK233" s="222"/>
      <c r="AL233" s="222"/>
      <c r="AM233" s="222"/>
      <c r="AN233" s="222"/>
      <c r="AO233" s="222"/>
    </row>
    <row r="234" spans="1:41" s="223" customFormat="1" ht="36" customHeight="1" x14ac:dyDescent="0.25">
      <c r="A234" s="223">
        <v>1</v>
      </c>
      <c r="B234" s="225">
        <f>SUBTOTAL(103,$A$16:A234)</f>
        <v>215</v>
      </c>
      <c r="C234" s="215" t="s">
        <v>379</v>
      </c>
      <c r="D234" s="217">
        <v>1977</v>
      </c>
      <c r="E234" s="217">
        <v>2016</v>
      </c>
      <c r="F234" s="226" t="s">
        <v>311</v>
      </c>
      <c r="G234" s="217">
        <v>14</v>
      </c>
      <c r="H234" s="217" t="s">
        <v>304</v>
      </c>
      <c r="I234" s="190">
        <v>4634.7</v>
      </c>
      <c r="J234" s="190">
        <v>4158.8</v>
      </c>
      <c r="K234" s="190">
        <v>3801.6</v>
      </c>
      <c r="L234" s="219">
        <v>190</v>
      </c>
      <c r="M234" s="217" t="s">
        <v>265</v>
      </c>
      <c r="N234" s="217" t="s">
        <v>269</v>
      </c>
      <c r="O234" s="220" t="s">
        <v>319</v>
      </c>
      <c r="P234" s="190">
        <v>1217400.68</v>
      </c>
      <c r="Q234" s="190">
        <v>0</v>
      </c>
      <c r="R234" s="190">
        <v>0</v>
      </c>
      <c r="S234" s="190">
        <f>P234-Q234-R234</f>
        <v>1217400.68</v>
      </c>
      <c r="T234" s="190">
        <f t="shared" si="22"/>
        <v>262.67086974345699</v>
      </c>
      <c r="U234" s="190">
        <v>466.56875439618534</v>
      </c>
      <c r="V234" s="221">
        <f t="shared" si="23"/>
        <v>203.89788465272835</v>
      </c>
      <c r="W234" s="221">
        <f>X234+Y234+Z234+AA234+AB234+AD234+AF234+AH234+AJ234+AL234+AN234+AO234</f>
        <v>519.87551340971368</v>
      </c>
      <c r="X234" s="221">
        <v>0</v>
      </c>
      <c r="Y234" s="222">
        <v>0</v>
      </c>
      <c r="Z234" s="222">
        <v>0</v>
      </c>
      <c r="AA234" s="222">
        <v>0</v>
      </c>
      <c r="AB234" s="222">
        <v>0</v>
      </c>
      <c r="AC234" s="222">
        <v>0</v>
      </c>
      <c r="AD234" s="222">
        <v>0</v>
      </c>
      <c r="AE234" s="222">
        <v>386.2</v>
      </c>
      <c r="AF234" s="221">
        <f>6238.91*AE234/I234</f>
        <v>519.87551340971368</v>
      </c>
      <c r="AG234" s="222">
        <v>0</v>
      </c>
      <c r="AH234" s="221">
        <v>0</v>
      </c>
      <c r="AI234" s="222">
        <v>0</v>
      </c>
      <c r="AJ234" s="221">
        <v>0</v>
      </c>
      <c r="AK234" s="222">
        <v>0</v>
      </c>
      <c r="AL234" s="222">
        <v>0</v>
      </c>
      <c r="AM234" s="222">
        <v>0</v>
      </c>
      <c r="AN234" s="222"/>
      <c r="AO234" s="222">
        <v>0</v>
      </c>
    </row>
    <row r="235" spans="1:41" s="223" customFormat="1" ht="36" customHeight="1" x14ac:dyDescent="0.25">
      <c r="A235" s="223">
        <v>1</v>
      </c>
      <c r="B235" s="225">
        <f>SUBTOTAL(103,$A$16:A235)</f>
        <v>216</v>
      </c>
      <c r="C235" s="215" t="s">
        <v>380</v>
      </c>
      <c r="D235" s="217">
        <v>1982</v>
      </c>
      <c r="E235" s="217">
        <v>2016</v>
      </c>
      <c r="F235" s="226" t="s">
        <v>311</v>
      </c>
      <c r="G235" s="217">
        <v>5</v>
      </c>
      <c r="H235" s="217" t="s">
        <v>351</v>
      </c>
      <c r="I235" s="190">
        <v>3913.2</v>
      </c>
      <c r="J235" s="190">
        <v>3443.4</v>
      </c>
      <c r="K235" s="190">
        <v>3443.4</v>
      </c>
      <c r="L235" s="219">
        <v>152</v>
      </c>
      <c r="M235" s="217" t="s">
        <v>265</v>
      </c>
      <c r="N235" s="217" t="s">
        <v>269</v>
      </c>
      <c r="O235" s="220" t="s">
        <v>319</v>
      </c>
      <c r="P235" s="190">
        <v>3757493.57</v>
      </c>
      <c r="Q235" s="190">
        <v>0</v>
      </c>
      <c r="R235" s="190">
        <v>0</v>
      </c>
      <c r="S235" s="190">
        <f>P235-Q235-R235</f>
        <v>3757493.57</v>
      </c>
      <c r="T235" s="190">
        <f t="shared" si="22"/>
        <v>960.20994837984256</v>
      </c>
      <c r="U235" s="190">
        <v>5973.586655167127</v>
      </c>
      <c r="V235" s="221">
        <f t="shared" si="23"/>
        <v>5013.3767067872841</v>
      </c>
      <c r="W235" s="221">
        <f>X235+Y235+Z235+AA235+AB235+AD235+AF235+AH235+AJ235+AL235+AN235+AO235</f>
        <v>5973.586655167127</v>
      </c>
      <c r="X235" s="221">
        <v>0</v>
      </c>
      <c r="Y235" s="222">
        <v>0</v>
      </c>
      <c r="Z235" s="222">
        <v>0</v>
      </c>
      <c r="AA235" s="222">
        <v>0</v>
      </c>
      <c r="AB235" s="222">
        <v>0</v>
      </c>
      <c r="AC235" s="222">
        <v>0</v>
      </c>
      <c r="AD235" s="222">
        <v>0</v>
      </c>
      <c r="AE235" s="222">
        <v>0</v>
      </c>
      <c r="AF235" s="221">
        <v>0</v>
      </c>
      <c r="AG235" s="222">
        <v>0</v>
      </c>
      <c r="AH235" s="221">
        <v>0</v>
      </c>
      <c r="AI235" s="222">
        <v>2995.9</v>
      </c>
      <c r="AJ235" s="221">
        <f>7802.61*AI235/I235</f>
        <v>5973.586655167127</v>
      </c>
      <c r="AK235" s="222">
        <v>0</v>
      </c>
      <c r="AL235" s="222">
        <v>0</v>
      </c>
      <c r="AM235" s="222">
        <v>0</v>
      </c>
      <c r="AN235" s="222"/>
      <c r="AO235" s="222">
        <v>0</v>
      </c>
    </row>
    <row r="236" spans="1:41" s="223" customFormat="1" ht="36" customHeight="1" x14ac:dyDescent="0.25">
      <c r="A236" s="223">
        <v>1</v>
      </c>
      <c r="B236" s="225">
        <f>SUBTOTAL(103,$A$16:A236)</f>
        <v>217</v>
      </c>
      <c r="C236" s="215" t="s">
        <v>381</v>
      </c>
      <c r="D236" s="217">
        <v>1995</v>
      </c>
      <c r="E236" s="217">
        <v>2015</v>
      </c>
      <c r="F236" s="226" t="s">
        <v>311</v>
      </c>
      <c r="G236" s="217">
        <v>9</v>
      </c>
      <c r="H236" s="217" t="s">
        <v>351</v>
      </c>
      <c r="I236" s="190">
        <v>12180.7</v>
      </c>
      <c r="J236" s="190">
        <v>10849.3</v>
      </c>
      <c r="K236" s="190">
        <v>10849.3</v>
      </c>
      <c r="L236" s="219">
        <v>500</v>
      </c>
      <c r="M236" s="217" t="s">
        <v>265</v>
      </c>
      <c r="N236" s="217" t="s">
        <v>269</v>
      </c>
      <c r="O236" s="220" t="s">
        <v>319</v>
      </c>
      <c r="P236" s="190">
        <v>174120.8</v>
      </c>
      <c r="Q236" s="190">
        <v>0</v>
      </c>
      <c r="R236" s="190">
        <v>0</v>
      </c>
      <c r="S236" s="190">
        <f>P236-Q236-R236</f>
        <v>174120.8</v>
      </c>
      <c r="T236" s="190">
        <f t="shared" si="22"/>
        <v>14.294810643066489</v>
      </c>
      <c r="U236" s="190">
        <v>14.294810643066489</v>
      </c>
      <c r="V236" s="221">
        <f t="shared" si="23"/>
        <v>0</v>
      </c>
      <c r="W236" s="221">
        <f>T236</f>
        <v>14.294810643066489</v>
      </c>
      <c r="X236" s="221">
        <v>0</v>
      </c>
      <c r="Y236" s="222">
        <v>0</v>
      </c>
      <c r="Z236" s="222">
        <v>0</v>
      </c>
      <c r="AA236" s="222">
        <v>0</v>
      </c>
      <c r="AB236" s="222">
        <v>0</v>
      </c>
      <c r="AC236" s="222">
        <v>0</v>
      </c>
      <c r="AD236" s="222">
        <v>0</v>
      </c>
      <c r="AE236" s="222">
        <v>0</v>
      </c>
      <c r="AF236" s="221">
        <v>0</v>
      </c>
      <c r="AG236" s="222">
        <v>0</v>
      </c>
      <c r="AH236" s="221">
        <v>0</v>
      </c>
      <c r="AI236" s="222">
        <v>0</v>
      </c>
      <c r="AJ236" s="221">
        <v>0</v>
      </c>
      <c r="AK236" s="222">
        <v>0</v>
      </c>
      <c r="AL236" s="222">
        <v>0</v>
      </c>
      <c r="AM236" s="222">
        <v>0</v>
      </c>
      <c r="AN236" s="222"/>
      <c r="AO236" s="222">
        <v>0</v>
      </c>
    </row>
    <row r="237" spans="1:41" s="223" customFormat="1" ht="36" customHeight="1" x14ac:dyDescent="0.25">
      <c r="A237" s="223">
        <v>1</v>
      </c>
      <c r="B237" s="225">
        <f>SUBTOTAL(103,$A$16:A237)</f>
        <v>218</v>
      </c>
      <c r="C237" s="215" t="s">
        <v>1551</v>
      </c>
      <c r="D237" s="217">
        <v>1981</v>
      </c>
      <c r="E237" s="217">
        <v>2015</v>
      </c>
      <c r="F237" s="226" t="s">
        <v>267</v>
      </c>
      <c r="G237" s="217">
        <v>9</v>
      </c>
      <c r="H237" s="217" t="s">
        <v>308</v>
      </c>
      <c r="I237" s="190">
        <v>8863.2999999999993</v>
      </c>
      <c r="J237" s="190">
        <v>7831.5</v>
      </c>
      <c r="K237" s="190">
        <v>7831.5</v>
      </c>
      <c r="L237" s="219">
        <v>357</v>
      </c>
      <c r="M237" s="217" t="s">
        <v>265</v>
      </c>
      <c r="N237" s="217" t="s">
        <v>269</v>
      </c>
      <c r="O237" s="220" t="s">
        <v>319</v>
      </c>
      <c r="P237" s="190">
        <v>6300657.04</v>
      </c>
      <c r="Q237" s="190">
        <v>0</v>
      </c>
      <c r="R237" s="190">
        <v>0</v>
      </c>
      <c r="S237" s="190">
        <f>P237-Q237-R237</f>
        <v>6300657.04</v>
      </c>
      <c r="T237" s="190">
        <f t="shared" si="22"/>
        <v>710.87033497681455</v>
      </c>
      <c r="U237" s="190">
        <v>1109.2031184773166</v>
      </c>
      <c r="V237" s="221">
        <f t="shared" si="23"/>
        <v>398.33278350050205</v>
      </c>
      <c r="W237" s="221">
        <f>X237+Y237+Z237+AA237+AB237+AD237+AF237+AH237+AJ237+AL237+AN237+AO237</f>
        <v>795.31</v>
      </c>
      <c r="X237" s="221">
        <v>0</v>
      </c>
      <c r="Y237" s="222">
        <v>0</v>
      </c>
      <c r="Z237" s="222">
        <v>0</v>
      </c>
      <c r="AA237" s="222">
        <v>0</v>
      </c>
      <c r="AB237" s="222">
        <v>795.31</v>
      </c>
      <c r="AC237" s="222">
        <v>0</v>
      </c>
      <c r="AD237" s="222">
        <v>0</v>
      </c>
      <c r="AE237" s="222">
        <v>0</v>
      </c>
      <c r="AF237" s="221">
        <v>0</v>
      </c>
      <c r="AG237" s="222">
        <v>0</v>
      </c>
      <c r="AH237" s="221">
        <v>0</v>
      </c>
      <c r="AI237" s="222">
        <v>0</v>
      </c>
      <c r="AJ237" s="221">
        <v>0</v>
      </c>
      <c r="AK237" s="222">
        <v>0</v>
      </c>
      <c r="AL237" s="222">
        <v>0</v>
      </c>
      <c r="AM237" s="222">
        <v>0</v>
      </c>
      <c r="AN237" s="222"/>
      <c r="AO237" s="222">
        <v>0</v>
      </c>
    </row>
    <row r="238" spans="1:41" s="223" customFormat="1" ht="36" customHeight="1" x14ac:dyDescent="0.25">
      <c r="A238" s="223">
        <v>1</v>
      </c>
      <c r="B238" s="225">
        <f>SUBTOTAL(103,$A$16:A238)</f>
        <v>219</v>
      </c>
      <c r="C238" s="215" t="s">
        <v>382</v>
      </c>
      <c r="D238" s="217">
        <v>1982</v>
      </c>
      <c r="E238" s="217">
        <v>2015</v>
      </c>
      <c r="F238" s="226" t="s">
        <v>318</v>
      </c>
      <c r="G238" s="217">
        <v>9</v>
      </c>
      <c r="H238" s="217" t="s">
        <v>308</v>
      </c>
      <c r="I238" s="190">
        <v>8597.2000000000007</v>
      </c>
      <c r="J238" s="190">
        <v>7716.3</v>
      </c>
      <c r="K238" s="190">
        <v>7660.3</v>
      </c>
      <c r="L238" s="219">
        <v>370</v>
      </c>
      <c r="M238" s="217" t="s">
        <v>265</v>
      </c>
      <c r="N238" s="217" t="s">
        <v>269</v>
      </c>
      <c r="O238" s="220" t="s">
        <v>319</v>
      </c>
      <c r="P238" s="190">
        <v>120697.7</v>
      </c>
      <c r="Q238" s="190">
        <v>0</v>
      </c>
      <c r="R238" s="190">
        <v>0</v>
      </c>
      <c r="S238" s="190">
        <f>P238-R238-Q238</f>
        <v>120697.7</v>
      </c>
      <c r="T238" s="190">
        <f t="shared" si="22"/>
        <v>14.039187177220489</v>
      </c>
      <c r="U238" s="190">
        <v>14.039187177220489</v>
      </c>
      <c r="V238" s="221">
        <f t="shared" si="23"/>
        <v>0</v>
      </c>
      <c r="W238" s="221">
        <f>X238+Y238+Z238+AA238+AB238+AD238+AF238+AH238+AJ238+AL238+AN238+AO238</f>
        <v>1143.5351044526124</v>
      </c>
      <c r="X238" s="221">
        <v>0</v>
      </c>
      <c r="Y238" s="222">
        <v>0</v>
      </c>
      <c r="Z238" s="222">
        <v>0</v>
      </c>
      <c r="AA238" s="222">
        <v>0</v>
      </c>
      <c r="AB238" s="222">
        <v>0</v>
      </c>
      <c r="AC238" s="222">
        <v>4</v>
      </c>
      <c r="AD238" s="221">
        <f>2457800*AC238/I238</f>
        <v>1143.5351044526124</v>
      </c>
      <c r="AE238" s="222">
        <v>0</v>
      </c>
      <c r="AF238" s="221">
        <v>0</v>
      </c>
      <c r="AG238" s="222">
        <v>0</v>
      </c>
      <c r="AH238" s="221">
        <v>0</v>
      </c>
      <c r="AI238" s="222">
        <v>0</v>
      </c>
      <c r="AJ238" s="221">
        <v>0</v>
      </c>
      <c r="AK238" s="222">
        <v>0</v>
      </c>
      <c r="AL238" s="222">
        <v>0</v>
      </c>
      <c r="AM238" s="222">
        <v>0</v>
      </c>
      <c r="AN238" s="222"/>
      <c r="AO238" s="222">
        <v>0</v>
      </c>
    </row>
    <row r="239" spans="1:41" s="223" customFormat="1" ht="36" customHeight="1" x14ac:dyDescent="0.25">
      <c r="B239" s="215" t="s">
        <v>815</v>
      </c>
      <c r="C239" s="227"/>
      <c r="D239" s="217" t="s">
        <v>890</v>
      </c>
      <c r="E239" s="217" t="s">
        <v>890</v>
      </c>
      <c r="F239" s="217" t="s">
        <v>890</v>
      </c>
      <c r="G239" s="217" t="s">
        <v>890</v>
      </c>
      <c r="H239" s="217" t="s">
        <v>890</v>
      </c>
      <c r="I239" s="218">
        <f>SUM(I240:I265)</f>
        <v>91721.91</v>
      </c>
      <c r="J239" s="218">
        <f>SUM(J240:J265)</f>
        <v>72937.19</v>
      </c>
      <c r="K239" s="218">
        <f>SUM(K240:K265)</f>
        <v>69950.03</v>
      </c>
      <c r="L239" s="219">
        <f>SUM(L240:L265)</f>
        <v>3374</v>
      </c>
      <c r="M239" s="217" t="s">
        <v>890</v>
      </c>
      <c r="N239" s="217" t="s">
        <v>890</v>
      </c>
      <c r="O239" s="220" t="s">
        <v>890</v>
      </c>
      <c r="P239" s="218">
        <v>65365711.729999989</v>
      </c>
      <c r="Q239" s="218">
        <f>SUM(Q240:Q265)</f>
        <v>0</v>
      </c>
      <c r="R239" s="218">
        <f>SUM(R240:R265)</f>
        <v>0</v>
      </c>
      <c r="S239" s="218">
        <f>SUM(S240:S265)</f>
        <v>65365711.729999989</v>
      </c>
      <c r="T239" s="190">
        <f t="shared" si="22"/>
        <v>712.65100922996464</v>
      </c>
      <c r="U239" s="190">
        <f>MAX(U240:U265)</f>
        <v>9061.8802569960026</v>
      </c>
      <c r="V239" s="221">
        <f t="shared" si="23"/>
        <v>8349.2292477660376</v>
      </c>
      <c r="W239" s="221"/>
      <c r="X239" s="221"/>
      <c r="Y239" s="222"/>
      <c r="Z239" s="222"/>
      <c r="AA239" s="222"/>
      <c r="AB239" s="222"/>
      <c r="AC239" s="222"/>
      <c r="AD239" s="222"/>
      <c r="AE239" s="222"/>
      <c r="AF239" s="222"/>
      <c r="AG239" s="222"/>
      <c r="AH239" s="222"/>
      <c r="AI239" s="222"/>
      <c r="AJ239" s="222"/>
      <c r="AK239" s="222"/>
      <c r="AL239" s="222"/>
      <c r="AM239" s="222"/>
      <c r="AN239" s="222"/>
      <c r="AO239" s="222"/>
    </row>
    <row r="240" spans="1:41" s="223" customFormat="1" ht="36" customHeight="1" x14ac:dyDescent="0.25">
      <c r="A240" s="223">
        <v>1</v>
      </c>
      <c r="B240" s="225">
        <f>SUBTOTAL(103,$A$16:A240)</f>
        <v>220</v>
      </c>
      <c r="C240" s="215" t="s">
        <v>614</v>
      </c>
      <c r="D240" s="217">
        <v>1987</v>
      </c>
      <c r="E240" s="217"/>
      <c r="F240" s="226" t="s">
        <v>267</v>
      </c>
      <c r="G240" s="217">
        <v>10</v>
      </c>
      <c r="H240" s="217" t="s">
        <v>304</v>
      </c>
      <c r="I240" s="190">
        <v>4253.2</v>
      </c>
      <c r="J240" s="190">
        <v>3669.9</v>
      </c>
      <c r="K240" s="190">
        <v>3245.8</v>
      </c>
      <c r="L240" s="219">
        <v>147</v>
      </c>
      <c r="M240" s="217" t="s">
        <v>265</v>
      </c>
      <c r="N240" s="217" t="s">
        <v>341</v>
      </c>
      <c r="O240" s="220" t="s">
        <v>703</v>
      </c>
      <c r="P240" s="190">
        <v>3589738.75</v>
      </c>
      <c r="Q240" s="190">
        <v>0</v>
      </c>
      <c r="R240" s="190">
        <v>0</v>
      </c>
      <c r="S240" s="190">
        <f t="shared" ref="S240:S264" si="25">P240-Q240-R240</f>
        <v>3589738.75</v>
      </c>
      <c r="T240" s="190">
        <f t="shared" si="22"/>
        <v>844.0089226935014</v>
      </c>
      <c r="U240" s="190">
        <v>1251.6970751434214</v>
      </c>
      <c r="V240" s="221">
        <f t="shared" si="23"/>
        <v>407.68815244992004</v>
      </c>
      <c r="W240" s="221">
        <f t="shared" ref="W240:W265" si="26">X240+Y240+Z240+AA240+AB240+AD240+AF240+AH240+AJ240+AL240+AN240+AO240</f>
        <v>1251.6970751434214</v>
      </c>
      <c r="X240" s="221">
        <v>0</v>
      </c>
      <c r="Y240" s="222">
        <v>0</v>
      </c>
      <c r="Z240" s="222">
        <v>0</v>
      </c>
      <c r="AA240" s="222">
        <v>0</v>
      </c>
      <c r="AB240" s="222">
        <v>0</v>
      </c>
      <c r="AC240" s="222">
        <v>2</v>
      </c>
      <c r="AD240" s="221">
        <f>2661859*AC240/I240</f>
        <v>1251.6970751434214</v>
      </c>
      <c r="AE240" s="222">
        <v>0</v>
      </c>
      <c r="AF240" s="221">
        <v>0</v>
      </c>
      <c r="AG240" s="222">
        <v>0</v>
      </c>
      <c r="AH240" s="221">
        <v>0</v>
      </c>
      <c r="AI240" s="222">
        <v>0</v>
      </c>
      <c r="AJ240" s="221">
        <v>0</v>
      </c>
      <c r="AK240" s="222">
        <v>0</v>
      </c>
      <c r="AL240" s="222">
        <v>0</v>
      </c>
      <c r="AM240" s="222">
        <v>0</v>
      </c>
      <c r="AN240" s="222"/>
      <c r="AO240" s="222">
        <v>0</v>
      </c>
    </row>
    <row r="241" spans="1:41" s="223" customFormat="1" ht="36" customHeight="1" x14ac:dyDescent="0.25">
      <c r="A241" s="223">
        <v>1</v>
      </c>
      <c r="B241" s="225">
        <f>SUBTOTAL(103,$A$16:A241)</f>
        <v>221</v>
      </c>
      <c r="C241" s="215" t="s">
        <v>618</v>
      </c>
      <c r="D241" s="217">
        <v>1967</v>
      </c>
      <c r="E241" s="217"/>
      <c r="F241" s="226" t="s">
        <v>267</v>
      </c>
      <c r="G241" s="217">
        <v>5</v>
      </c>
      <c r="H241" s="217" t="s">
        <v>308</v>
      </c>
      <c r="I241" s="190">
        <v>3578.24</v>
      </c>
      <c r="J241" s="190">
        <v>3300</v>
      </c>
      <c r="K241" s="190">
        <v>3012.01</v>
      </c>
      <c r="L241" s="219">
        <v>117</v>
      </c>
      <c r="M241" s="217" t="s">
        <v>265</v>
      </c>
      <c r="N241" s="217" t="s">
        <v>269</v>
      </c>
      <c r="O241" s="220" t="s">
        <v>704</v>
      </c>
      <c r="P241" s="190">
        <v>130936.07</v>
      </c>
      <c r="Q241" s="190">
        <v>0</v>
      </c>
      <c r="R241" s="190">
        <v>0</v>
      </c>
      <c r="S241" s="190">
        <f t="shared" si="25"/>
        <v>130936.07</v>
      </c>
      <c r="T241" s="190">
        <f t="shared" si="22"/>
        <v>36.592310744947241</v>
      </c>
      <c r="U241" s="190">
        <v>36.592310744947241</v>
      </c>
      <c r="V241" s="221">
        <f t="shared" si="23"/>
        <v>0</v>
      </c>
      <c r="W241" s="221">
        <f t="shared" si="26"/>
        <v>1883.4686992487927</v>
      </c>
      <c r="X241" s="221">
        <v>0</v>
      </c>
      <c r="Y241" s="222">
        <v>0</v>
      </c>
      <c r="Z241" s="222">
        <v>0</v>
      </c>
      <c r="AA241" s="222">
        <v>0</v>
      </c>
      <c r="AB241" s="222">
        <v>0</v>
      </c>
      <c r="AC241" s="222">
        <v>0</v>
      </c>
      <c r="AD241" s="222">
        <v>0</v>
      </c>
      <c r="AE241" s="222">
        <v>0</v>
      </c>
      <c r="AF241" s="221">
        <v>0</v>
      </c>
      <c r="AG241" s="222">
        <v>0</v>
      </c>
      <c r="AH241" s="221">
        <v>0</v>
      </c>
      <c r="AI241" s="222">
        <v>0</v>
      </c>
      <c r="AJ241" s="221">
        <v>0</v>
      </c>
      <c r="AK241" s="222">
        <v>0</v>
      </c>
      <c r="AL241" s="222">
        <v>0</v>
      </c>
      <c r="AM241" s="222">
        <v>964.92</v>
      </c>
      <c r="AN241" s="222">
        <f>6984.52*AM241/I241</f>
        <v>1883.4686992487927</v>
      </c>
      <c r="AO241" s="222">
        <v>0</v>
      </c>
    </row>
    <row r="242" spans="1:41" s="223" customFormat="1" ht="36" customHeight="1" x14ac:dyDescent="0.25">
      <c r="A242" s="223">
        <v>1</v>
      </c>
      <c r="B242" s="225">
        <f>SUBTOTAL(103,$A$16:A242)</f>
        <v>222</v>
      </c>
      <c r="C242" s="215" t="s">
        <v>619</v>
      </c>
      <c r="D242" s="217">
        <v>1965</v>
      </c>
      <c r="E242" s="217"/>
      <c r="F242" s="226" t="s">
        <v>267</v>
      </c>
      <c r="G242" s="217">
        <v>5</v>
      </c>
      <c r="H242" s="217" t="s">
        <v>303</v>
      </c>
      <c r="I242" s="190">
        <v>4985.66</v>
      </c>
      <c r="J242" s="190">
        <v>2392.1999999999998</v>
      </c>
      <c r="K242" s="190">
        <v>2300.6</v>
      </c>
      <c r="L242" s="219">
        <v>185</v>
      </c>
      <c r="M242" s="217" t="s">
        <v>265</v>
      </c>
      <c r="N242" s="217" t="s">
        <v>269</v>
      </c>
      <c r="O242" s="220" t="s">
        <v>705</v>
      </c>
      <c r="P242" s="190">
        <v>143632.79</v>
      </c>
      <c r="Q242" s="190">
        <v>0</v>
      </c>
      <c r="R242" s="190">
        <v>0</v>
      </c>
      <c r="S242" s="190">
        <f t="shared" si="25"/>
        <v>143632.79</v>
      </c>
      <c r="T242" s="190">
        <f t="shared" si="22"/>
        <v>28.809182736087099</v>
      </c>
      <c r="U242" s="190">
        <v>28.809182736087099</v>
      </c>
      <c r="V242" s="221">
        <f t="shared" si="23"/>
        <v>0</v>
      </c>
      <c r="W242" s="221">
        <f>T242</f>
        <v>28.809182736087099</v>
      </c>
      <c r="X242" s="221">
        <v>0</v>
      </c>
      <c r="Y242" s="222">
        <v>0</v>
      </c>
      <c r="Z242" s="222">
        <v>0</v>
      </c>
      <c r="AA242" s="222">
        <v>0</v>
      </c>
      <c r="AB242" s="222">
        <v>0</v>
      </c>
      <c r="AC242" s="222">
        <v>0</v>
      </c>
      <c r="AD242" s="222">
        <v>0</v>
      </c>
      <c r="AE242" s="222">
        <v>0</v>
      </c>
      <c r="AF242" s="221">
        <v>0</v>
      </c>
      <c r="AG242" s="222">
        <v>0</v>
      </c>
      <c r="AH242" s="221">
        <v>0</v>
      </c>
      <c r="AI242" s="222">
        <v>0</v>
      </c>
      <c r="AJ242" s="221">
        <v>0</v>
      </c>
      <c r="AK242" s="222">
        <v>0</v>
      </c>
      <c r="AL242" s="222">
        <v>0</v>
      </c>
      <c r="AM242" s="222">
        <v>0</v>
      </c>
      <c r="AN242" s="222"/>
      <c r="AO242" s="222">
        <v>0</v>
      </c>
    </row>
    <row r="243" spans="1:41" s="223" customFormat="1" ht="36" customHeight="1" x14ac:dyDescent="0.25">
      <c r="A243" s="223">
        <v>1</v>
      </c>
      <c r="B243" s="225">
        <f>SUBTOTAL(103,$A$16:A243)</f>
        <v>223</v>
      </c>
      <c r="C243" s="215" t="s">
        <v>622</v>
      </c>
      <c r="D243" s="217">
        <v>1993</v>
      </c>
      <c r="E243" s="217"/>
      <c r="F243" s="226" t="s">
        <v>311</v>
      </c>
      <c r="G243" s="217">
        <v>9</v>
      </c>
      <c r="H243" s="217" t="s">
        <v>303</v>
      </c>
      <c r="I243" s="190">
        <v>5060.3</v>
      </c>
      <c r="J243" s="190">
        <v>5060.3</v>
      </c>
      <c r="K243" s="190">
        <v>5060.3</v>
      </c>
      <c r="L243" s="219">
        <v>206</v>
      </c>
      <c r="M243" s="217" t="s">
        <v>265</v>
      </c>
      <c r="N243" s="217" t="s">
        <v>269</v>
      </c>
      <c r="O243" s="220" t="s">
        <v>706</v>
      </c>
      <c r="P243" s="190">
        <v>3407945.42</v>
      </c>
      <c r="Q243" s="190">
        <v>0</v>
      </c>
      <c r="R243" s="190">
        <v>0</v>
      </c>
      <c r="S243" s="190">
        <f t="shared" si="25"/>
        <v>3407945.42</v>
      </c>
      <c r="T243" s="190">
        <f t="shared" si="22"/>
        <v>673.46707112226545</v>
      </c>
      <c r="U243" s="190">
        <v>971.40485741952057</v>
      </c>
      <c r="V243" s="221">
        <f t="shared" si="23"/>
        <v>297.93778629725512</v>
      </c>
      <c r="W243" s="221">
        <f t="shared" si="26"/>
        <v>971.40485741952057</v>
      </c>
      <c r="X243" s="221">
        <v>0</v>
      </c>
      <c r="Y243" s="222">
        <v>0</v>
      </c>
      <c r="Z243" s="222">
        <v>0</v>
      </c>
      <c r="AA243" s="222">
        <v>0</v>
      </c>
      <c r="AB243" s="222">
        <v>0</v>
      </c>
      <c r="AC243" s="222">
        <v>2</v>
      </c>
      <c r="AD243" s="221">
        <f>2457800*AC243/I243</f>
        <v>971.40485741952057</v>
      </c>
      <c r="AE243" s="222">
        <v>0</v>
      </c>
      <c r="AF243" s="221">
        <v>0</v>
      </c>
      <c r="AG243" s="222">
        <v>0</v>
      </c>
      <c r="AH243" s="221">
        <v>0</v>
      </c>
      <c r="AI243" s="222">
        <v>0</v>
      </c>
      <c r="AJ243" s="221">
        <v>0</v>
      </c>
      <c r="AK243" s="222">
        <v>0</v>
      </c>
      <c r="AL243" s="222">
        <v>0</v>
      </c>
      <c r="AM243" s="222">
        <v>0</v>
      </c>
      <c r="AN243" s="222"/>
      <c r="AO243" s="222">
        <v>0</v>
      </c>
    </row>
    <row r="244" spans="1:41" s="223" customFormat="1" ht="36" customHeight="1" x14ac:dyDescent="0.25">
      <c r="A244" s="223">
        <v>1</v>
      </c>
      <c r="B244" s="225">
        <f>SUBTOTAL(103,$A$16:A244)</f>
        <v>224</v>
      </c>
      <c r="C244" s="215" t="s">
        <v>624</v>
      </c>
      <c r="D244" s="217">
        <v>1959</v>
      </c>
      <c r="E244" s="217"/>
      <c r="F244" s="226" t="s">
        <v>267</v>
      </c>
      <c r="G244" s="217">
        <v>2</v>
      </c>
      <c r="H244" s="217" t="s">
        <v>303</v>
      </c>
      <c r="I244" s="190">
        <v>608.20000000000005</v>
      </c>
      <c r="J244" s="190">
        <v>564.4</v>
      </c>
      <c r="K244" s="190">
        <v>525.79999999999995</v>
      </c>
      <c r="L244" s="219">
        <v>29</v>
      </c>
      <c r="M244" s="217" t="s">
        <v>265</v>
      </c>
      <c r="N244" s="217" t="s">
        <v>269</v>
      </c>
      <c r="O244" s="220" t="s">
        <v>704</v>
      </c>
      <c r="P244" s="190">
        <v>1860691.51</v>
      </c>
      <c r="Q244" s="190">
        <v>0</v>
      </c>
      <c r="R244" s="190">
        <v>0</v>
      </c>
      <c r="S244" s="190">
        <f t="shared" si="25"/>
        <v>1860691.51</v>
      </c>
      <c r="T244" s="190">
        <f t="shared" si="22"/>
        <v>3059.3415159487008</v>
      </c>
      <c r="U244" s="190">
        <v>5349.9671160802363</v>
      </c>
      <c r="V244" s="221">
        <f t="shared" si="23"/>
        <v>2290.6256001315355</v>
      </c>
      <c r="W244" s="221">
        <f t="shared" si="26"/>
        <v>5128.9953962512327</v>
      </c>
      <c r="X244" s="221">
        <v>0</v>
      </c>
      <c r="Y244" s="222">
        <v>0</v>
      </c>
      <c r="Z244" s="222">
        <v>0</v>
      </c>
      <c r="AA244" s="222">
        <v>0</v>
      </c>
      <c r="AB244" s="222">
        <v>0</v>
      </c>
      <c r="AC244" s="222">
        <v>0</v>
      </c>
      <c r="AD244" s="222">
        <v>0</v>
      </c>
      <c r="AE244" s="222">
        <v>500</v>
      </c>
      <c r="AF244" s="221">
        <f>6238.91*AE244/I244</f>
        <v>5128.9953962512327</v>
      </c>
      <c r="AG244" s="222">
        <v>0</v>
      </c>
      <c r="AH244" s="221">
        <v>0</v>
      </c>
      <c r="AI244" s="222">
        <v>0</v>
      </c>
      <c r="AJ244" s="221">
        <v>0</v>
      </c>
      <c r="AK244" s="222">
        <v>0</v>
      </c>
      <c r="AL244" s="222">
        <v>0</v>
      </c>
      <c r="AM244" s="222">
        <v>0</v>
      </c>
      <c r="AN244" s="222"/>
      <c r="AO244" s="222">
        <v>0</v>
      </c>
    </row>
    <row r="245" spans="1:41" s="223" customFormat="1" ht="36" customHeight="1" x14ac:dyDescent="0.25">
      <c r="A245" s="223">
        <v>1</v>
      </c>
      <c r="B245" s="225">
        <f>SUBTOTAL(103,$A$16:A245)</f>
        <v>225</v>
      </c>
      <c r="C245" s="215" t="s">
        <v>627</v>
      </c>
      <c r="D245" s="217">
        <v>1965</v>
      </c>
      <c r="E245" s="217"/>
      <c r="F245" s="226" t="s">
        <v>267</v>
      </c>
      <c r="G245" s="217">
        <v>5</v>
      </c>
      <c r="H245" s="217" t="s">
        <v>303</v>
      </c>
      <c r="I245" s="190">
        <v>2026.2</v>
      </c>
      <c r="J245" s="190">
        <v>1684.6</v>
      </c>
      <c r="K245" s="190">
        <v>1684.6</v>
      </c>
      <c r="L245" s="219">
        <v>76</v>
      </c>
      <c r="M245" s="217" t="s">
        <v>265</v>
      </c>
      <c r="N245" s="217" t="s">
        <v>269</v>
      </c>
      <c r="O245" s="220" t="s">
        <v>706</v>
      </c>
      <c r="P245" s="190">
        <v>2404378.48</v>
      </c>
      <c r="Q245" s="190">
        <v>0</v>
      </c>
      <c r="R245" s="190">
        <v>0</v>
      </c>
      <c r="S245" s="190">
        <f t="shared" si="25"/>
        <v>2404378.48</v>
      </c>
      <c r="T245" s="190">
        <f t="shared" si="22"/>
        <v>1186.6442009673281</v>
      </c>
      <c r="U245" s="190">
        <v>1739.4977396110946</v>
      </c>
      <c r="V245" s="221">
        <f t="shared" si="23"/>
        <v>552.85353864376657</v>
      </c>
      <c r="W245" s="221">
        <f t="shared" si="26"/>
        <v>1667.6506050735366</v>
      </c>
      <c r="X245" s="221">
        <v>0</v>
      </c>
      <c r="Y245" s="222">
        <v>0</v>
      </c>
      <c r="Z245" s="222">
        <v>0</v>
      </c>
      <c r="AA245" s="222">
        <v>0</v>
      </c>
      <c r="AB245" s="222">
        <v>0</v>
      </c>
      <c r="AC245" s="222">
        <v>0</v>
      </c>
      <c r="AD245" s="222">
        <v>0</v>
      </c>
      <c r="AE245" s="222">
        <v>541.6</v>
      </c>
      <c r="AF245" s="221">
        <f>6238.91*AE245/I245</f>
        <v>1667.6506050735366</v>
      </c>
      <c r="AG245" s="222">
        <v>0</v>
      </c>
      <c r="AH245" s="221">
        <v>0</v>
      </c>
      <c r="AI245" s="222">
        <v>0</v>
      </c>
      <c r="AJ245" s="221">
        <v>0</v>
      </c>
      <c r="AK245" s="222">
        <v>0</v>
      </c>
      <c r="AL245" s="222">
        <v>0</v>
      </c>
      <c r="AM245" s="222">
        <v>0</v>
      </c>
      <c r="AN245" s="222"/>
      <c r="AO245" s="222">
        <v>0</v>
      </c>
    </row>
    <row r="246" spans="1:41" s="223" customFormat="1" ht="36" customHeight="1" x14ac:dyDescent="0.25">
      <c r="A246" s="223">
        <v>1</v>
      </c>
      <c r="B246" s="225">
        <f>SUBTOTAL(103,$A$16:A246)</f>
        <v>226</v>
      </c>
      <c r="C246" s="215" t="s">
        <v>628</v>
      </c>
      <c r="D246" s="217">
        <v>1963</v>
      </c>
      <c r="E246" s="217"/>
      <c r="F246" s="226" t="s">
        <v>267</v>
      </c>
      <c r="G246" s="217">
        <v>2</v>
      </c>
      <c r="H246" s="217" t="s">
        <v>303</v>
      </c>
      <c r="I246" s="190">
        <v>429.2</v>
      </c>
      <c r="J246" s="190">
        <v>389</v>
      </c>
      <c r="K246" s="190">
        <v>389</v>
      </c>
      <c r="L246" s="219">
        <v>13</v>
      </c>
      <c r="M246" s="217" t="s">
        <v>265</v>
      </c>
      <c r="N246" s="217" t="s">
        <v>269</v>
      </c>
      <c r="O246" s="220" t="s">
        <v>707</v>
      </c>
      <c r="P246" s="190">
        <v>1323171.2200000002</v>
      </c>
      <c r="Q246" s="190">
        <v>0</v>
      </c>
      <c r="R246" s="190">
        <v>0</v>
      </c>
      <c r="S246" s="190">
        <f t="shared" si="25"/>
        <v>1323171.2200000002</v>
      </c>
      <c r="T246" s="190">
        <f t="shared" si="22"/>
        <v>3082.8779589934766</v>
      </c>
      <c r="U246" s="190">
        <v>5931.52898415657</v>
      </c>
      <c r="V246" s="221">
        <f t="shared" si="23"/>
        <v>2848.6510251630934</v>
      </c>
      <c r="W246" s="221">
        <f t="shared" si="26"/>
        <v>5686.5367940354145</v>
      </c>
      <c r="X246" s="221">
        <v>0</v>
      </c>
      <c r="Y246" s="222">
        <v>0</v>
      </c>
      <c r="Z246" s="222">
        <v>0</v>
      </c>
      <c r="AA246" s="222">
        <v>0</v>
      </c>
      <c r="AB246" s="222">
        <v>0</v>
      </c>
      <c r="AC246" s="222">
        <v>0</v>
      </c>
      <c r="AD246" s="222">
        <v>0</v>
      </c>
      <c r="AE246" s="222">
        <v>391.2</v>
      </c>
      <c r="AF246" s="221">
        <f>6238.91*AE246/I246</f>
        <v>5686.5367940354145</v>
      </c>
      <c r="AG246" s="222">
        <v>0</v>
      </c>
      <c r="AH246" s="221">
        <v>0</v>
      </c>
      <c r="AI246" s="222">
        <v>0</v>
      </c>
      <c r="AJ246" s="221">
        <v>0</v>
      </c>
      <c r="AK246" s="222">
        <v>0</v>
      </c>
      <c r="AL246" s="222">
        <v>0</v>
      </c>
      <c r="AM246" s="222">
        <v>0</v>
      </c>
      <c r="AN246" s="222"/>
      <c r="AO246" s="222">
        <v>0</v>
      </c>
    </row>
    <row r="247" spans="1:41" s="223" customFormat="1" ht="36" customHeight="1" x14ac:dyDescent="0.25">
      <c r="A247" s="223">
        <v>1</v>
      </c>
      <c r="B247" s="225">
        <f>SUBTOTAL(103,$A$16:A247)</f>
        <v>227</v>
      </c>
      <c r="C247" s="215" t="s">
        <v>629</v>
      </c>
      <c r="D247" s="217">
        <v>1987</v>
      </c>
      <c r="E247" s="217"/>
      <c r="F247" s="226" t="s">
        <v>267</v>
      </c>
      <c r="G247" s="217">
        <v>9</v>
      </c>
      <c r="H247" s="217" t="s">
        <v>303</v>
      </c>
      <c r="I247" s="190">
        <v>7472.7</v>
      </c>
      <c r="J247" s="190">
        <v>3451.84</v>
      </c>
      <c r="K247" s="190">
        <v>3451.84</v>
      </c>
      <c r="L247" s="219">
        <v>160</v>
      </c>
      <c r="M247" s="217" t="s">
        <v>265</v>
      </c>
      <c r="N247" s="217" t="s">
        <v>283</v>
      </c>
      <c r="O247" s="220" t="s">
        <v>268</v>
      </c>
      <c r="P247" s="190">
        <v>1623216.35</v>
      </c>
      <c r="Q247" s="190">
        <v>0</v>
      </c>
      <c r="R247" s="190">
        <v>0</v>
      </c>
      <c r="S247" s="190">
        <f t="shared" si="25"/>
        <v>1623216.35</v>
      </c>
      <c r="T247" s="190">
        <f t="shared" si="22"/>
        <v>217.2195257403616</v>
      </c>
      <c r="U247" s="190">
        <v>328.90387677813908</v>
      </c>
      <c r="V247" s="221">
        <f t="shared" si="23"/>
        <v>111.68435103777747</v>
      </c>
      <c r="W247" s="221">
        <f t="shared" si="26"/>
        <v>328.90387677813908</v>
      </c>
      <c r="X247" s="221">
        <v>0</v>
      </c>
      <c r="Y247" s="222">
        <v>0</v>
      </c>
      <c r="Z247" s="222">
        <v>0</v>
      </c>
      <c r="AA247" s="222">
        <v>0</v>
      </c>
      <c r="AB247" s="222">
        <v>0</v>
      </c>
      <c r="AC247" s="222">
        <v>1</v>
      </c>
      <c r="AD247" s="221">
        <f>2457800*AC247/I247</f>
        <v>328.90387677813908</v>
      </c>
      <c r="AE247" s="222">
        <v>0</v>
      </c>
      <c r="AF247" s="221">
        <v>0</v>
      </c>
      <c r="AG247" s="222">
        <v>0</v>
      </c>
      <c r="AH247" s="221">
        <v>0</v>
      </c>
      <c r="AI247" s="222">
        <v>0</v>
      </c>
      <c r="AJ247" s="221">
        <v>0</v>
      </c>
      <c r="AK247" s="222">
        <v>0</v>
      </c>
      <c r="AL247" s="222">
        <v>0</v>
      </c>
      <c r="AM247" s="222">
        <v>0</v>
      </c>
      <c r="AN247" s="222"/>
      <c r="AO247" s="222">
        <v>0</v>
      </c>
    </row>
    <row r="248" spans="1:41" s="223" customFormat="1" ht="36" customHeight="1" x14ac:dyDescent="0.25">
      <c r="A248" s="223">
        <v>1</v>
      </c>
      <c r="B248" s="225">
        <f>SUBTOTAL(103,$A$16:A248)</f>
        <v>228</v>
      </c>
      <c r="C248" s="215" t="s">
        <v>631</v>
      </c>
      <c r="D248" s="217">
        <v>1917</v>
      </c>
      <c r="E248" s="217"/>
      <c r="F248" s="226" t="s">
        <v>267</v>
      </c>
      <c r="G248" s="217">
        <v>2</v>
      </c>
      <c r="H248" s="217" t="s">
        <v>304</v>
      </c>
      <c r="I248" s="190">
        <v>237.3</v>
      </c>
      <c r="J248" s="190">
        <v>207.2</v>
      </c>
      <c r="K248" s="190">
        <v>207.2</v>
      </c>
      <c r="L248" s="219">
        <v>13</v>
      </c>
      <c r="M248" s="217" t="s">
        <v>265</v>
      </c>
      <c r="N248" s="217" t="s">
        <v>266</v>
      </c>
      <c r="O248" s="220" t="s">
        <v>268</v>
      </c>
      <c r="P248" s="190">
        <v>833755.4800000001</v>
      </c>
      <c r="Q248" s="190">
        <v>0</v>
      </c>
      <c r="R248" s="190">
        <v>0</v>
      </c>
      <c r="S248" s="190">
        <f t="shared" si="25"/>
        <v>833755.4800000001</v>
      </c>
      <c r="T248" s="190">
        <f t="shared" si="22"/>
        <v>3513.5081331647707</v>
      </c>
      <c r="U248" s="190">
        <v>5920.8277707543193</v>
      </c>
      <c r="V248" s="221">
        <f t="shared" si="23"/>
        <v>2407.3196375895486</v>
      </c>
      <c r="W248" s="221">
        <f t="shared" si="26"/>
        <v>6309.8963337547402</v>
      </c>
      <c r="X248" s="221">
        <v>0</v>
      </c>
      <c r="Y248" s="222">
        <v>0</v>
      </c>
      <c r="Z248" s="222">
        <v>0</v>
      </c>
      <c r="AA248" s="222">
        <v>0</v>
      </c>
      <c r="AB248" s="222">
        <v>0</v>
      </c>
      <c r="AC248" s="222">
        <v>0</v>
      </c>
      <c r="AD248" s="222">
        <v>0</v>
      </c>
      <c r="AE248" s="222">
        <v>240</v>
      </c>
      <c r="AF248" s="221">
        <f t="shared" ref="AF248:AF253" si="27">6238.91*AE248/I248</f>
        <v>6309.8963337547402</v>
      </c>
      <c r="AG248" s="222">
        <v>0</v>
      </c>
      <c r="AH248" s="221">
        <v>0</v>
      </c>
      <c r="AI248" s="222">
        <v>0</v>
      </c>
      <c r="AJ248" s="221">
        <v>0</v>
      </c>
      <c r="AK248" s="222">
        <v>0</v>
      </c>
      <c r="AL248" s="222">
        <v>0</v>
      </c>
      <c r="AM248" s="222">
        <v>0</v>
      </c>
      <c r="AN248" s="222"/>
      <c r="AO248" s="222">
        <v>0</v>
      </c>
    </row>
    <row r="249" spans="1:41" s="223" customFormat="1" ht="36" customHeight="1" x14ac:dyDescent="0.25">
      <c r="A249" s="223">
        <v>1</v>
      </c>
      <c r="B249" s="225">
        <f>SUBTOTAL(103,$A$16:A249)</f>
        <v>229</v>
      </c>
      <c r="C249" s="215" t="s">
        <v>635</v>
      </c>
      <c r="D249" s="217">
        <v>1972</v>
      </c>
      <c r="E249" s="217"/>
      <c r="F249" s="226" t="s">
        <v>267</v>
      </c>
      <c r="G249" s="217">
        <v>5</v>
      </c>
      <c r="H249" s="217" t="s">
        <v>304</v>
      </c>
      <c r="I249" s="190">
        <v>1651.99</v>
      </c>
      <c r="J249" s="190">
        <v>1219.19</v>
      </c>
      <c r="K249" s="190">
        <v>1219.19</v>
      </c>
      <c r="L249" s="219">
        <v>231</v>
      </c>
      <c r="M249" s="217" t="s">
        <v>265</v>
      </c>
      <c r="N249" s="217" t="s">
        <v>341</v>
      </c>
      <c r="O249" s="220" t="s">
        <v>708</v>
      </c>
      <c r="P249" s="190">
        <v>1500690.63</v>
      </c>
      <c r="Q249" s="190">
        <v>0</v>
      </c>
      <c r="R249" s="190">
        <v>0</v>
      </c>
      <c r="S249" s="190">
        <f t="shared" si="25"/>
        <v>1500690.63</v>
      </c>
      <c r="T249" s="190">
        <f t="shared" si="22"/>
        <v>908.41387054401048</v>
      </c>
      <c r="U249" s="190">
        <v>2225.709901391655</v>
      </c>
      <c r="V249" s="221">
        <f t="shared" si="23"/>
        <v>1317.2960308476445</v>
      </c>
      <c r="W249" s="221">
        <f t="shared" si="26"/>
        <v>2126.6050163741911</v>
      </c>
      <c r="X249" s="221">
        <v>0</v>
      </c>
      <c r="Y249" s="222">
        <v>0</v>
      </c>
      <c r="Z249" s="222">
        <v>0</v>
      </c>
      <c r="AA249" s="222">
        <v>0</v>
      </c>
      <c r="AB249" s="222">
        <v>0</v>
      </c>
      <c r="AC249" s="222">
        <v>0</v>
      </c>
      <c r="AD249" s="222">
        <v>0</v>
      </c>
      <c r="AE249" s="222">
        <v>563.1</v>
      </c>
      <c r="AF249" s="221">
        <f t="shared" si="27"/>
        <v>2126.6050163741911</v>
      </c>
      <c r="AG249" s="222">
        <v>0</v>
      </c>
      <c r="AH249" s="221">
        <v>0</v>
      </c>
      <c r="AI249" s="222">
        <v>0</v>
      </c>
      <c r="AJ249" s="221">
        <v>0</v>
      </c>
      <c r="AK249" s="222">
        <v>0</v>
      </c>
      <c r="AL249" s="222">
        <v>0</v>
      </c>
      <c r="AM249" s="222">
        <v>0</v>
      </c>
      <c r="AN249" s="222"/>
      <c r="AO249" s="222">
        <v>0</v>
      </c>
    </row>
    <row r="250" spans="1:41" s="223" customFormat="1" ht="36" customHeight="1" x14ac:dyDescent="0.25">
      <c r="A250" s="223">
        <v>1</v>
      </c>
      <c r="B250" s="225">
        <f>SUBTOTAL(103,$A$16:A250)</f>
        <v>230</v>
      </c>
      <c r="C250" s="215" t="s">
        <v>1089</v>
      </c>
      <c r="D250" s="217">
        <v>1965</v>
      </c>
      <c r="E250" s="217"/>
      <c r="F250" s="226" t="s">
        <v>267</v>
      </c>
      <c r="G250" s="217">
        <v>5</v>
      </c>
      <c r="H250" s="217" t="s">
        <v>308</v>
      </c>
      <c r="I250" s="190">
        <v>3471.4</v>
      </c>
      <c r="J250" s="190">
        <v>3417.4</v>
      </c>
      <c r="K250" s="190">
        <v>3417.4</v>
      </c>
      <c r="L250" s="219">
        <v>208</v>
      </c>
      <c r="M250" s="217" t="s">
        <v>265</v>
      </c>
      <c r="N250" s="217" t="s">
        <v>269</v>
      </c>
      <c r="O250" s="220" t="s">
        <v>706</v>
      </c>
      <c r="P250" s="190">
        <v>4876210.959999999</v>
      </c>
      <c r="Q250" s="190">
        <v>0</v>
      </c>
      <c r="R250" s="190">
        <v>0</v>
      </c>
      <c r="S250" s="190">
        <f t="shared" si="25"/>
        <v>4876210.959999999</v>
      </c>
      <c r="T250" s="190">
        <f t="shared" si="22"/>
        <v>1404.6813850319752</v>
      </c>
      <c r="U250" s="190">
        <v>2049.0050411937546</v>
      </c>
      <c r="V250" s="221">
        <f t="shared" si="23"/>
        <v>644.32365616177935</v>
      </c>
      <c r="W250" s="221">
        <f t="shared" si="26"/>
        <v>1926.4526211326843</v>
      </c>
      <c r="X250" s="221">
        <v>0</v>
      </c>
      <c r="Y250" s="222">
        <v>0</v>
      </c>
      <c r="Z250" s="222">
        <v>0</v>
      </c>
      <c r="AA250" s="222">
        <v>0</v>
      </c>
      <c r="AB250" s="222">
        <v>0</v>
      </c>
      <c r="AC250" s="222">
        <v>0</v>
      </c>
      <c r="AD250" s="222">
        <v>0</v>
      </c>
      <c r="AE250" s="222">
        <v>1071.9000000000001</v>
      </c>
      <c r="AF250" s="221">
        <f t="shared" si="27"/>
        <v>1926.4526211326843</v>
      </c>
      <c r="AG250" s="222">
        <v>0</v>
      </c>
      <c r="AH250" s="221">
        <v>0</v>
      </c>
      <c r="AI250" s="222">
        <v>0</v>
      </c>
      <c r="AJ250" s="221">
        <v>0</v>
      </c>
      <c r="AK250" s="222">
        <v>0</v>
      </c>
      <c r="AL250" s="222">
        <v>0</v>
      </c>
      <c r="AM250" s="222">
        <v>0</v>
      </c>
      <c r="AN250" s="222"/>
      <c r="AO250" s="222">
        <v>0</v>
      </c>
    </row>
    <row r="251" spans="1:41" s="223" customFormat="1" ht="36" customHeight="1" x14ac:dyDescent="0.25">
      <c r="A251" s="223">
        <v>1</v>
      </c>
      <c r="B251" s="225">
        <f>SUBTOTAL(103,$A$16:A251)</f>
        <v>231</v>
      </c>
      <c r="C251" s="215" t="s">
        <v>1175</v>
      </c>
      <c r="D251" s="217" t="s">
        <v>1311</v>
      </c>
      <c r="E251" s="217"/>
      <c r="F251" s="226" t="s">
        <v>311</v>
      </c>
      <c r="G251" s="217" t="s">
        <v>357</v>
      </c>
      <c r="H251" s="217" t="s">
        <v>303</v>
      </c>
      <c r="I251" s="190">
        <v>4238.3</v>
      </c>
      <c r="J251" s="190">
        <v>4238.3</v>
      </c>
      <c r="K251" s="190">
        <v>4238.3</v>
      </c>
      <c r="L251" s="219">
        <v>187</v>
      </c>
      <c r="M251" s="217" t="s">
        <v>265</v>
      </c>
      <c r="N251" s="217" t="s">
        <v>269</v>
      </c>
      <c r="O251" s="220" t="s">
        <v>1312</v>
      </c>
      <c r="P251" s="190">
        <v>978702.2</v>
      </c>
      <c r="Q251" s="190">
        <v>0</v>
      </c>
      <c r="R251" s="190">
        <v>0</v>
      </c>
      <c r="S251" s="190">
        <f t="shared" si="25"/>
        <v>978702.2</v>
      </c>
      <c r="T251" s="190">
        <f t="shared" si="22"/>
        <v>230.91857584408842</v>
      </c>
      <c r="U251" s="190">
        <v>795.63288464714617</v>
      </c>
      <c r="V251" s="221">
        <f t="shared" si="23"/>
        <v>564.71430880305775</v>
      </c>
      <c r="W251" s="221">
        <f t="shared" si="26"/>
        <v>795.63288464714617</v>
      </c>
      <c r="X251" s="221">
        <v>0</v>
      </c>
      <c r="Y251" s="222">
        <v>0</v>
      </c>
      <c r="Z251" s="222">
        <v>0</v>
      </c>
      <c r="AA251" s="222">
        <v>0</v>
      </c>
      <c r="AB251" s="222">
        <v>0</v>
      </c>
      <c r="AC251" s="222">
        <v>0</v>
      </c>
      <c r="AD251" s="222">
        <v>0</v>
      </c>
      <c r="AE251" s="222">
        <v>540.5</v>
      </c>
      <c r="AF251" s="221">
        <f t="shared" si="27"/>
        <v>795.63288464714617</v>
      </c>
      <c r="AG251" s="222">
        <v>0</v>
      </c>
      <c r="AH251" s="221">
        <v>0</v>
      </c>
      <c r="AI251" s="222">
        <v>0</v>
      </c>
      <c r="AJ251" s="221">
        <v>0</v>
      </c>
      <c r="AK251" s="222">
        <v>0</v>
      </c>
      <c r="AL251" s="222">
        <v>0</v>
      </c>
      <c r="AM251" s="222">
        <v>0</v>
      </c>
      <c r="AN251" s="222"/>
      <c r="AO251" s="222">
        <v>0</v>
      </c>
    </row>
    <row r="252" spans="1:41" s="223" customFormat="1" ht="36" customHeight="1" x14ac:dyDescent="0.25">
      <c r="A252" s="223">
        <v>1</v>
      </c>
      <c r="B252" s="225">
        <f>SUBTOTAL(103,$A$16:A252)</f>
        <v>232</v>
      </c>
      <c r="C252" s="215" t="s">
        <v>1176</v>
      </c>
      <c r="D252" s="217" t="s">
        <v>309</v>
      </c>
      <c r="E252" s="217"/>
      <c r="F252" s="226" t="s">
        <v>267</v>
      </c>
      <c r="G252" s="217" t="s">
        <v>312</v>
      </c>
      <c r="H252" s="217" t="s">
        <v>303</v>
      </c>
      <c r="I252" s="218">
        <v>1681.3</v>
      </c>
      <c r="J252" s="218">
        <v>1080.3</v>
      </c>
      <c r="K252" s="218">
        <v>1080.3</v>
      </c>
      <c r="L252" s="219">
        <v>54</v>
      </c>
      <c r="M252" s="217" t="s">
        <v>265</v>
      </c>
      <c r="N252" s="217" t="s">
        <v>269</v>
      </c>
      <c r="O252" s="220" t="s">
        <v>1313</v>
      </c>
      <c r="P252" s="190">
        <v>3006507.7</v>
      </c>
      <c r="Q252" s="190">
        <v>0</v>
      </c>
      <c r="R252" s="190">
        <v>0</v>
      </c>
      <c r="S252" s="190">
        <f t="shared" si="25"/>
        <v>3006507.7</v>
      </c>
      <c r="T252" s="190">
        <f t="shared" si="22"/>
        <v>1788.2041872360676</v>
      </c>
      <c r="U252" s="190">
        <v>2371.8482162612263</v>
      </c>
      <c r="V252" s="221">
        <f t="shared" si="23"/>
        <v>583.64402902515872</v>
      </c>
      <c r="W252" s="221">
        <f t="shared" si="26"/>
        <v>2707.8568930589427</v>
      </c>
      <c r="X252" s="221">
        <v>0</v>
      </c>
      <c r="Y252" s="222">
        <v>0</v>
      </c>
      <c r="Z252" s="222">
        <v>0</v>
      </c>
      <c r="AA252" s="222">
        <v>0</v>
      </c>
      <c r="AB252" s="222">
        <v>0</v>
      </c>
      <c r="AC252" s="222">
        <v>0</v>
      </c>
      <c r="AD252" s="222">
        <v>0</v>
      </c>
      <c r="AE252" s="222">
        <v>729.73</v>
      </c>
      <c r="AF252" s="221">
        <f t="shared" si="27"/>
        <v>2707.8568930589427</v>
      </c>
      <c r="AG252" s="222">
        <v>0</v>
      </c>
      <c r="AH252" s="221">
        <v>0</v>
      </c>
      <c r="AI252" s="222">
        <v>0</v>
      </c>
      <c r="AJ252" s="221">
        <v>0</v>
      </c>
      <c r="AK252" s="222">
        <v>0</v>
      </c>
      <c r="AL252" s="222">
        <v>0</v>
      </c>
      <c r="AM252" s="222">
        <v>0</v>
      </c>
      <c r="AN252" s="222"/>
      <c r="AO252" s="222">
        <v>0</v>
      </c>
    </row>
    <row r="253" spans="1:41" s="223" customFormat="1" ht="36" customHeight="1" x14ac:dyDescent="0.25">
      <c r="A253" s="223">
        <v>1</v>
      </c>
      <c r="B253" s="225">
        <f>SUBTOTAL(103,$A$16:A253)</f>
        <v>233</v>
      </c>
      <c r="C253" s="215" t="s">
        <v>1177</v>
      </c>
      <c r="D253" s="217">
        <v>1959</v>
      </c>
      <c r="E253" s="217"/>
      <c r="F253" s="226" t="s">
        <v>267</v>
      </c>
      <c r="G253" s="217">
        <v>5</v>
      </c>
      <c r="H253" s="217" t="s">
        <v>351</v>
      </c>
      <c r="I253" s="190">
        <v>6261.25</v>
      </c>
      <c r="J253" s="190">
        <v>4642.6499999999996</v>
      </c>
      <c r="K253" s="190">
        <v>2995.37</v>
      </c>
      <c r="L253" s="219">
        <v>118</v>
      </c>
      <c r="M253" s="217" t="s">
        <v>265</v>
      </c>
      <c r="N253" s="217" t="s">
        <v>269</v>
      </c>
      <c r="O253" s="220" t="s">
        <v>1314</v>
      </c>
      <c r="P253" s="190">
        <v>8000402.0100000007</v>
      </c>
      <c r="Q253" s="190">
        <v>0</v>
      </c>
      <c r="R253" s="190">
        <v>0</v>
      </c>
      <c r="S253" s="190">
        <f t="shared" si="25"/>
        <v>8000402.0100000007</v>
      </c>
      <c r="T253" s="190">
        <f t="shared" si="22"/>
        <v>1277.7643457776005</v>
      </c>
      <c r="U253" s="190">
        <v>1642.8765952485526</v>
      </c>
      <c r="V253" s="221">
        <f t="shared" si="23"/>
        <v>365.11224947095207</v>
      </c>
      <c r="W253" s="221">
        <f t="shared" si="26"/>
        <v>1644.1128368935915</v>
      </c>
      <c r="X253" s="221">
        <v>0</v>
      </c>
      <c r="Y253" s="222">
        <v>0</v>
      </c>
      <c r="Z253" s="222">
        <v>0</v>
      </c>
      <c r="AA253" s="222">
        <v>0</v>
      </c>
      <c r="AB253" s="222">
        <v>0</v>
      </c>
      <c r="AC253" s="222">
        <v>0</v>
      </c>
      <c r="AD253" s="222">
        <v>0</v>
      </c>
      <c r="AE253" s="222">
        <v>1650</v>
      </c>
      <c r="AF253" s="221">
        <f t="shared" si="27"/>
        <v>1644.1128368935915</v>
      </c>
      <c r="AG253" s="222">
        <v>0</v>
      </c>
      <c r="AH253" s="221">
        <v>0</v>
      </c>
      <c r="AI253" s="222">
        <v>0</v>
      </c>
      <c r="AJ253" s="221">
        <v>0</v>
      </c>
      <c r="AK253" s="222">
        <v>0</v>
      </c>
      <c r="AL253" s="222">
        <v>0</v>
      </c>
      <c r="AM253" s="222">
        <v>0</v>
      </c>
      <c r="AN253" s="222"/>
      <c r="AO253" s="222">
        <v>0</v>
      </c>
    </row>
    <row r="254" spans="1:41" s="223" customFormat="1" ht="36" customHeight="1" x14ac:dyDescent="0.25">
      <c r="A254" s="223">
        <v>1</v>
      </c>
      <c r="B254" s="225">
        <f>SUBTOTAL(103,$A$16:A254)</f>
        <v>234</v>
      </c>
      <c r="C254" s="215" t="s">
        <v>1178</v>
      </c>
      <c r="D254" s="217">
        <v>1956</v>
      </c>
      <c r="E254" s="217"/>
      <c r="F254" s="226" t="s">
        <v>267</v>
      </c>
      <c r="G254" s="217">
        <v>2</v>
      </c>
      <c r="H254" s="217" t="s">
        <v>303</v>
      </c>
      <c r="I254" s="190">
        <v>525.29999999999995</v>
      </c>
      <c r="J254" s="190">
        <v>480.3</v>
      </c>
      <c r="K254" s="190">
        <v>480.3</v>
      </c>
      <c r="L254" s="219">
        <v>31</v>
      </c>
      <c r="M254" s="217" t="s">
        <v>265</v>
      </c>
      <c r="N254" s="217" t="s">
        <v>269</v>
      </c>
      <c r="O254" s="220" t="s">
        <v>707</v>
      </c>
      <c r="P254" s="190">
        <v>1685713.47</v>
      </c>
      <c r="Q254" s="190">
        <v>0</v>
      </c>
      <c r="R254" s="190">
        <v>0</v>
      </c>
      <c r="S254" s="190">
        <f t="shared" si="25"/>
        <v>1685713.47</v>
      </c>
      <c r="T254" s="190">
        <f t="shared" si="22"/>
        <v>3209.0490576813254</v>
      </c>
      <c r="U254" s="190">
        <v>9061.8802569960026</v>
      </c>
      <c r="V254" s="221">
        <f t="shared" si="23"/>
        <v>5852.8311993146772</v>
      </c>
      <c r="W254" s="221">
        <f t="shared" si="26"/>
        <v>9061.8802569960026</v>
      </c>
      <c r="X254" s="221">
        <v>0</v>
      </c>
      <c r="Y254" s="222">
        <v>0</v>
      </c>
      <c r="Z254" s="222">
        <v>0</v>
      </c>
      <c r="AA254" s="222">
        <v>0</v>
      </c>
      <c r="AB254" s="222">
        <v>0</v>
      </c>
      <c r="AC254" s="222">
        <v>0</v>
      </c>
      <c r="AD254" s="222">
        <v>0</v>
      </c>
      <c r="AE254" s="222">
        <v>0</v>
      </c>
      <c r="AF254" s="221">
        <v>0</v>
      </c>
      <c r="AG254" s="222">
        <v>0</v>
      </c>
      <c r="AH254" s="221">
        <v>0</v>
      </c>
      <c r="AI254" s="222">
        <v>639.89</v>
      </c>
      <c r="AJ254" s="221">
        <f>7439.1*AI254/I254</f>
        <v>9061.8802569960026</v>
      </c>
      <c r="AK254" s="222">
        <v>0</v>
      </c>
      <c r="AL254" s="222">
        <v>0</v>
      </c>
      <c r="AM254" s="222">
        <v>0</v>
      </c>
      <c r="AN254" s="222"/>
      <c r="AO254" s="222">
        <v>0</v>
      </c>
    </row>
    <row r="255" spans="1:41" s="223" customFormat="1" ht="36" customHeight="1" x14ac:dyDescent="0.25">
      <c r="A255" s="223">
        <v>1</v>
      </c>
      <c r="B255" s="225">
        <f>SUBTOTAL(103,$A$16:A255)</f>
        <v>235</v>
      </c>
      <c r="C255" s="215" t="s">
        <v>1179</v>
      </c>
      <c r="D255" s="217">
        <v>1978</v>
      </c>
      <c r="E255" s="217"/>
      <c r="F255" s="226" t="s">
        <v>267</v>
      </c>
      <c r="G255" s="217">
        <v>9</v>
      </c>
      <c r="H255" s="217" t="s">
        <v>2267</v>
      </c>
      <c r="I255" s="190">
        <v>12893.2</v>
      </c>
      <c r="J255" s="190">
        <v>12893.2</v>
      </c>
      <c r="K255" s="190">
        <v>12893.2</v>
      </c>
      <c r="L255" s="219">
        <v>493</v>
      </c>
      <c r="M255" s="217" t="s">
        <v>265</v>
      </c>
      <c r="N255" s="217" t="s">
        <v>269</v>
      </c>
      <c r="O255" s="220" t="s">
        <v>1314</v>
      </c>
      <c r="P255" s="190">
        <v>3785233.7800000003</v>
      </c>
      <c r="Q255" s="190">
        <v>0</v>
      </c>
      <c r="R255" s="190">
        <v>0</v>
      </c>
      <c r="S255" s="190">
        <f t="shared" si="25"/>
        <v>3785233.7800000003</v>
      </c>
      <c r="T255" s="190">
        <f t="shared" si="22"/>
        <v>293.58373251016042</v>
      </c>
      <c r="U255" s="190">
        <v>925.68445614742654</v>
      </c>
      <c r="V255" s="221">
        <f t="shared" si="23"/>
        <v>632.10072363726613</v>
      </c>
      <c r="W255" s="221">
        <f t="shared" si="26"/>
        <v>925.68445614742654</v>
      </c>
      <c r="X255" s="221">
        <v>0</v>
      </c>
      <c r="Y255" s="222">
        <v>0</v>
      </c>
      <c r="Z255" s="222">
        <v>0</v>
      </c>
      <c r="AA255" s="222">
        <v>0</v>
      </c>
      <c r="AB255" s="222">
        <v>0</v>
      </c>
      <c r="AC255" s="222">
        <v>0</v>
      </c>
      <c r="AD255" s="222">
        <v>0</v>
      </c>
      <c r="AE255" s="222">
        <v>1913</v>
      </c>
      <c r="AF255" s="221">
        <f>6238.91*AE255/I255</f>
        <v>925.68445614742654</v>
      </c>
      <c r="AG255" s="222">
        <v>0</v>
      </c>
      <c r="AH255" s="221">
        <v>0</v>
      </c>
      <c r="AI255" s="222">
        <v>0</v>
      </c>
      <c r="AJ255" s="221">
        <v>0</v>
      </c>
      <c r="AK255" s="222">
        <v>0</v>
      </c>
      <c r="AL255" s="222">
        <v>0</v>
      </c>
      <c r="AM255" s="222">
        <v>0</v>
      </c>
      <c r="AN255" s="222"/>
      <c r="AO255" s="222">
        <v>0</v>
      </c>
    </row>
    <row r="256" spans="1:41" s="223" customFormat="1" ht="36" customHeight="1" x14ac:dyDescent="0.25">
      <c r="A256" s="223">
        <v>1</v>
      </c>
      <c r="B256" s="225">
        <f>SUBTOTAL(103,$A$16:A256)</f>
        <v>236</v>
      </c>
      <c r="C256" s="215" t="s">
        <v>1183</v>
      </c>
      <c r="D256" s="217">
        <v>1982</v>
      </c>
      <c r="E256" s="217"/>
      <c r="F256" s="226" t="s">
        <v>267</v>
      </c>
      <c r="G256" s="217">
        <v>9</v>
      </c>
      <c r="H256" s="217" t="s">
        <v>303</v>
      </c>
      <c r="I256" s="190">
        <v>4642.08</v>
      </c>
      <c r="J256" s="190">
        <v>4642.08</v>
      </c>
      <c r="K256" s="190">
        <v>4642.08</v>
      </c>
      <c r="L256" s="219">
        <v>170</v>
      </c>
      <c r="M256" s="217" t="s">
        <v>265</v>
      </c>
      <c r="N256" s="217" t="s">
        <v>269</v>
      </c>
      <c r="O256" s="220" t="s">
        <v>706</v>
      </c>
      <c r="P256" s="190">
        <v>2272822.6599999997</v>
      </c>
      <c r="Q256" s="190">
        <v>0</v>
      </c>
      <c r="R256" s="190">
        <v>0</v>
      </c>
      <c r="S256" s="190">
        <f t="shared" si="25"/>
        <v>2272822.6599999997</v>
      </c>
      <c r="T256" s="190">
        <f t="shared" si="22"/>
        <v>489.61298814324607</v>
      </c>
      <c r="U256" s="190">
        <v>560.82000000000005</v>
      </c>
      <c r="V256" s="221">
        <f t="shared" si="23"/>
        <v>71.207011856753979</v>
      </c>
      <c r="W256" s="221">
        <f t="shared" si="26"/>
        <v>531.97</v>
      </c>
      <c r="X256" s="221">
        <v>101.55</v>
      </c>
      <c r="Y256" s="222">
        <v>245.44</v>
      </c>
      <c r="Z256" s="222">
        <v>0</v>
      </c>
      <c r="AA256" s="222">
        <v>184.98</v>
      </c>
      <c r="AB256" s="222">
        <v>0</v>
      </c>
      <c r="AC256" s="222">
        <v>0</v>
      </c>
      <c r="AD256" s="222">
        <v>0</v>
      </c>
      <c r="AE256" s="222">
        <v>0</v>
      </c>
      <c r="AF256" s="221">
        <v>0</v>
      </c>
      <c r="AG256" s="222">
        <v>0</v>
      </c>
      <c r="AH256" s="221">
        <v>0</v>
      </c>
      <c r="AI256" s="222">
        <v>0</v>
      </c>
      <c r="AJ256" s="221">
        <v>0</v>
      </c>
      <c r="AK256" s="222">
        <v>0</v>
      </c>
      <c r="AL256" s="222">
        <v>0</v>
      </c>
      <c r="AM256" s="222">
        <v>0</v>
      </c>
      <c r="AN256" s="222"/>
      <c r="AO256" s="222">
        <v>0</v>
      </c>
    </row>
    <row r="257" spans="1:41" s="223" customFormat="1" ht="36" customHeight="1" x14ac:dyDescent="0.25">
      <c r="A257" s="223">
        <v>1</v>
      </c>
      <c r="B257" s="225">
        <f>SUBTOTAL(103,$A$16:A257)</f>
        <v>237</v>
      </c>
      <c r="C257" s="215" t="s">
        <v>1184</v>
      </c>
      <c r="D257" s="217">
        <v>1978</v>
      </c>
      <c r="E257" s="217"/>
      <c r="F257" s="226" t="s">
        <v>267</v>
      </c>
      <c r="G257" s="217">
        <v>5</v>
      </c>
      <c r="H257" s="217" t="s">
        <v>371</v>
      </c>
      <c r="I257" s="190">
        <v>6106.27</v>
      </c>
      <c r="J257" s="190">
        <v>4513.8999999999996</v>
      </c>
      <c r="K257" s="190">
        <v>4513.8999999999996</v>
      </c>
      <c r="L257" s="219">
        <v>207</v>
      </c>
      <c r="M257" s="217" t="s">
        <v>265</v>
      </c>
      <c r="N257" s="217" t="s">
        <v>269</v>
      </c>
      <c r="O257" s="220" t="s">
        <v>706</v>
      </c>
      <c r="P257" s="190">
        <v>4444796.6100000003</v>
      </c>
      <c r="Q257" s="190">
        <v>0</v>
      </c>
      <c r="R257" s="190">
        <v>0</v>
      </c>
      <c r="S257" s="190">
        <f t="shared" si="25"/>
        <v>4444796.6100000003</v>
      </c>
      <c r="T257" s="190">
        <f t="shared" si="22"/>
        <v>727.9069890456858</v>
      </c>
      <c r="U257" s="190">
        <v>1369.0823777854566</v>
      </c>
      <c r="V257" s="221">
        <f t="shared" si="23"/>
        <v>641.17538873977082</v>
      </c>
      <c r="W257" s="221">
        <f t="shared" si="26"/>
        <v>1292.4373788908777</v>
      </c>
      <c r="X257" s="221">
        <v>0</v>
      </c>
      <c r="Y257" s="222">
        <v>0</v>
      </c>
      <c r="Z257" s="222">
        <v>0</v>
      </c>
      <c r="AA257" s="222">
        <v>0</v>
      </c>
      <c r="AB257" s="222">
        <v>0</v>
      </c>
      <c r="AC257" s="222">
        <v>0</v>
      </c>
      <c r="AD257" s="222">
        <v>0</v>
      </c>
      <c r="AE257" s="222">
        <v>1264.96</v>
      </c>
      <c r="AF257" s="221">
        <f>6238.91*AE257/I257</f>
        <v>1292.4373788908777</v>
      </c>
      <c r="AG257" s="222">
        <v>0</v>
      </c>
      <c r="AH257" s="221">
        <v>0</v>
      </c>
      <c r="AI257" s="222">
        <v>0</v>
      </c>
      <c r="AJ257" s="221">
        <v>0</v>
      </c>
      <c r="AK257" s="222">
        <v>0</v>
      </c>
      <c r="AL257" s="222">
        <v>0</v>
      </c>
      <c r="AM257" s="222">
        <v>0</v>
      </c>
      <c r="AN257" s="222"/>
      <c r="AO257" s="222">
        <v>0</v>
      </c>
    </row>
    <row r="258" spans="1:41" s="223" customFormat="1" ht="36" customHeight="1" x14ac:dyDescent="0.25">
      <c r="A258" s="223">
        <v>1</v>
      </c>
      <c r="B258" s="225">
        <f>SUBTOTAL(103,$A$16:A258)</f>
        <v>238</v>
      </c>
      <c r="C258" s="215" t="s">
        <v>1186</v>
      </c>
      <c r="D258" s="217">
        <v>1937</v>
      </c>
      <c r="E258" s="217"/>
      <c r="F258" s="226" t="s">
        <v>267</v>
      </c>
      <c r="G258" s="217">
        <v>3</v>
      </c>
      <c r="H258" s="217" t="s">
        <v>308</v>
      </c>
      <c r="I258" s="190">
        <v>1443.5</v>
      </c>
      <c r="J258" s="190">
        <v>976.1</v>
      </c>
      <c r="K258" s="190">
        <v>976.1</v>
      </c>
      <c r="L258" s="219">
        <v>60</v>
      </c>
      <c r="M258" s="217" t="s">
        <v>265</v>
      </c>
      <c r="N258" s="217" t="s">
        <v>283</v>
      </c>
      <c r="O258" s="220" t="s">
        <v>268</v>
      </c>
      <c r="P258" s="190">
        <v>3526049.4499999997</v>
      </c>
      <c r="Q258" s="190">
        <v>0</v>
      </c>
      <c r="R258" s="190">
        <v>0</v>
      </c>
      <c r="S258" s="190">
        <f t="shared" si="25"/>
        <v>3526049.4499999997</v>
      </c>
      <c r="T258" s="190">
        <f t="shared" si="22"/>
        <v>2442.7083131278141</v>
      </c>
      <c r="U258" s="190">
        <v>3781.4087488742639</v>
      </c>
      <c r="V258" s="221">
        <f t="shared" si="23"/>
        <v>1338.7004357464498</v>
      </c>
      <c r="W258" s="221">
        <f t="shared" si="26"/>
        <v>3625.2237898856943</v>
      </c>
      <c r="X258" s="221">
        <v>0</v>
      </c>
      <c r="Y258" s="222">
        <v>0</v>
      </c>
      <c r="Z258" s="222">
        <v>0</v>
      </c>
      <c r="AA258" s="222">
        <v>0</v>
      </c>
      <c r="AB258" s="222">
        <v>0</v>
      </c>
      <c r="AC258" s="222">
        <v>0</v>
      </c>
      <c r="AD258" s="222">
        <v>0</v>
      </c>
      <c r="AE258" s="222">
        <v>838.77</v>
      </c>
      <c r="AF258" s="221">
        <f>6238.91*AE258/I258</f>
        <v>3625.2237898856943</v>
      </c>
      <c r="AG258" s="222">
        <v>0</v>
      </c>
      <c r="AH258" s="221">
        <v>0</v>
      </c>
      <c r="AI258" s="222">
        <v>0</v>
      </c>
      <c r="AJ258" s="221">
        <v>0</v>
      </c>
      <c r="AK258" s="222">
        <v>0</v>
      </c>
      <c r="AL258" s="222">
        <v>0</v>
      </c>
      <c r="AM258" s="222">
        <v>0</v>
      </c>
      <c r="AN258" s="222"/>
      <c r="AO258" s="222">
        <v>0</v>
      </c>
    </row>
    <row r="259" spans="1:41" s="223" customFormat="1" ht="36" customHeight="1" x14ac:dyDescent="0.25">
      <c r="A259" s="223">
        <v>1</v>
      </c>
      <c r="B259" s="225">
        <f>SUBTOTAL(103,$A$16:A259)</f>
        <v>239</v>
      </c>
      <c r="C259" s="215" t="s">
        <v>1187</v>
      </c>
      <c r="D259" s="217">
        <v>1973</v>
      </c>
      <c r="E259" s="217"/>
      <c r="F259" s="226" t="s">
        <v>267</v>
      </c>
      <c r="G259" s="217">
        <v>5</v>
      </c>
      <c r="H259" s="217" t="s">
        <v>371</v>
      </c>
      <c r="I259" s="190">
        <v>5659.64</v>
      </c>
      <c r="J259" s="190">
        <v>4429.9399999999996</v>
      </c>
      <c r="K259" s="190">
        <v>4365.74</v>
      </c>
      <c r="L259" s="219">
        <v>213</v>
      </c>
      <c r="M259" s="217" t="s">
        <v>265</v>
      </c>
      <c r="N259" s="217" t="s">
        <v>269</v>
      </c>
      <c r="O259" s="220" t="s">
        <v>704</v>
      </c>
      <c r="P259" s="190">
        <v>5490389.4400000004</v>
      </c>
      <c r="Q259" s="190">
        <v>0</v>
      </c>
      <c r="R259" s="190">
        <v>0</v>
      </c>
      <c r="S259" s="190">
        <f t="shared" si="25"/>
        <v>5490389.4400000004</v>
      </c>
      <c r="T259" s="190">
        <f t="shared" si="22"/>
        <v>970.09517213108961</v>
      </c>
      <c r="U259" s="190">
        <v>2780.3214692100555</v>
      </c>
      <c r="V259" s="221">
        <f t="shared" si="23"/>
        <v>1810.2262970789659</v>
      </c>
      <c r="W259" s="221">
        <f t="shared" si="26"/>
        <v>2286.1658071891497</v>
      </c>
      <c r="X259" s="221">
        <v>0</v>
      </c>
      <c r="Y259" s="222">
        <v>0</v>
      </c>
      <c r="Z259" s="222">
        <v>0</v>
      </c>
      <c r="AA259" s="222">
        <v>0</v>
      </c>
      <c r="AB259" s="222">
        <v>0</v>
      </c>
      <c r="AC259" s="222">
        <v>0</v>
      </c>
      <c r="AD259" s="222">
        <v>0</v>
      </c>
      <c r="AE259" s="222">
        <v>2073.9</v>
      </c>
      <c r="AF259" s="221">
        <f>6238.91*AE259/I259</f>
        <v>2286.1658071891497</v>
      </c>
      <c r="AG259" s="222">
        <v>0</v>
      </c>
      <c r="AH259" s="221">
        <v>0</v>
      </c>
      <c r="AI259" s="222">
        <v>0</v>
      </c>
      <c r="AJ259" s="221">
        <v>0</v>
      </c>
      <c r="AK259" s="222">
        <v>0</v>
      </c>
      <c r="AL259" s="222">
        <v>0</v>
      </c>
      <c r="AM259" s="222">
        <v>0</v>
      </c>
      <c r="AN259" s="222"/>
      <c r="AO259" s="222">
        <v>0</v>
      </c>
    </row>
    <row r="260" spans="1:41" s="223" customFormat="1" ht="36" customHeight="1" x14ac:dyDescent="0.25">
      <c r="A260" s="223">
        <v>1</v>
      </c>
      <c r="B260" s="225">
        <f>SUBTOTAL(103,$A$16:A260)</f>
        <v>240</v>
      </c>
      <c r="C260" s="215" t="s">
        <v>1189</v>
      </c>
      <c r="D260" s="217">
        <v>1967</v>
      </c>
      <c r="E260" s="217"/>
      <c r="F260" s="226" t="s">
        <v>267</v>
      </c>
      <c r="G260" s="217">
        <v>5</v>
      </c>
      <c r="H260" s="217" t="s">
        <v>308</v>
      </c>
      <c r="I260" s="190">
        <v>5485.29</v>
      </c>
      <c r="J260" s="190">
        <v>3346.19</v>
      </c>
      <c r="K260" s="190">
        <v>3187.4</v>
      </c>
      <c r="L260" s="219">
        <v>153</v>
      </c>
      <c r="M260" s="217" t="s">
        <v>265</v>
      </c>
      <c r="N260" s="217" t="s">
        <v>269</v>
      </c>
      <c r="O260" s="220" t="s">
        <v>1313</v>
      </c>
      <c r="P260" s="190">
        <v>4738452.92</v>
      </c>
      <c r="Q260" s="190">
        <v>0</v>
      </c>
      <c r="R260" s="190">
        <v>0</v>
      </c>
      <c r="S260" s="190">
        <f t="shared" si="25"/>
        <v>4738452.92</v>
      </c>
      <c r="T260" s="190">
        <f t="shared" si="22"/>
        <v>863.84729339743205</v>
      </c>
      <c r="U260" s="190">
        <v>1393.5351494633828</v>
      </c>
      <c r="V260" s="221">
        <f t="shared" si="23"/>
        <v>529.68785606595077</v>
      </c>
      <c r="W260" s="221">
        <f t="shared" si="26"/>
        <v>3444.64</v>
      </c>
      <c r="X260" s="221">
        <v>0</v>
      </c>
      <c r="Y260" s="222">
        <v>0</v>
      </c>
      <c r="Z260" s="222">
        <v>3259.66</v>
      </c>
      <c r="AA260" s="222">
        <v>184.98</v>
      </c>
      <c r="AB260" s="222">
        <v>0</v>
      </c>
      <c r="AC260" s="222">
        <v>0</v>
      </c>
      <c r="AD260" s="222">
        <v>0</v>
      </c>
      <c r="AE260" s="222">
        <v>0</v>
      </c>
      <c r="AF260" s="221">
        <v>0</v>
      </c>
      <c r="AG260" s="222">
        <v>0</v>
      </c>
      <c r="AH260" s="221">
        <v>0</v>
      </c>
      <c r="AI260" s="222">
        <v>0</v>
      </c>
      <c r="AJ260" s="221">
        <v>0</v>
      </c>
      <c r="AK260" s="222">
        <v>0</v>
      </c>
      <c r="AL260" s="222">
        <v>0</v>
      </c>
      <c r="AM260" s="222">
        <v>0</v>
      </c>
      <c r="AN260" s="222"/>
      <c r="AO260" s="222">
        <v>0</v>
      </c>
    </row>
    <row r="261" spans="1:41" s="223" customFormat="1" ht="36" customHeight="1" x14ac:dyDescent="0.25">
      <c r="A261" s="223">
        <v>1</v>
      </c>
      <c r="B261" s="225">
        <f>SUBTOTAL(103,$A$16:A261)</f>
        <v>241</v>
      </c>
      <c r="C261" s="215" t="s">
        <v>1190</v>
      </c>
      <c r="D261" s="217">
        <v>1990</v>
      </c>
      <c r="E261" s="217"/>
      <c r="F261" s="226" t="s">
        <v>267</v>
      </c>
      <c r="G261" s="217">
        <v>2</v>
      </c>
      <c r="H261" s="217" t="s">
        <v>303</v>
      </c>
      <c r="I261" s="190">
        <v>568.29999999999995</v>
      </c>
      <c r="J261" s="190">
        <v>317</v>
      </c>
      <c r="K261" s="190">
        <v>317</v>
      </c>
      <c r="L261" s="219">
        <v>31</v>
      </c>
      <c r="M261" s="217" t="s">
        <v>265</v>
      </c>
      <c r="N261" s="217" t="s">
        <v>266</v>
      </c>
      <c r="O261" s="220" t="s">
        <v>268</v>
      </c>
      <c r="P261" s="190">
        <v>2182746.96</v>
      </c>
      <c r="Q261" s="190">
        <v>0</v>
      </c>
      <c r="R261" s="190">
        <v>0</v>
      </c>
      <c r="S261" s="190">
        <f t="shared" si="25"/>
        <v>2182746.96</v>
      </c>
      <c r="T261" s="190">
        <f t="shared" si="22"/>
        <v>3840.8357557628015</v>
      </c>
      <c r="U261" s="190">
        <v>5543.96951961992</v>
      </c>
      <c r="V261" s="221">
        <f t="shared" si="23"/>
        <v>1703.1337638571185</v>
      </c>
      <c r="W261" s="221">
        <f t="shared" si="26"/>
        <v>12894.991529121942</v>
      </c>
      <c r="X261" s="221">
        <v>0</v>
      </c>
      <c r="Y261" s="222">
        <v>0</v>
      </c>
      <c r="Z261" s="222">
        <v>0</v>
      </c>
      <c r="AA261" s="222">
        <v>0</v>
      </c>
      <c r="AB261" s="222">
        <v>0</v>
      </c>
      <c r="AC261" s="222">
        <v>0</v>
      </c>
      <c r="AD261" s="222">
        <v>0</v>
      </c>
      <c r="AE261" s="222">
        <v>1174.5999999999999</v>
      </c>
      <c r="AF261" s="221">
        <f>6238.91*AE261/I261</f>
        <v>12894.991529121942</v>
      </c>
      <c r="AG261" s="222">
        <v>0</v>
      </c>
      <c r="AH261" s="221">
        <v>0</v>
      </c>
      <c r="AI261" s="222">
        <v>0</v>
      </c>
      <c r="AJ261" s="221">
        <v>0</v>
      </c>
      <c r="AK261" s="222">
        <v>0</v>
      </c>
      <c r="AL261" s="222">
        <v>0</v>
      </c>
      <c r="AM261" s="222">
        <v>0</v>
      </c>
      <c r="AN261" s="222"/>
      <c r="AO261" s="222">
        <v>0</v>
      </c>
    </row>
    <row r="262" spans="1:41" s="223" customFormat="1" ht="36" customHeight="1" x14ac:dyDescent="0.25">
      <c r="A262" s="223">
        <v>1</v>
      </c>
      <c r="B262" s="225">
        <f>SUBTOTAL(103,$A$16:A262)</f>
        <v>242</v>
      </c>
      <c r="C262" s="215" t="s">
        <v>1350</v>
      </c>
      <c r="D262" s="217">
        <v>1820</v>
      </c>
      <c r="E262" s="217"/>
      <c r="F262" s="226" t="s">
        <v>267</v>
      </c>
      <c r="G262" s="217">
        <v>2</v>
      </c>
      <c r="H262" s="217" t="s">
        <v>303</v>
      </c>
      <c r="I262" s="190">
        <v>973.3</v>
      </c>
      <c r="J262" s="190">
        <v>527.20000000000005</v>
      </c>
      <c r="K262" s="190">
        <v>527.20000000000005</v>
      </c>
      <c r="L262" s="219">
        <v>26</v>
      </c>
      <c r="M262" s="217" t="s">
        <v>265</v>
      </c>
      <c r="N262" s="217" t="s">
        <v>269</v>
      </c>
      <c r="O262" s="220" t="s">
        <v>1078</v>
      </c>
      <c r="P262" s="190">
        <v>1724602.98</v>
      </c>
      <c r="Q262" s="190">
        <v>0</v>
      </c>
      <c r="R262" s="190">
        <v>0</v>
      </c>
      <c r="S262" s="190">
        <f t="shared" si="25"/>
        <v>1724602.98</v>
      </c>
      <c r="T262" s="190">
        <f t="shared" si="22"/>
        <v>1771.9130586663928</v>
      </c>
      <c r="U262" s="190">
        <v>3526.4472762765845</v>
      </c>
      <c r="V262" s="221">
        <f t="shared" si="23"/>
        <v>1754.5342176101917</v>
      </c>
      <c r="W262" s="221">
        <f t="shared" si="26"/>
        <v>3103.3657530052401</v>
      </c>
      <c r="X262" s="221">
        <v>0</v>
      </c>
      <c r="Y262" s="222">
        <v>0</v>
      </c>
      <c r="Z262" s="222">
        <v>0</v>
      </c>
      <c r="AA262" s="222">
        <v>0</v>
      </c>
      <c r="AB262" s="222">
        <v>0</v>
      </c>
      <c r="AC262" s="222">
        <v>0</v>
      </c>
      <c r="AD262" s="222">
        <v>0</v>
      </c>
      <c r="AE262" s="222">
        <v>484.14</v>
      </c>
      <c r="AF262" s="221">
        <f>6238.91*AE262/I262</f>
        <v>3103.3657530052401</v>
      </c>
      <c r="AG262" s="222">
        <v>0</v>
      </c>
      <c r="AH262" s="221">
        <v>0</v>
      </c>
      <c r="AI262" s="222">
        <v>0</v>
      </c>
      <c r="AJ262" s="221">
        <v>0</v>
      </c>
      <c r="AK262" s="222">
        <v>0</v>
      </c>
      <c r="AL262" s="222">
        <v>0</v>
      </c>
      <c r="AM262" s="222">
        <v>0</v>
      </c>
      <c r="AN262" s="222"/>
      <c r="AO262" s="222">
        <v>0</v>
      </c>
    </row>
    <row r="263" spans="1:41" s="223" customFormat="1" ht="36" customHeight="1" x14ac:dyDescent="0.25">
      <c r="A263" s="223">
        <v>1</v>
      </c>
      <c r="B263" s="225">
        <f>SUBTOTAL(103,$A$16:A263)</f>
        <v>243</v>
      </c>
      <c r="C263" s="215" t="s">
        <v>1349</v>
      </c>
      <c r="D263" s="217">
        <v>1984</v>
      </c>
      <c r="E263" s="217"/>
      <c r="F263" s="226" t="s">
        <v>318</v>
      </c>
      <c r="G263" s="217">
        <v>2</v>
      </c>
      <c r="H263" s="217" t="s">
        <v>303</v>
      </c>
      <c r="I263" s="190">
        <v>622.79999999999995</v>
      </c>
      <c r="J263" s="190">
        <v>560.29999999999995</v>
      </c>
      <c r="K263" s="190">
        <v>560.29999999999995</v>
      </c>
      <c r="L263" s="219">
        <v>31</v>
      </c>
      <c r="M263" s="217" t="s">
        <v>265</v>
      </c>
      <c r="N263" s="217" t="s">
        <v>269</v>
      </c>
      <c r="O263" s="220" t="s">
        <v>1314</v>
      </c>
      <c r="P263" s="190">
        <v>1598078</v>
      </c>
      <c r="Q263" s="190">
        <v>0</v>
      </c>
      <c r="R263" s="190">
        <v>0</v>
      </c>
      <c r="S263" s="190">
        <f t="shared" si="25"/>
        <v>1598078</v>
      </c>
      <c r="T263" s="190">
        <f t="shared" si="22"/>
        <v>2565.9569685292231</v>
      </c>
      <c r="U263" s="190">
        <v>5010.2393593448942</v>
      </c>
      <c r="V263" s="221">
        <f t="shared" si="23"/>
        <v>2444.2823908156711</v>
      </c>
      <c r="W263" s="221">
        <f t="shared" si="26"/>
        <v>5355.364942196532</v>
      </c>
      <c r="X263" s="221">
        <v>0</v>
      </c>
      <c r="Y263" s="222">
        <v>0</v>
      </c>
      <c r="Z263" s="222">
        <v>0</v>
      </c>
      <c r="AA263" s="222">
        <v>0</v>
      </c>
      <c r="AB263" s="222">
        <v>0</v>
      </c>
      <c r="AC263" s="222">
        <v>0</v>
      </c>
      <c r="AD263" s="222">
        <v>0</v>
      </c>
      <c r="AE263" s="222">
        <v>534.6</v>
      </c>
      <c r="AF263" s="221">
        <f>6238.91*AE263/I263</f>
        <v>5355.364942196532</v>
      </c>
      <c r="AG263" s="222">
        <v>0</v>
      </c>
      <c r="AH263" s="221">
        <v>0</v>
      </c>
      <c r="AI263" s="222">
        <v>0</v>
      </c>
      <c r="AJ263" s="221">
        <v>0</v>
      </c>
      <c r="AK263" s="222">
        <v>0</v>
      </c>
      <c r="AL263" s="222">
        <v>0</v>
      </c>
      <c r="AM263" s="222">
        <v>0</v>
      </c>
      <c r="AN263" s="222"/>
      <c r="AO263" s="222">
        <v>0</v>
      </c>
    </row>
    <row r="264" spans="1:41" s="223" customFormat="1" ht="36" customHeight="1" x14ac:dyDescent="0.25">
      <c r="A264" s="223">
        <v>1</v>
      </c>
      <c r="B264" s="225">
        <f>SUBTOTAL(103,$A$16:A264)</f>
        <v>244</v>
      </c>
      <c r="C264" s="215" t="s">
        <v>1552</v>
      </c>
      <c r="D264" s="217">
        <v>1965</v>
      </c>
      <c r="E264" s="217"/>
      <c r="F264" s="226" t="s">
        <v>1571</v>
      </c>
      <c r="G264" s="217">
        <v>5</v>
      </c>
      <c r="H264" s="217" t="s">
        <v>312</v>
      </c>
      <c r="I264" s="190">
        <v>4032.79</v>
      </c>
      <c r="J264" s="190">
        <v>2461.4</v>
      </c>
      <c r="K264" s="190">
        <v>2461.4</v>
      </c>
      <c r="L264" s="219">
        <v>120</v>
      </c>
      <c r="M264" s="217" t="s">
        <v>265</v>
      </c>
      <c r="N264" s="217" t="s">
        <v>269</v>
      </c>
      <c r="O264" s="220" t="s">
        <v>706</v>
      </c>
      <c r="P264" s="190">
        <v>130960.35</v>
      </c>
      <c r="Q264" s="190">
        <v>0</v>
      </c>
      <c r="R264" s="190">
        <v>0</v>
      </c>
      <c r="S264" s="190">
        <f t="shared" si="25"/>
        <v>130960.35</v>
      </c>
      <c r="T264" s="190">
        <f t="shared" si="22"/>
        <v>32.473882845375037</v>
      </c>
      <c r="U264" s="190">
        <v>32.473882845375037</v>
      </c>
      <c r="V264" s="221">
        <f t="shared" si="23"/>
        <v>0</v>
      </c>
      <c r="W264" s="221">
        <f t="shared" si="26"/>
        <v>758.05234093518379</v>
      </c>
      <c r="X264" s="221">
        <v>0</v>
      </c>
      <c r="Y264" s="222">
        <v>0</v>
      </c>
      <c r="Z264" s="222">
        <v>0</v>
      </c>
      <c r="AA264" s="222">
        <v>0</v>
      </c>
      <c r="AB264" s="222">
        <v>0</v>
      </c>
      <c r="AC264" s="222">
        <v>0</v>
      </c>
      <c r="AD264" s="222">
        <v>0</v>
      </c>
      <c r="AE264" s="222">
        <v>490</v>
      </c>
      <c r="AF264" s="221">
        <f>6238.91*AE264/I264</f>
        <v>758.05234093518379</v>
      </c>
      <c r="AG264" s="222">
        <v>0</v>
      </c>
      <c r="AH264" s="221">
        <v>0</v>
      </c>
      <c r="AI264" s="222">
        <v>0</v>
      </c>
      <c r="AJ264" s="221">
        <v>0</v>
      </c>
      <c r="AK264" s="222">
        <v>0</v>
      </c>
      <c r="AL264" s="222">
        <v>0</v>
      </c>
      <c r="AM264" s="222">
        <v>0</v>
      </c>
      <c r="AN264" s="222"/>
      <c r="AO264" s="222">
        <v>0</v>
      </c>
    </row>
    <row r="265" spans="1:41" s="223" customFormat="1" ht="36" customHeight="1" x14ac:dyDescent="0.25">
      <c r="A265" s="223">
        <v>1</v>
      </c>
      <c r="B265" s="225">
        <f>SUBTOTAL(103,$A$16:A265)</f>
        <v>245</v>
      </c>
      <c r="C265" s="215" t="s">
        <v>625</v>
      </c>
      <c r="D265" s="217">
        <v>1994</v>
      </c>
      <c r="E265" s="217"/>
      <c r="F265" s="226" t="s">
        <v>267</v>
      </c>
      <c r="G265" s="217">
        <v>9</v>
      </c>
      <c r="H265" s="217" t="s">
        <v>304</v>
      </c>
      <c r="I265" s="190">
        <v>2814.2</v>
      </c>
      <c r="J265" s="190">
        <v>2472.3000000000002</v>
      </c>
      <c r="K265" s="190">
        <v>2197.6999999999998</v>
      </c>
      <c r="L265" s="219">
        <v>95</v>
      </c>
      <c r="M265" s="217" t="s">
        <v>265</v>
      </c>
      <c r="N265" s="217" t="s">
        <v>269</v>
      </c>
      <c r="O265" s="220" t="s">
        <v>704</v>
      </c>
      <c r="P265" s="190">
        <v>105885.54</v>
      </c>
      <c r="Q265" s="190">
        <v>0</v>
      </c>
      <c r="R265" s="190">
        <v>0</v>
      </c>
      <c r="S265" s="190">
        <f>P265-R265-Q265</f>
        <v>105885.54</v>
      </c>
      <c r="T265" s="190">
        <f t="shared" si="22"/>
        <v>37.625449506076329</v>
      </c>
      <c r="U265" s="190">
        <v>37.625449506076329</v>
      </c>
      <c r="V265" s="221">
        <f t="shared" si="23"/>
        <v>0</v>
      </c>
      <c r="W265" s="221">
        <f t="shared" si="26"/>
        <v>2240.2169550849267</v>
      </c>
      <c r="X265" s="221">
        <v>0</v>
      </c>
      <c r="Y265" s="222">
        <v>0</v>
      </c>
      <c r="Z265" s="222">
        <v>0</v>
      </c>
      <c r="AA265" s="222">
        <v>0</v>
      </c>
      <c r="AB265" s="222">
        <v>0</v>
      </c>
      <c r="AC265" s="222">
        <v>0</v>
      </c>
      <c r="AD265" s="222">
        <v>0</v>
      </c>
      <c r="AE265" s="222">
        <v>1010.5</v>
      </c>
      <c r="AF265" s="221">
        <f>6238.91*AE265/I265</f>
        <v>2240.2169550849267</v>
      </c>
      <c r="AG265" s="222">
        <v>0</v>
      </c>
      <c r="AH265" s="221">
        <v>0</v>
      </c>
      <c r="AI265" s="222">
        <v>0</v>
      </c>
      <c r="AJ265" s="221">
        <v>0</v>
      </c>
      <c r="AK265" s="222">
        <v>0</v>
      </c>
      <c r="AL265" s="222">
        <v>0</v>
      </c>
      <c r="AM265" s="222">
        <v>0</v>
      </c>
      <c r="AN265" s="222"/>
      <c r="AO265" s="222">
        <v>0</v>
      </c>
    </row>
    <row r="266" spans="1:41" s="223" customFormat="1" ht="36" customHeight="1" x14ac:dyDescent="0.25">
      <c r="B266" s="215" t="s">
        <v>816</v>
      </c>
      <c r="C266" s="215"/>
      <c r="D266" s="217" t="s">
        <v>890</v>
      </c>
      <c r="E266" s="217" t="s">
        <v>890</v>
      </c>
      <c r="F266" s="217" t="s">
        <v>890</v>
      </c>
      <c r="G266" s="217" t="s">
        <v>890</v>
      </c>
      <c r="H266" s="217" t="s">
        <v>890</v>
      </c>
      <c r="I266" s="218">
        <f>SUM(I267:I271)</f>
        <v>29543.5</v>
      </c>
      <c r="J266" s="218">
        <f>SUM(J267:J271)</f>
        <v>18251.899999999998</v>
      </c>
      <c r="K266" s="218">
        <f>SUM(K267:K271)</f>
        <v>18251.899999999998</v>
      </c>
      <c r="L266" s="219">
        <f>SUM(L267:L271)</f>
        <v>855</v>
      </c>
      <c r="M266" s="217" t="s">
        <v>890</v>
      </c>
      <c r="N266" s="217" t="s">
        <v>890</v>
      </c>
      <c r="O266" s="220" t="s">
        <v>890</v>
      </c>
      <c r="P266" s="190">
        <v>14114868.93</v>
      </c>
      <c r="Q266" s="190">
        <f>SUM(Q267:Q271)</f>
        <v>0</v>
      </c>
      <c r="R266" s="190">
        <f>SUM(R267:R271)</f>
        <v>0</v>
      </c>
      <c r="S266" s="190">
        <f>SUM(S267:S271)</f>
        <v>14114868.93</v>
      </c>
      <c r="T266" s="190">
        <f t="shared" si="22"/>
        <v>477.76563135715134</v>
      </c>
      <c r="U266" s="190">
        <f>MAX(U267:U271)</f>
        <v>1093.996464532677</v>
      </c>
      <c r="V266" s="221">
        <f t="shared" si="23"/>
        <v>616.23083317552573</v>
      </c>
      <c r="W266" s="221"/>
      <c r="X266" s="221"/>
      <c r="Y266" s="222"/>
      <c r="Z266" s="222"/>
      <c r="AA266" s="222"/>
      <c r="AB266" s="222"/>
      <c r="AC266" s="222"/>
      <c r="AD266" s="222"/>
      <c r="AE266" s="222"/>
      <c r="AF266" s="222"/>
      <c r="AG266" s="222"/>
      <c r="AH266" s="222"/>
      <c r="AI266" s="222"/>
      <c r="AJ266" s="222"/>
      <c r="AK266" s="222"/>
      <c r="AL266" s="222"/>
      <c r="AM266" s="222"/>
      <c r="AN266" s="222"/>
      <c r="AO266" s="222"/>
    </row>
    <row r="267" spans="1:41" s="223" customFormat="1" ht="36" customHeight="1" x14ac:dyDescent="0.25">
      <c r="A267" s="223">
        <v>1</v>
      </c>
      <c r="B267" s="225">
        <f>SUBTOTAL(103,$A$16:A267)</f>
        <v>246</v>
      </c>
      <c r="C267" s="215" t="s">
        <v>636</v>
      </c>
      <c r="D267" s="217">
        <v>1981</v>
      </c>
      <c r="E267" s="217"/>
      <c r="F267" s="226" t="s">
        <v>311</v>
      </c>
      <c r="G267" s="217">
        <v>5</v>
      </c>
      <c r="H267" s="217" t="s">
        <v>2267</v>
      </c>
      <c r="I267" s="190">
        <v>9132.7000000000007</v>
      </c>
      <c r="J267" s="190">
        <v>5348.9</v>
      </c>
      <c r="K267" s="190">
        <v>5348.9</v>
      </c>
      <c r="L267" s="219">
        <v>243</v>
      </c>
      <c r="M267" s="217" t="s">
        <v>265</v>
      </c>
      <c r="N267" s="217" t="s">
        <v>269</v>
      </c>
      <c r="O267" s="220" t="s">
        <v>709</v>
      </c>
      <c r="P267" s="190">
        <v>3927547.9699999997</v>
      </c>
      <c r="Q267" s="190">
        <v>0</v>
      </c>
      <c r="R267" s="190">
        <v>0</v>
      </c>
      <c r="S267" s="190">
        <f>P267-Q267-R267</f>
        <v>3927547.9699999997</v>
      </c>
      <c r="T267" s="190">
        <f t="shared" si="22"/>
        <v>430.05332158069348</v>
      </c>
      <c r="U267" s="190">
        <v>911.02241943784418</v>
      </c>
      <c r="V267" s="221">
        <f t="shared" si="23"/>
        <v>480.9690978571507</v>
      </c>
      <c r="W267" s="221">
        <f>X267+Y267+Z267+AA267+AB267+AD267+AF267+AH267+AJ267+AL267+AN267+AO267</f>
        <v>873.39411510287198</v>
      </c>
      <c r="X267" s="221">
        <v>0</v>
      </c>
      <c r="Y267" s="222">
        <v>0</v>
      </c>
      <c r="Z267" s="222">
        <v>0</v>
      </c>
      <c r="AA267" s="222">
        <v>0</v>
      </c>
      <c r="AB267" s="222">
        <v>0</v>
      </c>
      <c r="AC267" s="222">
        <v>0</v>
      </c>
      <c r="AD267" s="222">
        <v>0</v>
      </c>
      <c r="AE267" s="222">
        <v>1278.5</v>
      </c>
      <c r="AF267" s="221">
        <f>6238.91*AE267/I267</f>
        <v>873.39411510287198</v>
      </c>
      <c r="AG267" s="222">
        <v>0</v>
      </c>
      <c r="AH267" s="221">
        <v>0</v>
      </c>
      <c r="AI267" s="222">
        <v>0</v>
      </c>
      <c r="AJ267" s="221">
        <v>0</v>
      </c>
      <c r="AK267" s="222">
        <v>0</v>
      </c>
      <c r="AL267" s="222">
        <v>0</v>
      </c>
      <c r="AM267" s="222">
        <v>0</v>
      </c>
      <c r="AN267" s="222"/>
      <c r="AO267" s="222">
        <v>0</v>
      </c>
    </row>
    <row r="268" spans="1:41" s="223" customFormat="1" ht="36" customHeight="1" x14ac:dyDescent="0.25">
      <c r="A268" s="223">
        <v>1</v>
      </c>
      <c r="B268" s="225">
        <f>SUBTOTAL(103,$A$16:A268)</f>
        <v>247</v>
      </c>
      <c r="C268" s="215" t="s">
        <v>642</v>
      </c>
      <c r="D268" s="217">
        <v>1988</v>
      </c>
      <c r="E268" s="217"/>
      <c r="F268" s="226" t="s">
        <v>267</v>
      </c>
      <c r="G268" s="217">
        <v>5</v>
      </c>
      <c r="H268" s="217" t="s">
        <v>371</v>
      </c>
      <c r="I268" s="190">
        <v>7301.9</v>
      </c>
      <c r="J268" s="190">
        <v>3924.5</v>
      </c>
      <c r="K268" s="190">
        <v>3924.5</v>
      </c>
      <c r="L268" s="219">
        <v>198</v>
      </c>
      <c r="M268" s="217" t="s">
        <v>265</v>
      </c>
      <c r="N268" s="217" t="s">
        <v>269</v>
      </c>
      <c r="O268" s="220" t="s">
        <v>709</v>
      </c>
      <c r="P268" s="190">
        <v>3307384.7800000003</v>
      </c>
      <c r="Q268" s="190">
        <v>0</v>
      </c>
      <c r="R268" s="190">
        <v>0</v>
      </c>
      <c r="S268" s="190">
        <f>P268-Q268-R268</f>
        <v>3307384.7800000003</v>
      </c>
      <c r="T268" s="190">
        <f t="shared" si="22"/>
        <v>452.94851750914154</v>
      </c>
      <c r="U268" s="190">
        <v>910.80528246072947</v>
      </c>
      <c r="V268" s="221">
        <f t="shared" si="23"/>
        <v>457.85676495158793</v>
      </c>
      <c r="W268" s="221">
        <f>X268+Y268+Z268+AA268+AB268+AD268+AF268+AH268+AJ268+AL268+AN268+AO268</f>
        <v>959.08961708596394</v>
      </c>
      <c r="X268" s="221">
        <v>0</v>
      </c>
      <c r="Y268" s="222">
        <v>0</v>
      </c>
      <c r="Z268" s="222">
        <v>0</v>
      </c>
      <c r="AA268" s="222">
        <v>0</v>
      </c>
      <c r="AB268" s="222">
        <v>0</v>
      </c>
      <c r="AC268" s="222">
        <v>0</v>
      </c>
      <c r="AD268" s="222">
        <v>0</v>
      </c>
      <c r="AE268" s="222">
        <v>1122.5</v>
      </c>
      <c r="AF268" s="221">
        <f>6238.91*AE268/I268</f>
        <v>959.08961708596394</v>
      </c>
      <c r="AG268" s="222">
        <v>0</v>
      </c>
      <c r="AH268" s="221">
        <v>0</v>
      </c>
      <c r="AI268" s="222">
        <v>0</v>
      </c>
      <c r="AJ268" s="221">
        <v>0</v>
      </c>
      <c r="AK268" s="222">
        <v>0</v>
      </c>
      <c r="AL268" s="222">
        <v>0</v>
      </c>
      <c r="AM268" s="222">
        <v>0</v>
      </c>
      <c r="AN268" s="222"/>
      <c r="AO268" s="222">
        <v>0</v>
      </c>
    </row>
    <row r="269" spans="1:41" s="223" customFormat="1" ht="36" customHeight="1" x14ac:dyDescent="0.25">
      <c r="A269" s="223">
        <v>1</v>
      </c>
      <c r="B269" s="225">
        <f>SUBTOTAL(103,$A$16:A269)</f>
        <v>248</v>
      </c>
      <c r="C269" s="215" t="s">
        <v>1193</v>
      </c>
      <c r="D269" s="217">
        <v>1979</v>
      </c>
      <c r="E269" s="217"/>
      <c r="F269" s="226" t="s">
        <v>311</v>
      </c>
      <c r="G269" s="217">
        <v>5</v>
      </c>
      <c r="H269" s="217" t="s">
        <v>303</v>
      </c>
      <c r="I269" s="190">
        <v>2660.8</v>
      </c>
      <c r="J269" s="190">
        <v>1869.9</v>
      </c>
      <c r="K269" s="190">
        <v>1869.9</v>
      </c>
      <c r="L269" s="219">
        <v>84</v>
      </c>
      <c r="M269" s="217" t="s">
        <v>265</v>
      </c>
      <c r="N269" s="217" t="s">
        <v>269</v>
      </c>
      <c r="O269" s="220" t="s">
        <v>709</v>
      </c>
      <c r="P269" s="190">
        <v>1446069.26</v>
      </c>
      <c r="Q269" s="190">
        <v>0</v>
      </c>
      <c r="R269" s="190">
        <v>0</v>
      </c>
      <c r="S269" s="190">
        <f>P269-Q269-R269</f>
        <v>1446069.26</v>
      </c>
      <c r="T269" s="190">
        <f t="shared" ref="T269:T332" si="28">P269/I269</f>
        <v>543.47161004209261</v>
      </c>
      <c r="U269" s="190">
        <v>1073.4476585989175</v>
      </c>
      <c r="V269" s="221">
        <f t="shared" si="23"/>
        <v>529.97604855682494</v>
      </c>
      <c r="W269" s="221">
        <f>X269+Y269+Z269+AA269+AB269+AD269+AF269+AH269+AJ269+AL269+AN269+AO269</f>
        <v>2722.2544009320504</v>
      </c>
      <c r="X269" s="221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1161</v>
      </c>
      <c r="AF269" s="221">
        <f>6238.91*AE269/I269</f>
        <v>2722.2544009320504</v>
      </c>
      <c r="AG269" s="222">
        <v>0</v>
      </c>
      <c r="AH269" s="221">
        <v>0</v>
      </c>
      <c r="AI269" s="222">
        <v>0</v>
      </c>
      <c r="AJ269" s="221">
        <v>0</v>
      </c>
      <c r="AK269" s="222">
        <v>0</v>
      </c>
      <c r="AL269" s="222">
        <v>0</v>
      </c>
      <c r="AM269" s="222">
        <v>0</v>
      </c>
      <c r="AN269" s="222"/>
      <c r="AO269" s="222">
        <v>0</v>
      </c>
    </row>
    <row r="270" spans="1:41" s="223" customFormat="1" ht="36" customHeight="1" x14ac:dyDescent="0.25">
      <c r="A270" s="223">
        <v>1</v>
      </c>
      <c r="B270" s="225">
        <f>SUBTOTAL(103,$A$16:A270)</f>
        <v>249</v>
      </c>
      <c r="C270" s="215" t="s">
        <v>1194</v>
      </c>
      <c r="D270" s="217">
        <v>1986</v>
      </c>
      <c r="E270" s="217"/>
      <c r="F270" s="226" t="s">
        <v>311</v>
      </c>
      <c r="G270" s="217">
        <v>5</v>
      </c>
      <c r="H270" s="217" t="s">
        <v>351</v>
      </c>
      <c r="I270" s="190">
        <v>5770.1</v>
      </c>
      <c r="J270" s="190">
        <v>3935.4</v>
      </c>
      <c r="K270" s="190">
        <v>3935.4</v>
      </c>
      <c r="L270" s="219">
        <v>180</v>
      </c>
      <c r="M270" s="217" t="s">
        <v>265</v>
      </c>
      <c r="N270" s="217" t="s">
        <v>269</v>
      </c>
      <c r="O270" s="220" t="s">
        <v>709</v>
      </c>
      <c r="P270" s="190">
        <v>2997039.15</v>
      </c>
      <c r="Q270" s="190">
        <v>0</v>
      </c>
      <c r="R270" s="190">
        <v>0</v>
      </c>
      <c r="S270" s="190">
        <f>P270-Q270-R270</f>
        <v>2997039.15</v>
      </c>
      <c r="T270" s="190">
        <f t="shared" si="28"/>
        <v>519.40852844838037</v>
      </c>
      <c r="U270" s="190">
        <v>1093.996464532677</v>
      </c>
      <c r="V270" s="221">
        <f t="shared" si="23"/>
        <v>574.58793608429664</v>
      </c>
      <c r="W270" s="221">
        <f>X270+Y270+Z270+AA270+AB270+AD270+AF270+AH270+AJ270+AL270+AN270+AO270</f>
        <v>1048.8107138524463</v>
      </c>
      <c r="X270" s="221">
        <v>0</v>
      </c>
      <c r="Y270" s="222">
        <v>0</v>
      </c>
      <c r="Z270" s="222">
        <v>0</v>
      </c>
      <c r="AA270" s="222">
        <v>0</v>
      </c>
      <c r="AB270" s="222">
        <v>0</v>
      </c>
      <c r="AC270" s="222">
        <v>0</v>
      </c>
      <c r="AD270" s="222">
        <v>0</v>
      </c>
      <c r="AE270" s="222">
        <v>970</v>
      </c>
      <c r="AF270" s="221">
        <f>6238.91*AE270/I270</f>
        <v>1048.8107138524463</v>
      </c>
      <c r="AG270" s="222">
        <v>0</v>
      </c>
      <c r="AH270" s="221">
        <v>0</v>
      </c>
      <c r="AI270" s="222">
        <v>0</v>
      </c>
      <c r="AJ270" s="221">
        <v>0</v>
      </c>
      <c r="AK270" s="222">
        <v>0</v>
      </c>
      <c r="AL270" s="222">
        <v>0</v>
      </c>
      <c r="AM270" s="222">
        <v>0</v>
      </c>
      <c r="AN270" s="222"/>
      <c r="AO270" s="222">
        <v>0</v>
      </c>
    </row>
    <row r="271" spans="1:41" s="223" customFormat="1" ht="36" customHeight="1" x14ac:dyDescent="0.25">
      <c r="A271" s="223">
        <v>1</v>
      </c>
      <c r="B271" s="225">
        <f>SUBTOTAL(103,$A$16:A271)</f>
        <v>250</v>
      </c>
      <c r="C271" s="215" t="s">
        <v>640</v>
      </c>
      <c r="D271" s="217">
        <v>1990</v>
      </c>
      <c r="E271" s="217"/>
      <c r="F271" s="226" t="s">
        <v>311</v>
      </c>
      <c r="G271" s="217">
        <v>5</v>
      </c>
      <c r="H271" s="217" t="s">
        <v>308</v>
      </c>
      <c r="I271" s="190">
        <v>4678</v>
      </c>
      <c r="J271" s="190">
        <v>3173.2</v>
      </c>
      <c r="K271" s="190">
        <v>3173.2</v>
      </c>
      <c r="L271" s="219">
        <v>150</v>
      </c>
      <c r="M271" s="217" t="s">
        <v>265</v>
      </c>
      <c r="N271" s="217" t="s">
        <v>269</v>
      </c>
      <c r="O271" s="220" t="s">
        <v>709</v>
      </c>
      <c r="P271" s="190">
        <v>2436827.77</v>
      </c>
      <c r="Q271" s="190">
        <v>0</v>
      </c>
      <c r="R271" s="190">
        <v>0</v>
      </c>
      <c r="S271" s="190">
        <f>P271-Q271-R271</f>
        <v>2436827.77</v>
      </c>
      <c r="T271" s="190">
        <f t="shared" si="28"/>
        <v>520.91230654125695</v>
      </c>
      <c r="U271" s="190">
        <v>1082.0198931167165</v>
      </c>
      <c r="V271" s="221">
        <f>U271-T271</f>
        <v>561.10758657545955</v>
      </c>
      <c r="W271" s="221">
        <f>X271+Y271+Z271+AA271+AB271+AD271+AF271+AH271+AJ271+AL271+AN271+AO271</f>
        <v>1037.3288153056862</v>
      </c>
      <c r="X271" s="221">
        <v>0</v>
      </c>
      <c r="Y271" s="222">
        <v>0</v>
      </c>
      <c r="Z271" s="222">
        <v>0</v>
      </c>
      <c r="AA271" s="222">
        <v>0</v>
      </c>
      <c r="AB271" s="222">
        <v>0</v>
      </c>
      <c r="AC271" s="222">
        <v>0</v>
      </c>
      <c r="AD271" s="222">
        <v>0</v>
      </c>
      <c r="AE271" s="222">
        <v>777.8</v>
      </c>
      <c r="AF271" s="221">
        <f>6238.91*AE271/I271</f>
        <v>1037.3288153056862</v>
      </c>
      <c r="AG271" s="222">
        <v>0</v>
      </c>
      <c r="AH271" s="221">
        <v>0</v>
      </c>
      <c r="AI271" s="222">
        <v>0</v>
      </c>
      <c r="AJ271" s="221">
        <v>0</v>
      </c>
      <c r="AK271" s="222">
        <v>0</v>
      </c>
      <c r="AL271" s="222">
        <v>0</v>
      </c>
      <c r="AM271" s="222">
        <v>0</v>
      </c>
      <c r="AN271" s="222"/>
      <c r="AO271" s="222">
        <v>0</v>
      </c>
    </row>
    <row r="272" spans="1:41" s="223" customFormat="1" ht="36" customHeight="1" x14ac:dyDescent="0.25">
      <c r="B272" s="215" t="s">
        <v>817</v>
      </c>
      <c r="C272" s="215"/>
      <c r="D272" s="217" t="s">
        <v>890</v>
      </c>
      <c r="E272" s="217" t="s">
        <v>890</v>
      </c>
      <c r="F272" s="217" t="s">
        <v>890</v>
      </c>
      <c r="G272" s="217" t="s">
        <v>890</v>
      </c>
      <c r="H272" s="217" t="s">
        <v>890</v>
      </c>
      <c r="I272" s="218">
        <f>SUM(I273:I278)</f>
        <v>10662.800000000001</v>
      </c>
      <c r="J272" s="218">
        <f>SUM(J273:J278)</f>
        <v>9226.6</v>
      </c>
      <c r="K272" s="218">
        <f>SUM(K273:K278)</f>
        <v>8378.2999999999993</v>
      </c>
      <c r="L272" s="219">
        <f>SUM(L273:L278)</f>
        <v>403</v>
      </c>
      <c r="M272" s="217" t="s">
        <v>890</v>
      </c>
      <c r="N272" s="217" t="s">
        <v>890</v>
      </c>
      <c r="O272" s="220" t="s">
        <v>890</v>
      </c>
      <c r="P272" s="218">
        <v>30964559.009999998</v>
      </c>
      <c r="Q272" s="218">
        <f>SUM(Q273:Q278)</f>
        <v>0</v>
      </c>
      <c r="R272" s="218">
        <f>SUM(R273:R278)</f>
        <v>0</v>
      </c>
      <c r="S272" s="218">
        <f>SUM(S273:S278)</f>
        <v>30964559.009999998</v>
      </c>
      <c r="T272" s="190">
        <f t="shared" si="28"/>
        <v>2903.9800999737399</v>
      </c>
      <c r="U272" s="190">
        <f>MAX(U273:U278)</f>
        <v>16026.236550396923</v>
      </c>
      <c r="V272" s="221">
        <f t="shared" ref="V272:V336" si="29">U272-T272</f>
        <v>13122.256450423183</v>
      </c>
      <c r="W272" s="221"/>
      <c r="X272" s="221"/>
      <c r="Y272" s="222"/>
      <c r="Z272" s="222"/>
      <c r="AA272" s="222"/>
      <c r="AB272" s="222"/>
      <c r="AC272" s="222"/>
      <c r="AD272" s="222"/>
      <c r="AE272" s="222"/>
      <c r="AF272" s="222"/>
      <c r="AG272" s="222"/>
      <c r="AH272" s="222"/>
      <c r="AI272" s="222"/>
      <c r="AJ272" s="222"/>
      <c r="AK272" s="222"/>
      <c r="AL272" s="222"/>
      <c r="AM272" s="222"/>
      <c r="AN272" s="222"/>
      <c r="AO272" s="222"/>
    </row>
    <row r="273" spans="1:41" s="223" customFormat="1" ht="36" customHeight="1" x14ac:dyDescent="0.25">
      <c r="A273" s="223">
        <v>1</v>
      </c>
      <c r="B273" s="225">
        <f>SUBTOTAL(103,$A$16:A273)</f>
        <v>251</v>
      </c>
      <c r="C273" s="215" t="s">
        <v>649</v>
      </c>
      <c r="D273" s="217">
        <v>1896</v>
      </c>
      <c r="E273" s="217"/>
      <c r="F273" s="226" t="s">
        <v>267</v>
      </c>
      <c r="G273" s="217">
        <v>2</v>
      </c>
      <c r="H273" s="217" t="s">
        <v>304</v>
      </c>
      <c r="I273" s="190">
        <v>415.7</v>
      </c>
      <c r="J273" s="190">
        <v>374.1</v>
      </c>
      <c r="K273" s="190">
        <v>374.1</v>
      </c>
      <c r="L273" s="219">
        <v>22</v>
      </c>
      <c r="M273" s="217" t="s">
        <v>265</v>
      </c>
      <c r="N273" s="217" t="s">
        <v>269</v>
      </c>
      <c r="O273" s="220" t="s">
        <v>710</v>
      </c>
      <c r="P273" s="190">
        <v>3101907.63</v>
      </c>
      <c r="Q273" s="190">
        <v>0</v>
      </c>
      <c r="R273" s="190">
        <v>0</v>
      </c>
      <c r="S273" s="190">
        <f>P273-Q273-R273</f>
        <v>3101907.63</v>
      </c>
      <c r="T273" s="190">
        <f t="shared" si="28"/>
        <v>7461.8898965600192</v>
      </c>
      <c r="U273" s="190">
        <v>16026.236550396923</v>
      </c>
      <c r="V273" s="221">
        <f t="shared" si="29"/>
        <v>8564.346653836903</v>
      </c>
      <c r="W273" s="221">
        <f t="shared" ref="W273:W278" si="30">X273+Y273+Z273+AA273+AB273+AD273+AF273+AH273+AJ273+AL273+AN273+AO273</f>
        <v>14036.054674043782</v>
      </c>
      <c r="X273" s="221">
        <v>0</v>
      </c>
      <c r="Y273" s="222">
        <v>0</v>
      </c>
      <c r="Z273" s="222">
        <v>0</v>
      </c>
      <c r="AA273" s="222">
        <v>0</v>
      </c>
      <c r="AB273" s="222">
        <v>0</v>
      </c>
      <c r="AC273" s="222">
        <v>0</v>
      </c>
      <c r="AD273" s="222">
        <v>0</v>
      </c>
      <c r="AE273" s="222">
        <v>374</v>
      </c>
      <c r="AF273" s="221">
        <f>6238.91*AE273/I273</f>
        <v>5613.0679336059657</v>
      </c>
      <c r="AG273" s="222">
        <v>0</v>
      </c>
      <c r="AH273" s="221">
        <v>0</v>
      </c>
      <c r="AI273" s="222">
        <v>470.68</v>
      </c>
      <c r="AJ273" s="221">
        <f>7439.1*AI273/I273</f>
        <v>8422.9867404378165</v>
      </c>
      <c r="AK273" s="222">
        <v>0</v>
      </c>
      <c r="AL273" s="222">
        <v>0</v>
      </c>
      <c r="AM273" s="222">
        <v>0</v>
      </c>
      <c r="AN273" s="222"/>
      <c r="AO273" s="222">
        <v>0</v>
      </c>
    </row>
    <row r="274" spans="1:41" s="223" customFormat="1" ht="36" customHeight="1" x14ac:dyDescent="0.25">
      <c r="A274" s="223">
        <v>1</v>
      </c>
      <c r="B274" s="225">
        <f>SUBTOTAL(103,$A$16:A274)</f>
        <v>252</v>
      </c>
      <c r="C274" s="215" t="s">
        <v>644</v>
      </c>
      <c r="D274" s="217">
        <v>1958</v>
      </c>
      <c r="E274" s="217"/>
      <c r="F274" s="226" t="s">
        <v>267</v>
      </c>
      <c r="G274" s="217">
        <v>3</v>
      </c>
      <c r="H274" s="217" t="s">
        <v>312</v>
      </c>
      <c r="I274" s="190">
        <v>1224.0999999999999</v>
      </c>
      <c r="J274" s="190">
        <v>1113.4000000000001</v>
      </c>
      <c r="K274" s="190">
        <v>1113.4000000000001</v>
      </c>
      <c r="L274" s="219">
        <v>48</v>
      </c>
      <c r="M274" s="217" t="s">
        <v>265</v>
      </c>
      <c r="N274" s="217" t="s">
        <v>269</v>
      </c>
      <c r="O274" s="220" t="s">
        <v>710</v>
      </c>
      <c r="P274" s="190">
        <v>3151307.31</v>
      </c>
      <c r="Q274" s="190">
        <v>0</v>
      </c>
      <c r="R274" s="190">
        <v>0</v>
      </c>
      <c r="S274" s="190">
        <f>P274-Q274-R274</f>
        <v>3151307.31</v>
      </c>
      <c r="T274" s="190">
        <f t="shared" si="28"/>
        <v>2574.3871497426685</v>
      </c>
      <c r="U274" s="190">
        <v>3312.0636385916187</v>
      </c>
      <c r="V274" s="221">
        <f t="shared" si="29"/>
        <v>737.67648884895016</v>
      </c>
      <c r="W274" s="221">
        <f t="shared" si="30"/>
        <v>3175.2642186095909</v>
      </c>
      <c r="X274" s="221">
        <v>0</v>
      </c>
      <c r="Y274" s="222">
        <v>0</v>
      </c>
      <c r="Z274" s="222">
        <v>0</v>
      </c>
      <c r="AA274" s="222">
        <v>0</v>
      </c>
      <c r="AB274" s="222">
        <v>0</v>
      </c>
      <c r="AC274" s="222">
        <v>0</v>
      </c>
      <c r="AD274" s="222">
        <v>0</v>
      </c>
      <c r="AE274" s="222">
        <v>623</v>
      </c>
      <c r="AF274" s="221">
        <f>6238.91*AE274/I274</f>
        <v>3175.2642186095909</v>
      </c>
      <c r="AG274" s="222">
        <v>0</v>
      </c>
      <c r="AH274" s="221">
        <v>0</v>
      </c>
      <c r="AI274" s="222">
        <v>0</v>
      </c>
      <c r="AJ274" s="221">
        <v>0</v>
      </c>
      <c r="AK274" s="222">
        <v>0</v>
      </c>
      <c r="AL274" s="222">
        <v>0</v>
      </c>
      <c r="AM274" s="222">
        <v>0</v>
      </c>
      <c r="AN274" s="222"/>
      <c r="AO274" s="222">
        <v>0</v>
      </c>
    </row>
    <row r="275" spans="1:41" s="223" customFormat="1" ht="36" customHeight="1" x14ac:dyDescent="0.25">
      <c r="A275" s="223">
        <v>1</v>
      </c>
      <c r="B275" s="225">
        <f>SUBTOTAL(103,$A$16:A275)</f>
        <v>253</v>
      </c>
      <c r="C275" s="215" t="s">
        <v>648</v>
      </c>
      <c r="D275" s="217">
        <v>1984</v>
      </c>
      <c r="E275" s="217"/>
      <c r="F275" s="226" t="s">
        <v>267</v>
      </c>
      <c r="G275" s="217">
        <v>3</v>
      </c>
      <c r="H275" s="217" t="s">
        <v>312</v>
      </c>
      <c r="I275" s="190">
        <v>2162.5</v>
      </c>
      <c r="J275" s="190">
        <v>2047.6</v>
      </c>
      <c r="K275" s="190">
        <v>2047.6</v>
      </c>
      <c r="L275" s="219">
        <v>85</v>
      </c>
      <c r="M275" s="217" t="s">
        <v>265</v>
      </c>
      <c r="N275" s="217" t="s">
        <v>269</v>
      </c>
      <c r="O275" s="220" t="s">
        <v>704</v>
      </c>
      <c r="P275" s="190">
        <v>4866736.68</v>
      </c>
      <c r="Q275" s="190">
        <v>0</v>
      </c>
      <c r="R275" s="190">
        <v>0</v>
      </c>
      <c r="S275" s="190">
        <f>P275-Q275-R275</f>
        <v>4866736.68</v>
      </c>
      <c r="T275" s="190">
        <f t="shared" si="28"/>
        <v>2250.5140716763003</v>
      </c>
      <c r="U275" s="190">
        <v>3125.8627255491333</v>
      </c>
      <c r="V275" s="221">
        <f t="shared" si="29"/>
        <v>875.34865387283298</v>
      </c>
      <c r="W275" s="221">
        <f t="shared" si="30"/>
        <v>2996.7540324624279</v>
      </c>
      <c r="X275" s="221">
        <v>0</v>
      </c>
      <c r="Y275" s="222">
        <v>0</v>
      </c>
      <c r="Z275" s="222">
        <v>0</v>
      </c>
      <c r="AA275" s="222">
        <v>0</v>
      </c>
      <c r="AB275" s="222">
        <v>0</v>
      </c>
      <c r="AC275" s="222">
        <v>0</v>
      </c>
      <c r="AD275" s="222">
        <v>0</v>
      </c>
      <c r="AE275" s="222">
        <v>1038.72</v>
      </c>
      <c r="AF275" s="221">
        <f>6238.91*AE275/I275</f>
        <v>2996.7540324624279</v>
      </c>
      <c r="AG275" s="222">
        <v>0</v>
      </c>
      <c r="AH275" s="221">
        <v>0</v>
      </c>
      <c r="AI275" s="222">
        <v>0</v>
      </c>
      <c r="AJ275" s="221">
        <v>0</v>
      </c>
      <c r="AK275" s="222">
        <v>0</v>
      </c>
      <c r="AL275" s="222">
        <v>0</v>
      </c>
      <c r="AM275" s="222">
        <v>0</v>
      </c>
      <c r="AN275" s="222"/>
      <c r="AO275" s="222">
        <v>0</v>
      </c>
    </row>
    <row r="276" spans="1:41" s="223" customFormat="1" ht="36" customHeight="1" x14ac:dyDescent="0.25">
      <c r="A276" s="223">
        <v>1</v>
      </c>
      <c r="B276" s="225">
        <f>SUBTOTAL(103,$A$16:A276)</f>
        <v>254</v>
      </c>
      <c r="C276" s="215" t="s">
        <v>1195</v>
      </c>
      <c r="D276" s="217">
        <v>1932</v>
      </c>
      <c r="E276" s="217"/>
      <c r="F276" s="226" t="s">
        <v>1322</v>
      </c>
      <c r="G276" s="217">
        <v>3</v>
      </c>
      <c r="H276" s="217" t="s">
        <v>351</v>
      </c>
      <c r="I276" s="190">
        <v>1954.2</v>
      </c>
      <c r="J276" s="190">
        <v>1319.3</v>
      </c>
      <c r="K276" s="190">
        <v>1319.3</v>
      </c>
      <c r="L276" s="219">
        <v>71</v>
      </c>
      <c r="M276" s="217" t="s">
        <v>265</v>
      </c>
      <c r="N276" s="217" t="s">
        <v>269</v>
      </c>
      <c r="O276" s="220" t="s">
        <v>1323</v>
      </c>
      <c r="P276" s="190">
        <v>6540486.5499999998</v>
      </c>
      <c r="Q276" s="190">
        <v>0</v>
      </c>
      <c r="R276" s="190">
        <v>0</v>
      </c>
      <c r="S276" s="190">
        <f>P276-Q276-R276</f>
        <v>6540486.5499999998</v>
      </c>
      <c r="T276" s="190">
        <f t="shared" si="28"/>
        <v>3346.8869870023536</v>
      </c>
      <c r="U276" s="190">
        <v>7382.7604851089964</v>
      </c>
      <c r="V276" s="221">
        <f t="shared" si="29"/>
        <v>4035.8734981066427</v>
      </c>
      <c r="W276" s="221">
        <f t="shared" si="30"/>
        <v>7382.7604851089964</v>
      </c>
      <c r="X276" s="221">
        <v>0</v>
      </c>
      <c r="Y276" s="222">
        <v>0</v>
      </c>
      <c r="Z276" s="222">
        <v>0</v>
      </c>
      <c r="AA276" s="222">
        <v>0</v>
      </c>
      <c r="AB276" s="222">
        <v>0</v>
      </c>
      <c r="AC276" s="222">
        <v>0</v>
      </c>
      <c r="AD276" s="222">
        <v>0</v>
      </c>
      <c r="AE276" s="222">
        <v>0</v>
      </c>
      <c r="AF276" s="221">
        <v>0</v>
      </c>
      <c r="AG276" s="222">
        <v>0</v>
      </c>
      <c r="AH276" s="221">
        <v>0</v>
      </c>
      <c r="AI276" s="222">
        <v>1939.4</v>
      </c>
      <c r="AJ276" s="221">
        <f>7439.1*AI276/I276</f>
        <v>7382.7604851089964</v>
      </c>
      <c r="AK276" s="222">
        <v>0</v>
      </c>
      <c r="AL276" s="222">
        <v>0</v>
      </c>
      <c r="AM276" s="222">
        <v>0</v>
      </c>
      <c r="AN276" s="222"/>
      <c r="AO276" s="222">
        <v>0</v>
      </c>
    </row>
    <row r="277" spans="1:41" s="223" customFormat="1" ht="36" customHeight="1" x14ac:dyDescent="0.25">
      <c r="A277" s="223">
        <v>1</v>
      </c>
      <c r="B277" s="225">
        <f>SUBTOTAL(103,$A$16:A277)</f>
        <v>255</v>
      </c>
      <c r="C277" s="215" t="s">
        <v>1180</v>
      </c>
      <c r="D277" s="217">
        <v>1882</v>
      </c>
      <c r="E277" s="217"/>
      <c r="F277" s="226" t="s">
        <v>267</v>
      </c>
      <c r="G277" s="217">
        <v>4</v>
      </c>
      <c r="H277" s="217" t="s">
        <v>303</v>
      </c>
      <c r="I277" s="190">
        <v>3453.2</v>
      </c>
      <c r="J277" s="190">
        <v>3230.8</v>
      </c>
      <c r="K277" s="190">
        <v>2382.5</v>
      </c>
      <c r="L277" s="219">
        <v>128</v>
      </c>
      <c r="M277" s="217" t="s">
        <v>265</v>
      </c>
      <c r="N277" s="217" t="s">
        <v>269</v>
      </c>
      <c r="O277" s="220" t="s">
        <v>710</v>
      </c>
      <c r="P277" s="190">
        <v>10088677.58</v>
      </c>
      <c r="Q277" s="190">
        <v>0</v>
      </c>
      <c r="R277" s="190">
        <v>0</v>
      </c>
      <c r="S277" s="190">
        <f>P277-Q277-R277</f>
        <v>10088677.58</v>
      </c>
      <c r="T277" s="190">
        <f t="shared" si="28"/>
        <v>2921.5445326074368</v>
      </c>
      <c r="U277" s="190">
        <v>3539.4334756168196</v>
      </c>
      <c r="V277" s="221">
        <f t="shared" si="29"/>
        <v>617.88894300938273</v>
      </c>
      <c r="W277" s="221">
        <f t="shared" si="30"/>
        <v>3500.7252560523575</v>
      </c>
      <c r="X277" s="221">
        <v>0</v>
      </c>
      <c r="Y277" s="222">
        <v>0</v>
      </c>
      <c r="Z277" s="222">
        <v>0</v>
      </c>
      <c r="AA277" s="222">
        <v>0</v>
      </c>
      <c r="AB277" s="222">
        <v>0</v>
      </c>
      <c r="AC277" s="222">
        <v>0</v>
      </c>
      <c r="AD277" s="222">
        <v>0</v>
      </c>
      <c r="AE277" s="222">
        <v>1878.14</v>
      </c>
      <c r="AF277" s="221">
        <f>6436.53*AE277/I277</f>
        <v>3500.7252560523575</v>
      </c>
      <c r="AG277" s="222">
        <v>0</v>
      </c>
      <c r="AH277" s="221">
        <v>0</v>
      </c>
      <c r="AI277" s="222">
        <v>0</v>
      </c>
      <c r="AJ277" s="221">
        <v>0</v>
      </c>
      <c r="AK277" s="222">
        <v>0</v>
      </c>
      <c r="AL277" s="222">
        <v>0</v>
      </c>
      <c r="AM277" s="222">
        <v>0</v>
      </c>
      <c r="AN277" s="222"/>
      <c r="AO277" s="222">
        <v>0</v>
      </c>
    </row>
    <row r="278" spans="1:41" s="223" customFormat="1" ht="36" customHeight="1" x14ac:dyDescent="0.25">
      <c r="A278" s="223">
        <v>1</v>
      </c>
      <c r="B278" s="225">
        <f>SUBTOTAL(103,$A$16:A278)</f>
        <v>256</v>
      </c>
      <c r="C278" s="215" t="s">
        <v>1560</v>
      </c>
      <c r="D278" s="217">
        <v>1939</v>
      </c>
      <c r="E278" s="217"/>
      <c r="F278" s="226" t="s">
        <v>1571</v>
      </c>
      <c r="G278" s="217">
        <v>3</v>
      </c>
      <c r="H278" s="217" t="s">
        <v>308</v>
      </c>
      <c r="I278" s="190">
        <v>1453.1</v>
      </c>
      <c r="J278" s="190">
        <v>1141.4000000000001</v>
      </c>
      <c r="K278" s="190">
        <v>1141.4000000000001</v>
      </c>
      <c r="L278" s="219">
        <v>49</v>
      </c>
      <c r="M278" s="217" t="s">
        <v>265</v>
      </c>
      <c r="N278" s="217" t="s">
        <v>269</v>
      </c>
      <c r="O278" s="220" t="s">
        <v>710</v>
      </c>
      <c r="P278" s="190">
        <v>3215443.26</v>
      </c>
      <c r="Q278" s="190">
        <v>0</v>
      </c>
      <c r="R278" s="190">
        <v>0</v>
      </c>
      <c r="S278" s="190">
        <f>P278-R278-Q278</f>
        <v>3215443.26</v>
      </c>
      <c r="T278" s="190">
        <f t="shared" si="28"/>
        <v>2212.8162273759549</v>
      </c>
      <c r="U278" s="190">
        <v>3181.1640382630244</v>
      </c>
      <c r="V278" s="221">
        <f t="shared" si="29"/>
        <v>968.3478108870695</v>
      </c>
      <c r="W278" s="221">
        <f t="shared" si="30"/>
        <v>3349.6733980455579</v>
      </c>
      <c r="X278" s="221">
        <v>0</v>
      </c>
      <c r="Y278" s="222">
        <v>0</v>
      </c>
      <c r="Z278" s="222">
        <v>0</v>
      </c>
      <c r="AA278" s="222">
        <v>0</v>
      </c>
      <c r="AB278" s="222">
        <v>0</v>
      </c>
      <c r="AC278" s="222">
        <v>0</v>
      </c>
      <c r="AD278" s="222">
        <v>0</v>
      </c>
      <c r="AE278" s="222">
        <v>780.17</v>
      </c>
      <c r="AF278" s="221">
        <f>6238.91*AE278/I278</f>
        <v>3349.6733980455579</v>
      </c>
      <c r="AG278" s="222">
        <v>0</v>
      </c>
      <c r="AH278" s="221">
        <v>0</v>
      </c>
      <c r="AI278" s="222">
        <v>0</v>
      </c>
      <c r="AJ278" s="221">
        <v>0</v>
      </c>
      <c r="AK278" s="222">
        <v>0</v>
      </c>
      <c r="AL278" s="222">
        <v>0</v>
      </c>
      <c r="AM278" s="222">
        <v>0</v>
      </c>
      <c r="AN278" s="222"/>
      <c r="AO278" s="222">
        <v>0</v>
      </c>
    </row>
    <row r="279" spans="1:41" s="223" customFormat="1" ht="36" customHeight="1" x14ac:dyDescent="0.25">
      <c r="B279" s="215" t="s">
        <v>818</v>
      </c>
      <c r="C279" s="215"/>
      <c r="D279" s="217" t="s">
        <v>890</v>
      </c>
      <c r="E279" s="217" t="s">
        <v>890</v>
      </c>
      <c r="F279" s="217" t="s">
        <v>890</v>
      </c>
      <c r="G279" s="217" t="s">
        <v>890</v>
      </c>
      <c r="H279" s="217" t="s">
        <v>890</v>
      </c>
      <c r="I279" s="218">
        <f>SUM(I280:I283)</f>
        <v>14970.710000000001</v>
      </c>
      <c r="J279" s="218">
        <f>SUM(J280:J283)</f>
        <v>11319.109999999999</v>
      </c>
      <c r="K279" s="218">
        <f>SUM(K280:K283)</f>
        <v>11319.109999999999</v>
      </c>
      <c r="L279" s="219">
        <f>SUM(L280:L283)</f>
        <v>518</v>
      </c>
      <c r="M279" s="217" t="s">
        <v>890</v>
      </c>
      <c r="N279" s="217" t="s">
        <v>890</v>
      </c>
      <c r="O279" s="220" t="s">
        <v>890</v>
      </c>
      <c r="P279" s="190">
        <v>12442442.430000002</v>
      </c>
      <c r="Q279" s="190">
        <f>SUM(Q280:Q283)</f>
        <v>0</v>
      </c>
      <c r="R279" s="190">
        <f>SUM(R280:R283)</f>
        <v>0</v>
      </c>
      <c r="S279" s="190">
        <f>SUM(S280:S283)</f>
        <v>12442442.430000002</v>
      </c>
      <c r="T279" s="190">
        <f t="shared" si="28"/>
        <v>831.11906048544131</v>
      </c>
      <c r="U279" s="190">
        <f>MAX(U280:U283)</f>
        <v>4074.7</v>
      </c>
      <c r="V279" s="221">
        <f t="shared" si="29"/>
        <v>3243.5809395145584</v>
      </c>
      <c r="W279" s="221"/>
      <c r="X279" s="221"/>
      <c r="Y279" s="222"/>
      <c r="Z279" s="222"/>
      <c r="AA279" s="222"/>
      <c r="AB279" s="222"/>
      <c r="AC279" s="222"/>
      <c r="AD279" s="222"/>
      <c r="AE279" s="222"/>
      <c r="AF279" s="222"/>
      <c r="AG279" s="222"/>
      <c r="AH279" s="222"/>
      <c r="AI279" s="222"/>
      <c r="AJ279" s="222"/>
      <c r="AK279" s="222"/>
      <c r="AL279" s="222"/>
      <c r="AM279" s="222"/>
      <c r="AN279" s="222"/>
      <c r="AO279" s="222"/>
    </row>
    <row r="280" spans="1:41" s="223" customFormat="1" ht="36" customHeight="1" x14ac:dyDescent="0.25">
      <c r="A280" s="223">
        <v>1</v>
      </c>
      <c r="B280" s="225">
        <f>SUBTOTAL(103,$A$16:A280)</f>
        <v>257</v>
      </c>
      <c r="C280" s="215" t="s">
        <v>653</v>
      </c>
      <c r="D280" s="217">
        <v>1972</v>
      </c>
      <c r="E280" s="217"/>
      <c r="F280" s="226" t="s">
        <v>267</v>
      </c>
      <c r="G280" s="217">
        <v>5</v>
      </c>
      <c r="H280" s="217" t="s">
        <v>308</v>
      </c>
      <c r="I280" s="190">
        <v>4295.76</v>
      </c>
      <c r="J280" s="190">
        <v>3325.76</v>
      </c>
      <c r="K280" s="190">
        <v>3325.76</v>
      </c>
      <c r="L280" s="219">
        <v>137</v>
      </c>
      <c r="M280" s="217" t="s">
        <v>265</v>
      </c>
      <c r="N280" s="217" t="s">
        <v>269</v>
      </c>
      <c r="O280" s="220" t="s">
        <v>991</v>
      </c>
      <c r="P280" s="190">
        <v>5056079.6400000006</v>
      </c>
      <c r="Q280" s="190">
        <v>0</v>
      </c>
      <c r="R280" s="190">
        <v>0</v>
      </c>
      <c r="S280" s="190">
        <f>P280-Q280-R280</f>
        <v>5056079.6400000006</v>
      </c>
      <c r="T280" s="190">
        <f t="shared" si="28"/>
        <v>1176.9930443041512</v>
      </c>
      <c r="U280" s="190">
        <v>1634.1359829226958</v>
      </c>
      <c r="V280" s="221">
        <f t="shared" si="29"/>
        <v>457.14293861854458</v>
      </c>
      <c r="W280" s="221">
        <f>X280+Y280+Z280+AA280+AB280+AD280+AF280+AH280+AJ280+AL280+AN280+AO280</f>
        <v>1725.3815576289178</v>
      </c>
      <c r="X280" s="221">
        <v>0</v>
      </c>
      <c r="Y280" s="222">
        <v>0</v>
      </c>
      <c r="Z280" s="222">
        <v>0</v>
      </c>
      <c r="AA280" s="222">
        <v>0</v>
      </c>
      <c r="AB280" s="222">
        <v>0</v>
      </c>
      <c r="AC280" s="222">
        <v>0</v>
      </c>
      <c r="AD280" s="222">
        <v>0</v>
      </c>
      <c r="AE280" s="222">
        <v>1188</v>
      </c>
      <c r="AF280" s="221">
        <f>6238.91*AE280/I280</f>
        <v>1725.3815576289178</v>
      </c>
      <c r="AG280" s="222">
        <v>0</v>
      </c>
      <c r="AH280" s="221">
        <v>0</v>
      </c>
      <c r="AI280" s="222">
        <v>0</v>
      </c>
      <c r="AJ280" s="221">
        <v>0</v>
      </c>
      <c r="AK280" s="222">
        <v>0</v>
      </c>
      <c r="AL280" s="222">
        <v>0</v>
      </c>
      <c r="AM280" s="222">
        <v>0</v>
      </c>
      <c r="AN280" s="222"/>
      <c r="AO280" s="222">
        <v>0</v>
      </c>
    </row>
    <row r="281" spans="1:41" s="223" customFormat="1" ht="36" customHeight="1" x14ac:dyDescent="0.25">
      <c r="A281" s="223">
        <v>1</v>
      </c>
      <c r="B281" s="225">
        <f>SUBTOTAL(103,$A$16:A281)</f>
        <v>258</v>
      </c>
      <c r="C281" s="215" t="s">
        <v>650</v>
      </c>
      <c r="D281" s="217">
        <v>1978</v>
      </c>
      <c r="E281" s="217"/>
      <c r="F281" s="226" t="s">
        <v>267</v>
      </c>
      <c r="G281" s="217">
        <v>3</v>
      </c>
      <c r="H281" s="217" t="s">
        <v>303</v>
      </c>
      <c r="I281" s="190">
        <v>1569.6</v>
      </c>
      <c r="J281" s="190">
        <v>1094.4000000000001</v>
      </c>
      <c r="K281" s="190">
        <v>1094.4000000000001</v>
      </c>
      <c r="L281" s="219">
        <v>54</v>
      </c>
      <c r="M281" s="217" t="s">
        <v>265</v>
      </c>
      <c r="N281" s="217" t="s">
        <v>269</v>
      </c>
      <c r="O281" s="220" t="s">
        <v>992</v>
      </c>
      <c r="P281" s="190">
        <v>1162332.27</v>
      </c>
      <c r="Q281" s="190">
        <v>0</v>
      </c>
      <c r="R281" s="190">
        <v>0</v>
      </c>
      <c r="S281" s="190">
        <f>P281-Q281-R281</f>
        <v>1162332.27</v>
      </c>
      <c r="T281" s="190">
        <f t="shared" si="28"/>
        <v>740.52769495412849</v>
      </c>
      <c r="U281" s="190">
        <v>4074.7</v>
      </c>
      <c r="V281" s="221">
        <f t="shared" si="29"/>
        <v>3334.1723050458713</v>
      </c>
      <c r="W281" s="221">
        <f>X281+Y281+Z281+AA281+AB281+AD281+AF281+AH281+AJ281+AL281+AN281+AO281</f>
        <v>3690.08</v>
      </c>
      <c r="X281" s="221">
        <v>0</v>
      </c>
      <c r="Y281" s="222">
        <v>245.44</v>
      </c>
      <c r="Z281" s="222">
        <v>3259.66</v>
      </c>
      <c r="AA281" s="222">
        <v>184.98</v>
      </c>
      <c r="AB281" s="222">
        <v>0</v>
      </c>
      <c r="AC281" s="222">
        <v>0</v>
      </c>
      <c r="AD281" s="222">
        <v>0</v>
      </c>
      <c r="AE281" s="222">
        <v>0</v>
      </c>
      <c r="AF281" s="221">
        <v>0</v>
      </c>
      <c r="AG281" s="222">
        <v>0</v>
      </c>
      <c r="AH281" s="221">
        <v>0</v>
      </c>
      <c r="AI281" s="222">
        <v>0</v>
      </c>
      <c r="AJ281" s="221">
        <v>0</v>
      </c>
      <c r="AK281" s="222">
        <v>0</v>
      </c>
      <c r="AL281" s="222">
        <v>0</v>
      </c>
      <c r="AM281" s="222">
        <v>0</v>
      </c>
      <c r="AN281" s="222"/>
      <c r="AO281" s="222">
        <v>0</v>
      </c>
    </row>
    <row r="282" spans="1:41" s="223" customFormat="1" ht="36" customHeight="1" x14ac:dyDescent="0.25">
      <c r="A282" s="223">
        <v>1</v>
      </c>
      <c r="B282" s="225">
        <f>SUBTOTAL(103,$A$16:A282)</f>
        <v>259</v>
      </c>
      <c r="C282" s="215" t="s">
        <v>1196</v>
      </c>
      <c r="D282" s="217">
        <v>1968</v>
      </c>
      <c r="E282" s="217"/>
      <c r="F282" s="226" t="s">
        <v>267</v>
      </c>
      <c r="G282" s="217">
        <v>5</v>
      </c>
      <c r="H282" s="217" t="s">
        <v>351</v>
      </c>
      <c r="I282" s="190">
        <v>3769.94</v>
      </c>
      <c r="J282" s="190">
        <v>2873.14</v>
      </c>
      <c r="K282" s="190">
        <v>2873.14</v>
      </c>
      <c r="L282" s="219">
        <v>116</v>
      </c>
      <c r="M282" s="217" t="s">
        <v>265</v>
      </c>
      <c r="N282" s="217" t="s">
        <v>269</v>
      </c>
      <c r="O282" s="220" t="s">
        <v>1324</v>
      </c>
      <c r="P282" s="190">
        <v>3164041.96</v>
      </c>
      <c r="Q282" s="190">
        <v>0</v>
      </c>
      <c r="R282" s="190">
        <v>0</v>
      </c>
      <c r="S282" s="190">
        <f>P282-Q282-R282</f>
        <v>3164041.96</v>
      </c>
      <c r="T282" s="190">
        <f t="shared" si="28"/>
        <v>839.28178167291787</v>
      </c>
      <c r="U282" s="190">
        <v>1362.5821617850681</v>
      </c>
      <c r="V282" s="221">
        <f t="shared" si="29"/>
        <v>523.30038011215026</v>
      </c>
      <c r="W282" s="221">
        <f>X282+Y282+Z282+AA282+AB282+AD282+AF282+AH282+AJ282+AL282+AN282+AO282</f>
        <v>1306.3029142373618</v>
      </c>
      <c r="X282" s="221">
        <v>0</v>
      </c>
      <c r="Y282" s="222">
        <v>0</v>
      </c>
      <c r="Z282" s="222">
        <v>0</v>
      </c>
      <c r="AA282" s="222">
        <v>0</v>
      </c>
      <c r="AB282" s="222">
        <v>0</v>
      </c>
      <c r="AC282" s="222">
        <v>0</v>
      </c>
      <c r="AD282" s="222">
        <v>0</v>
      </c>
      <c r="AE282" s="222">
        <v>789.35</v>
      </c>
      <c r="AF282" s="221">
        <f>6238.91*AE282/I282</f>
        <v>1306.3029142373618</v>
      </c>
      <c r="AG282" s="222">
        <v>0</v>
      </c>
      <c r="AH282" s="221">
        <v>0</v>
      </c>
      <c r="AI282" s="222">
        <v>0</v>
      </c>
      <c r="AJ282" s="221">
        <v>0</v>
      </c>
      <c r="AK282" s="222">
        <v>0</v>
      </c>
      <c r="AL282" s="222">
        <v>0</v>
      </c>
      <c r="AM282" s="222">
        <v>0</v>
      </c>
      <c r="AN282" s="222"/>
      <c r="AO282" s="222">
        <v>0</v>
      </c>
    </row>
    <row r="283" spans="1:41" s="223" customFormat="1" ht="36" customHeight="1" x14ac:dyDescent="0.25">
      <c r="A283" s="223">
        <v>1</v>
      </c>
      <c r="B283" s="225">
        <f>SUBTOTAL(103,$A$16:A283)</f>
        <v>260</v>
      </c>
      <c r="C283" s="215" t="s">
        <v>1182</v>
      </c>
      <c r="D283" s="217">
        <v>1990</v>
      </c>
      <c r="E283" s="217"/>
      <c r="F283" s="226" t="s">
        <v>267</v>
      </c>
      <c r="G283" s="217">
        <v>5</v>
      </c>
      <c r="H283" s="217" t="s">
        <v>371</v>
      </c>
      <c r="I283" s="190">
        <v>5335.41</v>
      </c>
      <c r="J283" s="190">
        <v>4025.81</v>
      </c>
      <c r="K283" s="190">
        <v>4025.81</v>
      </c>
      <c r="L283" s="219">
        <v>211</v>
      </c>
      <c r="M283" s="217" t="s">
        <v>265</v>
      </c>
      <c r="N283" s="217" t="s">
        <v>269</v>
      </c>
      <c r="O283" s="220" t="s">
        <v>1316</v>
      </c>
      <c r="P283" s="190">
        <v>3059988.56</v>
      </c>
      <c r="Q283" s="190">
        <v>0</v>
      </c>
      <c r="R283" s="190">
        <v>0</v>
      </c>
      <c r="S283" s="190">
        <f>P283-Q283-R283</f>
        <v>3059988.56</v>
      </c>
      <c r="T283" s="190">
        <f t="shared" si="28"/>
        <v>573.52453888267257</v>
      </c>
      <c r="U283" s="190">
        <v>1363.3285160840499</v>
      </c>
      <c r="V283" s="221">
        <f t="shared" si="29"/>
        <v>789.80397720137728</v>
      </c>
      <c r="W283" s="221">
        <f>X283+Y283+Z283+AA283+AB283+AD283+AF283+AH283+AJ283+AL283+AN283+AO283</f>
        <v>1307.0184415818089</v>
      </c>
      <c r="X283" s="221">
        <v>0</v>
      </c>
      <c r="Y283" s="222">
        <v>0</v>
      </c>
      <c r="Z283" s="222">
        <v>0</v>
      </c>
      <c r="AA283" s="222">
        <v>0</v>
      </c>
      <c r="AB283" s="222">
        <v>0</v>
      </c>
      <c r="AC283" s="222">
        <v>0</v>
      </c>
      <c r="AD283" s="222">
        <v>0</v>
      </c>
      <c r="AE283" s="222">
        <v>1117.74</v>
      </c>
      <c r="AF283" s="221">
        <f>6238.91*AE283/I283</f>
        <v>1307.0184415818089</v>
      </c>
      <c r="AG283" s="222">
        <v>0</v>
      </c>
      <c r="AH283" s="221">
        <v>0</v>
      </c>
      <c r="AI283" s="222">
        <v>0</v>
      </c>
      <c r="AJ283" s="221">
        <v>0</v>
      </c>
      <c r="AK283" s="222">
        <v>0</v>
      </c>
      <c r="AL283" s="222">
        <v>0</v>
      </c>
      <c r="AM283" s="222">
        <v>0</v>
      </c>
      <c r="AN283" s="222"/>
      <c r="AO283" s="222">
        <v>0</v>
      </c>
    </row>
    <row r="284" spans="1:41" s="223" customFormat="1" ht="36" customHeight="1" x14ac:dyDescent="0.25">
      <c r="B284" s="215" t="s">
        <v>1275</v>
      </c>
      <c r="C284" s="215"/>
      <c r="D284" s="217" t="s">
        <v>890</v>
      </c>
      <c r="E284" s="217" t="s">
        <v>890</v>
      </c>
      <c r="F284" s="217" t="s">
        <v>890</v>
      </c>
      <c r="G284" s="217" t="s">
        <v>890</v>
      </c>
      <c r="H284" s="217" t="s">
        <v>890</v>
      </c>
      <c r="I284" s="218">
        <f>I285</f>
        <v>762</v>
      </c>
      <c r="J284" s="218">
        <f>J285</f>
        <v>540</v>
      </c>
      <c r="K284" s="218">
        <f>K285</f>
        <v>540</v>
      </c>
      <c r="L284" s="219">
        <f>L285</f>
        <v>42</v>
      </c>
      <c r="M284" s="217" t="s">
        <v>890</v>
      </c>
      <c r="N284" s="217" t="s">
        <v>890</v>
      </c>
      <c r="O284" s="220" t="s">
        <v>890</v>
      </c>
      <c r="P284" s="190">
        <v>345276.04000000004</v>
      </c>
      <c r="Q284" s="190">
        <f>Q285</f>
        <v>0</v>
      </c>
      <c r="R284" s="190">
        <f>R285</f>
        <v>0</v>
      </c>
      <c r="S284" s="190">
        <f>S285</f>
        <v>345276.04000000004</v>
      </c>
      <c r="T284" s="190">
        <f t="shared" si="28"/>
        <v>453.11816272965882</v>
      </c>
      <c r="U284" s="190">
        <f>MAX(U285)</f>
        <v>712.1</v>
      </c>
      <c r="V284" s="221">
        <f t="shared" si="29"/>
        <v>258.9818372703412</v>
      </c>
      <c r="W284" s="221"/>
      <c r="X284" s="221"/>
      <c r="Y284" s="222"/>
      <c r="Z284" s="222"/>
      <c r="AA284" s="222"/>
      <c r="AB284" s="222"/>
      <c r="AC284" s="222"/>
      <c r="AD284" s="222"/>
      <c r="AE284" s="222"/>
      <c r="AF284" s="222"/>
      <c r="AG284" s="222"/>
      <c r="AH284" s="222"/>
      <c r="AI284" s="222"/>
      <c r="AJ284" s="222"/>
      <c r="AK284" s="222"/>
      <c r="AL284" s="222"/>
      <c r="AM284" s="222"/>
      <c r="AN284" s="222"/>
      <c r="AO284" s="222"/>
    </row>
    <row r="285" spans="1:41" s="223" customFormat="1" ht="36" customHeight="1" x14ac:dyDescent="0.25">
      <c r="A285" s="223">
        <v>1</v>
      </c>
      <c r="B285" s="225">
        <f>SUBTOTAL(103,$A$16:A285)</f>
        <v>261</v>
      </c>
      <c r="C285" s="215" t="s">
        <v>1181</v>
      </c>
      <c r="D285" s="217">
        <v>1970</v>
      </c>
      <c r="E285" s="217"/>
      <c r="F285" s="226" t="s">
        <v>267</v>
      </c>
      <c r="G285" s="217">
        <v>2</v>
      </c>
      <c r="H285" s="217" t="s">
        <v>303</v>
      </c>
      <c r="I285" s="190">
        <v>762</v>
      </c>
      <c r="J285" s="190">
        <v>540</v>
      </c>
      <c r="K285" s="190">
        <v>540</v>
      </c>
      <c r="L285" s="219">
        <v>42</v>
      </c>
      <c r="M285" s="217" t="s">
        <v>265</v>
      </c>
      <c r="N285" s="217" t="s">
        <v>283</v>
      </c>
      <c r="O285" s="220" t="s">
        <v>268</v>
      </c>
      <c r="P285" s="190">
        <v>345276.04000000004</v>
      </c>
      <c r="Q285" s="190">
        <v>0</v>
      </c>
      <c r="R285" s="190">
        <v>0</v>
      </c>
      <c r="S285" s="190">
        <f>P285-Q285-R285</f>
        <v>345276.04000000004</v>
      </c>
      <c r="T285" s="190">
        <f t="shared" si="28"/>
        <v>453.11816272965882</v>
      </c>
      <c r="U285" s="190">
        <v>712.1</v>
      </c>
      <c r="V285" s="221">
        <f>U285-T285</f>
        <v>258.9818372703412</v>
      </c>
      <c r="W285" s="221">
        <f>X285+Y285+Z285+AA285+AB285+AD285+AF285+AH285+AJ285+AL285+AN285+AO285</f>
        <v>712.1</v>
      </c>
      <c r="X285" s="221">
        <v>0</v>
      </c>
      <c r="Y285" s="222">
        <v>0</v>
      </c>
      <c r="Z285" s="222">
        <v>0</v>
      </c>
      <c r="AA285" s="222">
        <v>0</v>
      </c>
      <c r="AB285" s="222">
        <v>0</v>
      </c>
      <c r="AC285" s="222">
        <v>0</v>
      </c>
      <c r="AD285" s="222">
        <v>0</v>
      </c>
      <c r="AE285" s="222">
        <v>0</v>
      </c>
      <c r="AF285" s="221">
        <v>0</v>
      </c>
      <c r="AG285" s="222">
        <v>0</v>
      </c>
      <c r="AH285" s="221">
        <v>0</v>
      </c>
      <c r="AI285" s="222">
        <v>0</v>
      </c>
      <c r="AJ285" s="221">
        <v>0</v>
      </c>
      <c r="AK285" s="222">
        <v>0</v>
      </c>
      <c r="AL285" s="222">
        <v>0</v>
      </c>
      <c r="AM285" s="222">
        <v>0</v>
      </c>
      <c r="AN285" s="222"/>
      <c r="AO285" s="222">
        <v>712.1</v>
      </c>
    </row>
    <row r="286" spans="1:41" s="223" customFormat="1" ht="36" customHeight="1" x14ac:dyDescent="0.25">
      <c r="B286" s="215" t="s">
        <v>819</v>
      </c>
      <c r="C286" s="227"/>
      <c r="D286" s="217" t="s">
        <v>890</v>
      </c>
      <c r="E286" s="217" t="s">
        <v>890</v>
      </c>
      <c r="F286" s="217" t="s">
        <v>890</v>
      </c>
      <c r="G286" s="217" t="s">
        <v>890</v>
      </c>
      <c r="H286" s="217" t="s">
        <v>890</v>
      </c>
      <c r="I286" s="218">
        <f>SUM(I287:I288)</f>
        <v>2259.1</v>
      </c>
      <c r="J286" s="218">
        <f>SUM(J287:J288)</f>
        <v>2111.5</v>
      </c>
      <c r="K286" s="218">
        <f>SUM(K287:K288)</f>
        <v>2111.5</v>
      </c>
      <c r="L286" s="219">
        <f>SUM(L287:L288)</f>
        <v>104</v>
      </c>
      <c r="M286" s="217" t="s">
        <v>890</v>
      </c>
      <c r="N286" s="217" t="s">
        <v>890</v>
      </c>
      <c r="O286" s="220" t="s">
        <v>890</v>
      </c>
      <c r="P286" s="190">
        <v>5773107.5300000003</v>
      </c>
      <c r="Q286" s="190">
        <f>SUM(Q287:Q288)</f>
        <v>0</v>
      </c>
      <c r="R286" s="190">
        <f>SUM(R287:R288)</f>
        <v>0</v>
      </c>
      <c r="S286" s="190">
        <f>SUM(S287:S288)</f>
        <v>5773107.5300000003</v>
      </c>
      <c r="T286" s="190">
        <f t="shared" si="28"/>
        <v>2555.490031428445</v>
      </c>
      <c r="U286" s="190">
        <f>MAX(U287:U288)</f>
        <v>6070.9466271056663</v>
      </c>
      <c r="V286" s="221">
        <f t="shared" si="29"/>
        <v>3515.4565956772212</v>
      </c>
      <c r="W286" s="221"/>
      <c r="X286" s="221"/>
      <c r="Y286" s="222"/>
      <c r="Z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</row>
    <row r="287" spans="1:41" s="223" customFormat="1" ht="36" customHeight="1" x14ac:dyDescent="0.25">
      <c r="A287" s="223">
        <v>1</v>
      </c>
      <c r="B287" s="225">
        <f>SUBTOTAL(103,$A$16:A287)</f>
        <v>262</v>
      </c>
      <c r="C287" s="215" t="s">
        <v>677</v>
      </c>
      <c r="D287" s="217">
        <v>1982</v>
      </c>
      <c r="E287" s="217"/>
      <c r="F287" s="226" t="s">
        <v>267</v>
      </c>
      <c r="G287" s="217">
        <v>3</v>
      </c>
      <c r="H287" s="217" t="s">
        <v>312</v>
      </c>
      <c r="I287" s="190">
        <v>1997.9</v>
      </c>
      <c r="J287" s="190">
        <v>1878.3</v>
      </c>
      <c r="K287" s="190">
        <v>1878.3</v>
      </c>
      <c r="L287" s="219">
        <v>88</v>
      </c>
      <c r="M287" s="217" t="s">
        <v>265</v>
      </c>
      <c r="N287" s="217" t="s">
        <v>266</v>
      </c>
      <c r="O287" s="220" t="s">
        <v>268</v>
      </c>
      <c r="P287" s="190">
        <v>4843097.09</v>
      </c>
      <c r="Q287" s="190">
        <v>0</v>
      </c>
      <c r="R287" s="190">
        <v>0</v>
      </c>
      <c r="S287" s="190">
        <f>P287-Q287-R287</f>
        <v>4843097.09</v>
      </c>
      <c r="T287" s="190">
        <f t="shared" si="28"/>
        <v>2424.0938435357125</v>
      </c>
      <c r="U287" s="190">
        <v>3475.5072325942233</v>
      </c>
      <c r="V287" s="221">
        <f t="shared" si="29"/>
        <v>1051.4133890585108</v>
      </c>
      <c r="W287" s="221">
        <f>X287+Y287+Z287+AA287+AB287+AD287+AF287+AH287+AJ287+AL287+AN287+AO287</f>
        <v>3191.434015716502</v>
      </c>
      <c r="X287" s="221">
        <v>0</v>
      </c>
      <c r="Y287" s="222">
        <v>0</v>
      </c>
      <c r="Z287" s="222">
        <v>0</v>
      </c>
      <c r="AA287" s="222">
        <v>0</v>
      </c>
      <c r="AB287" s="222">
        <v>0</v>
      </c>
      <c r="AC287" s="222">
        <v>0</v>
      </c>
      <c r="AD287" s="222">
        <v>0</v>
      </c>
      <c r="AE287" s="222">
        <v>1022</v>
      </c>
      <c r="AF287" s="221">
        <f>6238.91*AE287/I287</f>
        <v>3191.434015716502</v>
      </c>
      <c r="AG287" s="222">
        <v>0</v>
      </c>
      <c r="AH287" s="221">
        <v>0</v>
      </c>
      <c r="AI287" s="222">
        <v>0</v>
      </c>
      <c r="AJ287" s="221">
        <v>0</v>
      </c>
      <c r="AK287" s="222">
        <v>0</v>
      </c>
      <c r="AL287" s="222">
        <v>0</v>
      </c>
      <c r="AM287" s="222">
        <v>0</v>
      </c>
      <c r="AN287" s="222"/>
      <c r="AO287" s="222">
        <v>0</v>
      </c>
    </row>
    <row r="288" spans="1:41" s="223" customFormat="1" ht="36" customHeight="1" x14ac:dyDescent="0.25">
      <c r="A288" s="223">
        <v>1</v>
      </c>
      <c r="B288" s="225">
        <f>SUBTOTAL(103,$A$16:A288)</f>
        <v>263</v>
      </c>
      <c r="C288" s="215" t="s">
        <v>675</v>
      </c>
      <c r="D288" s="217">
        <v>1972</v>
      </c>
      <c r="E288" s="217"/>
      <c r="F288" s="226" t="s">
        <v>267</v>
      </c>
      <c r="G288" s="217">
        <v>2</v>
      </c>
      <c r="H288" s="217" t="s">
        <v>304</v>
      </c>
      <c r="I288" s="190">
        <v>261.2</v>
      </c>
      <c r="J288" s="190">
        <v>233.2</v>
      </c>
      <c r="K288" s="190">
        <v>233.2</v>
      </c>
      <c r="L288" s="219">
        <v>16</v>
      </c>
      <c r="M288" s="217" t="s">
        <v>265</v>
      </c>
      <c r="N288" s="217" t="s">
        <v>266</v>
      </c>
      <c r="O288" s="220" t="s">
        <v>268</v>
      </c>
      <c r="P288" s="190">
        <v>930010.44000000006</v>
      </c>
      <c r="Q288" s="190">
        <v>0</v>
      </c>
      <c r="R288" s="190">
        <v>0</v>
      </c>
      <c r="S288" s="190">
        <f>P288-Q288-R288</f>
        <v>930010.44000000006</v>
      </c>
      <c r="T288" s="190">
        <f t="shared" si="28"/>
        <v>3560.530015313936</v>
      </c>
      <c r="U288" s="190">
        <v>6070.9466271056663</v>
      </c>
      <c r="V288" s="221">
        <f t="shared" si="29"/>
        <v>2510.4166117917302</v>
      </c>
      <c r="W288" s="221">
        <f>X288+Y288+Z288+AA288+AB288+AD288+AF288+AH288+AJ288+AL288+AN288+AO288</f>
        <v>5827.1228315467079</v>
      </c>
      <c r="X288" s="221">
        <v>0</v>
      </c>
      <c r="Y288" s="222">
        <v>0</v>
      </c>
      <c r="Z288" s="222">
        <v>0</v>
      </c>
      <c r="AA288" s="222">
        <v>0</v>
      </c>
      <c r="AB288" s="222">
        <v>0</v>
      </c>
      <c r="AC288" s="222">
        <v>0</v>
      </c>
      <c r="AD288" s="222">
        <v>0</v>
      </c>
      <c r="AE288" s="222">
        <v>243.96</v>
      </c>
      <c r="AF288" s="221">
        <f>6238.91*AE288/I288</f>
        <v>5827.1228315467079</v>
      </c>
      <c r="AG288" s="222">
        <v>0</v>
      </c>
      <c r="AH288" s="221">
        <v>0</v>
      </c>
      <c r="AI288" s="222">
        <v>0</v>
      </c>
      <c r="AJ288" s="221">
        <v>0</v>
      </c>
      <c r="AK288" s="222">
        <v>0</v>
      </c>
      <c r="AL288" s="222">
        <v>0</v>
      </c>
      <c r="AM288" s="222">
        <v>0</v>
      </c>
      <c r="AN288" s="222"/>
      <c r="AO288" s="222">
        <v>0</v>
      </c>
    </row>
    <row r="289" spans="1:41" s="223" customFormat="1" ht="36" customHeight="1" x14ac:dyDescent="0.25">
      <c r="B289" s="215" t="s">
        <v>820</v>
      </c>
      <c r="C289" s="215"/>
      <c r="D289" s="217" t="s">
        <v>890</v>
      </c>
      <c r="E289" s="217" t="s">
        <v>890</v>
      </c>
      <c r="F289" s="217" t="s">
        <v>890</v>
      </c>
      <c r="G289" s="217" t="s">
        <v>890</v>
      </c>
      <c r="H289" s="217" t="s">
        <v>890</v>
      </c>
      <c r="I289" s="218">
        <f>SUM(I290:I294)</f>
        <v>4271.2</v>
      </c>
      <c r="J289" s="218">
        <f>SUM(J290:J294)</f>
        <v>4205.7</v>
      </c>
      <c r="K289" s="218">
        <f>SUM(K290:K294)</f>
        <v>4205.7</v>
      </c>
      <c r="L289" s="219">
        <f>SUM(L290:L294)</f>
        <v>227</v>
      </c>
      <c r="M289" s="217" t="s">
        <v>890</v>
      </c>
      <c r="N289" s="217" t="s">
        <v>890</v>
      </c>
      <c r="O289" s="220" t="s">
        <v>890</v>
      </c>
      <c r="P289" s="190">
        <v>10624337.110000001</v>
      </c>
      <c r="Q289" s="190">
        <f>SUM(Q290:Q294)</f>
        <v>0</v>
      </c>
      <c r="R289" s="190">
        <f>SUM(R290:R294)</f>
        <v>0</v>
      </c>
      <c r="S289" s="190">
        <f>SUM(S290:S294)</f>
        <v>10624337.110000001</v>
      </c>
      <c r="T289" s="190">
        <f t="shared" si="28"/>
        <v>2487.4361092901295</v>
      </c>
      <c r="U289" s="190">
        <f>MAX(U290:U294)</f>
        <v>7158.3378593542693</v>
      </c>
      <c r="V289" s="221">
        <f t="shared" si="29"/>
        <v>4670.9017500641403</v>
      </c>
      <c r="W289" s="221"/>
      <c r="X289" s="221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</row>
    <row r="290" spans="1:41" s="223" customFormat="1" ht="36" customHeight="1" x14ac:dyDescent="0.25">
      <c r="A290" s="223">
        <v>1</v>
      </c>
      <c r="B290" s="225">
        <f>SUBTOTAL(103,$A$16:A290)</f>
        <v>264</v>
      </c>
      <c r="C290" s="215" t="s">
        <v>689</v>
      </c>
      <c r="D290" s="217">
        <v>1968</v>
      </c>
      <c r="E290" s="217">
        <v>2010</v>
      </c>
      <c r="F290" s="226" t="s">
        <v>267</v>
      </c>
      <c r="G290" s="217">
        <v>2</v>
      </c>
      <c r="H290" s="217" t="s">
        <v>303</v>
      </c>
      <c r="I290" s="190">
        <v>794.9</v>
      </c>
      <c r="J290" s="190">
        <v>734.9</v>
      </c>
      <c r="K290" s="190">
        <v>734.9</v>
      </c>
      <c r="L290" s="219">
        <v>32</v>
      </c>
      <c r="M290" s="217" t="s">
        <v>265</v>
      </c>
      <c r="N290" s="217" t="s">
        <v>341</v>
      </c>
      <c r="O290" s="220" t="s">
        <v>715</v>
      </c>
      <c r="P290" s="190">
        <v>2376905.8499999996</v>
      </c>
      <c r="Q290" s="190">
        <v>0</v>
      </c>
      <c r="R290" s="190">
        <v>0</v>
      </c>
      <c r="S290" s="190">
        <f>P290-Q290-R290</f>
        <v>2376905.8499999996</v>
      </c>
      <c r="T290" s="190">
        <f t="shared" si="28"/>
        <v>2990.1948043779089</v>
      </c>
      <c r="U290" s="190">
        <v>6222.6775342810415</v>
      </c>
      <c r="V290" s="221">
        <f t="shared" si="29"/>
        <v>3232.4827299031326</v>
      </c>
      <c r="W290" s="221">
        <f>X290+Y290+Z290+AA290+AB290+AD290+AF290+AH290+AJ290+AL290+AN290+AO290</f>
        <v>5683.4387092716061</v>
      </c>
      <c r="X290" s="221">
        <v>0</v>
      </c>
      <c r="Y290" s="222">
        <v>0</v>
      </c>
      <c r="Z290" s="222">
        <v>0</v>
      </c>
      <c r="AA290" s="222">
        <v>0</v>
      </c>
      <c r="AB290" s="222">
        <v>0</v>
      </c>
      <c r="AC290" s="222">
        <v>0</v>
      </c>
      <c r="AD290" s="222">
        <v>0</v>
      </c>
      <c r="AE290" s="222">
        <v>0</v>
      </c>
      <c r="AF290" s="221">
        <v>0</v>
      </c>
      <c r="AG290" s="222">
        <v>0</v>
      </c>
      <c r="AH290" s="221">
        <v>0</v>
      </c>
      <c r="AI290" s="222">
        <v>607.29999999999995</v>
      </c>
      <c r="AJ290" s="221">
        <f>7439.1*AI290/I290</f>
        <v>5683.4387092716061</v>
      </c>
      <c r="AK290" s="222">
        <v>0</v>
      </c>
      <c r="AL290" s="222">
        <v>0</v>
      </c>
      <c r="AM290" s="222">
        <v>0</v>
      </c>
      <c r="AN290" s="222"/>
      <c r="AO290" s="222">
        <v>0</v>
      </c>
    </row>
    <row r="291" spans="1:41" s="223" customFormat="1" ht="36" customHeight="1" x14ac:dyDescent="0.25">
      <c r="A291" s="223">
        <v>1</v>
      </c>
      <c r="B291" s="225">
        <f>SUBTOTAL(103,$A$16:A291)</f>
        <v>265</v>
      </c>
      <c r="C291" s="215" t="s">
        <v>1199</v>
      </c>
      <c r="D291" s="217">
        <v>1963</v>
      </c>
      <c r="E291" s="217"/>
      <c r="F291" s="226" t="s">
        <v>267</v>
      </c>
      <c r="G291" s="217">
        <v>2</v>
      </c>
      <c r="H291" s="217" t="s">
        <v>303</v>
      </c>
      <c r="I291" s="190">
        <v>722.8</v>
      </c>
      <c r="J291" s="190">
        <v>720.3</v>
      </c>
      <c r="K291" s="190">
        <v>720.3</v>
      </c>
      <c r="L291" s="219">
        <v>42</v>
      </c>
      <c r="M291" s="217" t="s">
        <v>265</v>
      </c>
      <c r="N291" s="217" t="s">
        <v>341</v>
      </c>
      <c r="O291" s="220" t="s">
        <v>724</v>
      </c>
      <c r="P291" s="190">
        <v>2513294.65</v>
      </c>
      <c r="Q291" s="190">
        <v>0</v>
      </c>
      <c r="R291" s="190">
        <v>0</v>
      </c>
      <c r="S291" s="190">
        <f>P291-Q291-R291</f>
        <v>2513294.65</v>
      </c>
      <c r="T291" s="190">
        <f t="shared" si="28"/>
        <v>3477.1647066961814</v>
      </c>
      <c r="U291" s="190">
        <v>6661.020365246266</v>
      </c>
      <c r="V291" s="221">
        <f t="shared" si="29"/>
        <v>3183.8556585500846</v>
      </c>
      <c r="W291" s="221">
        <f>X291+Y291+Z291+AA291+AB291+AD291+AF291+AH291+AJ291+AL291+AN291+AO291</f>
        <v>6661.020365246266</v>
      </c>
      <c r="X291" s="221">
        <v>0</v>
      </c>
      <c r="Y291" s="222">
        <v>0</v>
      </c>
      <c r="Z291" s="222">
        <v>0</v>
      </c>
      <c r="AA291" s="222">
        <v>0</v>
      </c>
      <c r="AB291" s="222">
        <v>0</v>
      </c>
      <c r="AC291" s="222">
        <v>0</v>
      </c>
      <c r="AD291" s="222">
        <v>0</v>
      </c>
      <c r="AE291" s="222">
        <v>0</v>
      </c>
      <c r="AF291" s="221">
        <v>0</v>
      </c>
      <c r="AG291" s="222">
        <v>0</v>
      </c>
      <c r="AH291" s="221">
        <v>0</v>
      </c>
      <c r="AI291" s="222">
        <v>647.20000000000005</v>
      </c>
      <c r="AJ291" s="221">
        <f>7439.1*AI291/I291</f>
        <v>6661.020365246266</v>
      </c>
      <c r="AK291" s="222">
        <v>0</v>
      </c>
      <c r="AL291" s="222">
        <v>0</v>
      </c>
      <c r="AM291" s="222">
        <v>0</v>
      </c>
      <c r="AN291" s="222"/>
      <c r="AO291" s="222">
        <v>0</v>
      </c>
    </row>
    <row r="292" spans="1:41" s="223" customFormat="1" ht="36" customHeight="1" x14ac:dyDescent="0.25">
      <c r="A292" s="223">
        <v>1</v>
      </c>
      <c r="B292" s="225">
        <f>SUBTOTAL(103,$A$16:A292)</f>
        <v>266</v>
      </c>
      <c r="C292" s="215" t="s">
        <v>1200</v>
      </c>
      <c r="D292" s="217">
        <v>1973</v>
      </c>
      <c r="E292" s="217"/>
      <c r="F292" s="226" t="s">
        <v>267</v>
      </c>
      <c r="G292" s="217">
        <v>2</v>
      </c>
      <c r="H292" s="217" t="s">
        <v>304</v>
      </c>
      <c r="I292" s="190">
        <v>678.3</v>
      </c>
      <c r="J292" s="190">
        <v>678</v>
      </c>
      <c r="K292" s="190">
        <v>678</v>
      </c>
      <c r="L292" s="219">
        <v>57</v>
      </c>
      <c r="M292" s="217" t="s">
        <v>265</v>
      </c>
      <c r="N292" s="217" t="s">
        <v>341</v>
      </c>
      <c r="O292" s="220" t="s">
        <v>724</v>
      </c>
      <c r="P292" s="190">
        <v>2534240.8800000004</v>
      </c>
      <c r="Q292" s="190">
        <v>0</v>
      </c>
      <c r="R292" s="190">
        <v>0</v>
      </c>
      <c r="S292" s="190">
        <f>P292-Q292-R292</f>
        <v>2534240.8800000004</v>
      </c>
      <c r="T292" s="190">
        <f t="shared" si="28"/>
        <v>3736.1652366209651</v>
      </c>
      <c r="U292" s="190">
        <v>7158.3378593542693</v>
      </c>
      <c r="V292" s="221">
        <f t="shared" si="29"/>
        <v>3422.1726227333043</v>
      </c>
      <c r="W292" s="221">
        <f>X292+Y292+Z292+AA292+AB292+AD292+AF292+AH292+AJ292+AL292+AN292+AO292</f>
        <v>7158.3378593542693</v>
      </c>
      <c r="X292" s="221">
        <v>0</v>
      </c>
      <c r="Y292" s="222">
        <v>0</v>
      </c>
      <c r="Z292" s="222">
        <v>0</v>
      </c>
      <c r="AA292" s="222">
        <v>0</v>
      </c>
      <c r="AB292" s="222">
        <v>0</v>
      </c>
      <c r="AC292" s="222">
        <v>0</v>
      </c>
      <c r="AD292" s="222">
        <v>0</v>
      </c>
      <c r="AE292" s="222">
        <v>0</v>
      </c>
      <c r="AF292" s="221">
        <v>0</v>
      </c>
      <c r="AG292" s="222">
        <v>0</v>
      </c>
      <c r="AH292" s="221">
        <v>0</v>
      </c>
      <c r="AI292" s="222">
        <v>652.70000000000005</v>
      </c>
      <c r="AJ292" s="221">
        <f>7439.1*AI292/I292</f>
        <v>7158.3378593542693</v>
      </c>
      <c r="AK292" s="222">
        <v>0</v>
      </c>
      <c r="AL292" s="222">
        <v>0</v>
      </c>
      <c r="AM292" s="222">
        <v>0</v>
      </c>
      <c r="AN292" s="222"/>
      <c r="AO292" s="222">
        <v>0</v>
      </c>
    </row>
    <row r="293" spans="1:41" s="223" customFormat="1" ht="36" customHeight="1" x14ac:dyDescent="0.25">
      <c r="A293" s="223">
        <v>1</v>
      </c>
      <c r="B293" s="225">
        <f>SUBTOTAL(103,$A$16:A293)</f>
        <v>267</v>
      </c>
      <c r="C293" s="215" t="s">
        <v>1201</v>
      </c>
      <c r="D293" s="217">
        <v>1975</v>
      </c>
      <c r="E293" s="217"/>
      <c r="F293" s="226" t="s">
        <v>267</v>
      </c>
      <c r="G293" s="217">
        <v>2</v>
      </c>
      <c r="H293" s="217" t="s">
        <v>312</v>
      </c>
      <c r="I293" s="190">
        <v>984.2</v>
      </c>
      <c r="J293" s="190">
        <v>981.5</v>
      </c>
      <c r="K293" s="190">
        <v>981.5</v>
      </c>
      <c r="L293" s="219">
        <v>57</v>
      </c>
      <c r="M293" s="217" t="s">
        <v>265</v>
      </c>
      <c r="N293" s="217" t="s">
        <v>341</v>
      </c>
      <c r="O293" s="220" t="s">
        <v>724</v>
      </c>
      <c r="P293" s="190">
        <v>542612.12</v>
      </c>
      <c r="Q293" s="190">
        <v>0</v>
      </c>
      <c r="R293" s="190">
        <v>0</v>
      </c>
      <c r="S293" s="190">
        <f>P293-Q293-R293</f>
        <v>542612.12</v>
      </c>
      <c r="T293" s="190">
        <f t="shared" si="28"/>
        <v>551.32302377565532</v>
      </c>
      <c r="U293" s="190">
        <v>3925.04</v>
      </c>
      <c r="V293" s="221">
        <f t="shared" si="29"/>
        <v>3373.7169762243448</v>
      </c>
      <c r="W293" s="221">
        <f>X293+Y293+Z293+AA293+AB293+AD293+AF293+AH293+AJ293+AL293+AN293+AO293</f>
        <v>3546.19</v>
      </c>
      <c r="X293" s="221">
        <v>101.55</v>
      </c>
      <c r="Y293" s="222">
        <v>0</v>
      </c>
      <c r="Z293" s="222">
        <v>3259.66</v>
      </c>
      <c r="AA293" s="222">
        <v>184.98</v>
      </c>
      <c r="AB293" s="222">
        <v>0</v>
      </c>
      <c r="AC293" s="222">
        <v>0</v>
      </c>
      <c r="AD293" s="222">
        <v>0</v>
      </c>
      <c r="AE293" s="222">
        <v>0</v>
      </c>
      <c r="AF293" s="221">
        <v>0</v>
      </c>
      <c r="AG293" s="222">
        <v>0</v>
      </c>
      <c r="AH293" s="221">
        <v>0</v>
      </c>
      <c r="AI293" s="222">
        <v>0</v>
      </c>
      <c r="AJ293" s="221">
        <v>0</v>
      </c>
      <c r="AK293" s="222">
        <v>0</v>
      </c>
      <c r="AL293" s="222">
        <v>0</v>
      </c>
      <c r="AM293" s="222">
        <v>0</v>
      </c>
      <c r="AN293" s="222"/>
      <c r="AO293" s="222">
        <v>0</v>
      </c>
    </row>
    <row r="294" spans="1:41" s="223" customFormat="1" ht="36" customHeight="1" x14ac:dyDescent="0.25">
      <c r="A294" s="223">
        <v>1</v>
      </c>
      <c r="B294" s="225">
        <f>SUBTOTAL(103,$A$16:A294)</f>
        <v>268</v>
      </c>
      <c r="C294" s="215" t="s">
        <v>1202</v>
      </c>
      <c r="D294" s="217">
        <v>1992</v>
      </c>
      <c r="E294" s="217"/>
      <c r="F294" s="226" t="s">
        <v>267</v>
      </c>
      <c r="G294" s="217">
        <v>3</v>
      </c>
      <c r="H294" s="217" t="s">
        <v>303</v>
      </c>
      <c r="I294" s="190">
        <v>1091</v>
      </c>
      <c r="J294" s="190">
        <v>1091</v>
      </c>
      <c r="K294" s="190">
        <v>1091</v>
      </c>
      <c r="L294" s="219">
        <v>39</v>
      </c>
      <c r="M294" s="217" t="s">
        <v>265</v>
      </c>
      <c r="N294" s="217" t="s">
        <v>269</v>
      </c>
      <c r="O294" s="220" t="s">
        <v>1334</v>
      </c>
      <c r="P294" s="190">
        <v>2657283.6100000003</v>
      </c>
      <c r="Q294" s="190">
        <v>0</v>
      </c>
      <c r="R294" s="190">
        <v>0</v>
      </c>
      <c r="S294" s="190">
        <f>P294-Q294-R294</f>
        <v>2657283.6100000003</v>
      </c>
      <c r="T294" s="190">
        <f t="shared" si="28"/>
        <v>2435.6403391384056</v>
      </c>
      <c r="U294" s="190">
        <v>2758.6738295142077</v>
      </c>
      <c r="V294" s="221">
        <f t="shared" si="29"/>
        <v>323.0334903758021</v>
      </c>
      <c r="W294" s="221">
        <f>X294+Y294+Z294+AA294+AB294+AD294+AF294+AH294+AJ294+AL294+AN294+AO294</f>
        <v>2758.6738295142077</v>
      </c>
      <c r="X294" s="221">
        <v>0</v>
      </c>
      <c r="Y294" s="222">
        <v>0</v>
      </c>
      <c r="Z294" s="222">
        <v>0</v>
      </c>
      <c r="AA294" s="222">
        <v>0</v>
      </c>
      <c r="AB294" s="222">
        <v>0</v>
      </c>
      <c r="AC294" s="222">
        <v>0</v>
      </c>
      <c r="AD294" s="222">
        <v>0</v>
      </c>
      <c r="AE294" s="222">
        <v>0</v>
      </c>
      <c r="AF294" s="221">
        <v>0</v>
      </c>
      <c r="AG294" s="222">
        <v>339.3</v>
      </c>
      <c r="AH294" s="221">
        <f>8870.36*AG294/I294</f>
        <v>2758.6738295142077</v>
      </c>
      <c r="AI294" s="222">
        <v>0</v>
      </c>
      <c r="AJ294" s="221">
        <v>0</v>
      </c>
      <c r="AK294" s="222">
        <v>0</v>
      </c>
      <c r="AL294" s="222">
        <v>0</v>
      </c>
      <c r="AM294" s="222">
        <v>0</v>
      </c>
      <c r="AN294" s="222"/>
      <c r="AO294" s="222">
        <v>0</v>
      </c>
    </row>
    <row r="295" spans="1:41" s="223" customFormat="1" ht="36" customHeight="1" x14ac:dyDescent="0.25">
      <c r="B295" s="215" t="s">
        <v>821</v>
      </c>
      <c r="C295" s="215"/>
      <c r="D295" s="217" t="s">
        <v>890</v>
      </c>
      <c r="E295" s="217" t="s">
        <v>890</v>
      </c>
      <c r="F295" s="217" t="s">
        <v>890</v>
      </c>
      <c r="G295" s="217" t="s">
        <v>890</v>
      </c>
      <c r="H295" s="217" t="s">
        <v>890</v>
      </c>
      <c r="I295" s="218">
        <f>SUM(I296:I300)</f>
        <v>3135.5000000000005</v>
      </c>
      <c r="J295" s="218">
        <f>SUM(J296:J300)</f>
        <v>2599.5</v>
      </c>
      <c r="K295" s="218">
        <f>SUM(K296:K300)</f>
        <v>2599.5</v>
      </c>
      <c r="L295" s="219">
        <f>SUM(L296:L300)</f>
        <v>130</v>
      </c>
      <c r="M295" s="217" t="s">
        <v>890</v>
      </c>
      <c r="N295" s="217" t="s">
        <v>890</v>
      </c>
      <c r="O295" s="220" t="s">
        <v>890</v>
      </c>
      <c r="P295" s="190">
        <v>4459924.01</v>
      </c>
      <c r="Q295" s="190">
        <f>SUM(Q296:Q300)</f>
        <v>0</v>
      </c>
      <c r="R295" s="190">
        <f>SUM(R296:R300)</f>
        <v>0</v>
      </c>
      <c r="S295" s="190">
        <f>SUM(S296:S300)</f>
        <v>4459924.01</v>
      </c>
      <c r="T295" s="190">
        <f t="shared" si="28"/>
        <v>1422.3964311911973</v>
      </c>
      <c r="U295" s="190">
        <f>MAX(U296:U300)</f>
        <v>5056.4211600816607</v>
      </c>
      <c r="V295" s="221">
        <f t="shared" si="29"/>
        <v>3634.0247288904634</v>
      </c>
      <c r="W295" s="221"/>
      <c r="X295" s="221"/>
      <c r="Y295" s="222"/>
      <c r="Z295" s="222"/>
      <c r="AA295" s="222"/>
      <c r="AB295" s="222"/>
      <c r="AC295" s="222"/>
      <c r="AD295" s="222"/>
      <c r="AE295" s="222"/>
      <c r="AF295" s="222"/>
      <c r="AG295" s="222"/>
      <c r="AH295" s="222"/>
      <c r="AI295" s="222"/>
      <c r="AJ295" s="222"/>
      <c r="AK295" s="222"/>
      <c r="AL295" s="222"/>
      <c r="AM295" s="222"/>
      <c r="AN295" s="222"/>
      <c r="AO295" s="222"/>
    </row>
    <row r="296" spans="1:41" s="223" customFormat="1" ht="36" customHeight="1" x14ac:dyDescent="0.25">
      <c r="A296" s="223">
        <v>1</v>
      </c>
      <c r="B296" s="225">
        <f>SUBTOTAL(103,$A$16:A296)</f>
        <v>269</v>
      </c>
      <c r="C296" s="215" t="s">
        <v>690</v>
      </c>
      <c r="D296" s="217">
        <v>1962</v>
      </c>
      <c r="E296" s="217"/>
      <c r="F296" s="226" t="s">
        <v>267</v>
      </c>
      <c r="G296" s="217">
        <v>2</v>
      </c>
      <c r="H296" s="217" t="s">
        <v>303</v>
      </c>
      <c r="I296" s="190">
        <v>832.7</v>
      </c>
      <c r="J296" s="190">
        <v>745</v>
      </c>
      <c r="K296" s="190">
        <v>745</v>
      </c>
      <c r="L296" s="219">
        <v>48</v>
      </c>
      <c r="M296" s="217" t="s">
        <v>265</v>
      </c>
      <c r="N296" s="217" t="s">
        <v>266</v>
      </c>
      <c r="O296" s="220" t="s">
        <v>268</v>
      </c>
      <c r="P296" s="190">
        <v>3466608.69</v>
      </c>
      <c r="Q296" s="190">
        <v>0</v>
      </c>
      <c r="R296" s="190">
        <v>0</v>
      </c>
      <c r="S296" s="190">
        <f>P296-Q296-R296</f>
        <v>3466608.69</v>
      </c>
      <c r="T296" s="190">
        <f t="shared" si="28"/>
        <v>4163.0943797285936</v>
      </c>
      <c r="U296" s="190">
        <v>5056.4211600816607</v>
      </c>
      <c r="V296" s="221">
        <f t="shared" si="29"/>
        <v>893.32678035306708</v>
      </c>
      <c r="W296" s="221">
        <f>X296+Y296+Z296+AA296+AB296+AD296+AF296+AH296+AJ296+AL296+AN296+AO296</f>
        <v>4847.5738801489133</v>
      </c>
      <c r="X296" s="221">
        <v>0</v>
      </c>
      <c r="Y296" s="222">
        <v>0</v>
      </c>
      <c r="Z296" s="222">
        <v>0</v>
      </c>
      <c r="AA296" s="222">
        <v>0</v>
      </c>
      <c r="AB296" s="222">
        <v>0</v>
      </c>
      <c r="AC296" s="222">
        <v>0</v>
      </c>
      <c r="AD296" s="222">
        <v>0</v>
      </c>
      <c r="AE296" s="222">
        <v>647</v>
      </c>
      <c r="AF296" s="221">
        <f>6238.91*AE296/I296</f>
        <v>4847.5738801489133</v>
      </c>
      <c r="AG296" s="222">
        <v>0</v>
      </c>
      <c r="AH296" s="221">
        <v>0</v>
      </c>
      <c r="AI296" s="222">
        <v>0</v>
      </c>
      <c r="AJ296" s="221">
        <v>0</v>
      </c>
      <c r="AK296" s="222">
        <v>0</v>
      </c>
      <c r="AL296" s="222">
        <v>0</v>
      </c>
      <c r="AM296" s="222">
        <v>0</v>
      </c>
      <c r="AN296" s="222"/>
      <c r="AO296" s="222">
        <v>0</v>
      </c>
    </row>
    <row r="297" spans="1:41" s="223" customFormat="1" ht="36" customHeight="1" x14ac:dyDescent="0.25">
      <c r="A297" s="223">
        <v>1</v>
      </c>
      <c r="B297" s="225">
        <f>SUBTOTAL(103,$A$16:A297)</f>
        <v>270</v>
      </c>
      <c r="C297" s="215" t="s">
        <v>683</v>
      </c>
      <c r="D297" s="217">
        <v>1938</v>
      </c>
      <c r="E297" s="217"/>
      <c r="F297" s="226" t="s">
        <v>330</v>
      </c>
      <c r="G297" s="217">
        <v>2</v>
      </c>
      <c r="H297" s="217" t="s">
        <v>304</v>
      </c>
      <c r="I297" s="190">
        <v>244.9</v>
      </c>
      <c r="J297" s="190">
        <v>223.9</v>
      </c>
      <c r="K297" s="190">
        <v>223.9</v>
      </c>
      <c r="L297" s="219">
        <v>15</v>
      </c>
      <c r="M297" s="217" t="s">
        <v>265</v>
      </c>
      <c r="N297" s="217" t="s">
        <v>266</v>
      </c>
      <c r="O297" s="220" t="s">
        <v>268</v>
      </c>
      <c r="P297" s="190">
        <v>34358.44</v>
      </c>
      <c r="Q297" s="190">
        <v>0</v>
      </c>
      <c r="R297" s="190">
        <v>0</v>
      </c>
      <c r="S297" s="190">
        <f>P297-Q297-R297</f>
        <v>34358.44</v>
      </c>
      <c r="T297" s="190">
        <f t="shared" si="28"/>
        <v>140.29579420171498</v>
      </c>
      <c r="U297" s="190">
        <v>140.29579420171498</v>
      </c>
      <c r="V297" s="221">
        <f t="shared" si="29"/>
        <v>0</v>
      </c>
      <c r="W297" s="221">
        <f>X297+Y297+Z297+AA297+AB297+AD297+AF297+AH297+AJ297+AL297+AN297+AO297</f>
        <v>795.31</v>
      </c>
      <c r="X297" s="221">
        <v>0</v>
      </c>
      <c r="Y297" s="222">
        <v>0</v>
      </c>
      <c r="Z297" s="222">
        <v>0</v>
      </c>
      <c r="AA297" s="222">
        <v>0</v>
      </c>
      <c r="AB297" s="222">
        <v>795.31</v>
      </c>
      <c r="AC297" s="222">
        <v>0</v>
      </c>
      <c r="AD297" s="222">
        <v>0</v>
      </c>
      <c r="AE297" s="222">
        <v>0</v>
      </c>
      <c r="AF297" s="221">
        <v>0</v>
      </c>
      <c r="AG297" s="222">
        <v>0</v>
      </c>
      <c r="AH297" s="221">
        <v>0</v>
      </c>
      <c r="AI297" s="222">
        <v>0</v>
      </c>
      <c r="AJ297" s="221">
        <v>0</v>
      </c>
      <c r="AK297" s="222">
        <v>0</v>
      </c>
      <c r="AL297" s="222">
        <v>0</v>
      </c>
      <c r="AM297" s="222">
        <v>0</v>
      </c>
      <c r="AN297" s="222"/>
      <c r="AO297" s="222">
        <v>0</v>
      </c>
    </row>
    <row r="298" spans="1:41" s="223" customFormat="1" ht="36" customHeight="1" x14ac:dyDescent="0.25">
      <c r="A298" s="223">
        <v>1</v>
      </c>
      <c r="B298" s="225">
        <f>SUBTOTAL(103,$A$16:A298)</f>
        <v>271</v>
      </c>
      <c r="C298" s="215" t="s">
        <v>682</v>
      </c>
      <c r="D298" s="217">
        <v>1959</v>
      </c>
      <c r="E298" s="217"/>
      <c r="F298" s="226" t="s">
        <v>267</v>
      </c>
      <c r="G298" s="217">
        <v>3</v>
      </c>
      <c r="H298" s="217" t="s">
        <v>304</v>
      </c>
      <c r="I298" s="190">
        <v>989.5</v>
      </c>
      <c r="J298" s="190">
        <v>562.20000000000005</v>
      </c>
      <c r="K298" s="190">
        <v>562.20000000000005</v>
      </c>
      <c r="L298" s="219">
        <v>35</v>
      </c>
      <c r="M298" s="217" t="s">
        <v>265</v>
      </c>
      <c r="N298" s="217" t="s">
        <v>266</v>
      </c>
      <c r="O298" s="220" t="s">
        <v>268</v>
      </c>
      <c r="P298" s="190">
        <v>576667.37</v>
      </c>
      <c r="Q298" s="190">
        <v>0</v>
      </c>
      <c r="R298" s="190">
        <v>0</v>
      </c>
      <c r="S298" s="190">
        <f>P298-Q298-R298</f>
        <v>576667.37</v>
      </c>
      <c r="T298" s="190">
        <f t="shared" si="28"/>
        <v>582.78662961091459</v>
      </c>
      <c r="U298" s="190">
        <v>810.46</v>
      </c>
      <c r="V298" s="221">
        <f t="shared" si="29"/>
        <v>227.67337038908545</v>
      </c>
      <c r="W298" s="221">
        <f>X298+Y298+Z298+AA298+AB298+AD298+AF298+AH298+AJ298+AL298+AN298+AO298</f>
        <v>795.31</v>
      </c>
      <c r="X298" s="221">
        <v>0</v>
      </c>
      <c r="Y298" s="222">
        <v>0</v>
      </c>
      <c r="Z298" s="222">
        <v>0</v>
      </c>
      <c r="AA298" s="222">
        <v>0</v>
      </c>
      <c r="AB298" s="222">
        <v>795.31</v>
      </c>
      <c r="AC298" s="222">
        <v>0</v>
      </c>
      <c r="AD298" s="222">
        <v>0</v>
      </c>
      <c r="AE298" s="222">
        <v>0</v>
      </c>
      <c r="AF298" s="221">
        <v>0</v>
      </c>
      <c r="AG298" s="222">
        <v>0</v>
      </c>
      <c r="AH298" s="221">
        <v>0</v>
      </c>
      <c r="AI298" s="222">
        <v>0</v>
      </c>
      <c r="AJ298" s="221">
        <v>0</v>
      </c>
      <c r="AK298" s="222">
        <v>0</v>
      </c>
      <c r="AL298" s="222">
        <v>0</v>
      </c>
      <c r="AM298" s="222">
        <v>0</v>
      </c>
      <c r="AN298" s="222"/>
      <c r="AO298" s="222">
        <v>0</v>
      </c>
    </row>
    <row r="299" spans="1:41" s="223" customFormat="1" ht="36" customHeight="1" x14ac:dyDescent="0.25">
      <c r="A299" s="223">
        <v>1</v>
      </c>
      <c r="B299" s="225">
        <f>SUBTOTAL(103,$A$16:A299)</f>
        <v>272</v>
      </c>
      <c r="C299" s="215" t="s">
        <v>1207</v>
      </c>
      <c r="D299" s="217">
        <v>1971</v>
      </c>
      <c r="E299" s="217"/>
      <c r="F299" s="226" t="s">
        <v>267</v>
      </c>
      <c r="G299" s="217">
        <v>2</v>
      </c>
      <c r="H299" s="217" t="s">
        <v>303</v>
      </c>
      <c r="I299" s="190">
        <v>769.9</v>
      </c>
      <c r="J299" s="190">
        <v>769.9</v>
      </c>
      <c r="K299" s="190">
        <v>769.9</v>
      </c>
      <c r="L299" s="219">
        <v>21</v>
      </c>
      <c r="M299" s="217" t="s">
        <v>265</v>
      </c>
      <c r="N299" s="217" t="s">
        <v>269</v>
      </c>
      <c r="O299" s="220" t="s">
        <v>1333</v>
      </c>
      <c r="P299" s="190">
        <v>248507.09</v>
      </c>
      <c r="Q299" s="190">
        <v>0</v>
      </c>
      <c r="R299" s="190">
        <v>0</v>
      </c>
      <c r="S299" s="190">
        <f>P299-Q299-R299</f>
        <v>248507.09</v>
      </c>
      <c r="T299" s="190">
        <f t="shared" si="28"/>
        <v>322.77839979218083</v>
      </c>
      <c r="U299" s="190">
        <v>322.77839979218083</v>
      </c>
      <c r="V299" s="221">
        <f t="shared" si="29"/>
        <v>0</v>
      </c>
      <c r="W299" s="221">
        <f>T299</f>
        <v>322.77839979218083</v>
      </c>
      <c r="X299" s="221">
        <v>113.09</v>
      </c>
      <c r="Y299" s="222">
        <v>0</v>
      </c>
      <c r="Z299" s="222">
        <v>0</v>
      </c>
      <c r="AA299" s="222">
        <v>184.98</v>
      </c>
      <c r="AB299" s="222">
        <v>0</v>
      </c>
      <c r="AC299" s="222">
        <v>0</v>
      </c>
      <c r="AD299" s="222">
        <v>0</v>
      </c>
      <c r="AE299" s="222">
        <v>0</v>
      </c>
      <c r="AF299" s="221">
        <v>0</v>
      </c>
      <c r="AG299" s="222">
        <v>0</v>
      </c>
      <c r="AH299" s="221">
        <v>0</v>
      </c>
      <c r="AI299" s="222">
        <v>0</v>
      </c>
      <c r="AJ299" s="221">
        <v>0</v>
      </c>
      <c r="AK299" s="222">
        <v>0</v>
      </c>
      <c r="AL299" s="222">
        <v>0</v>
      </c>
      <c r="AM299" s="222">
        <v>0</v>
      </c>
      <c r="AN299" s="222"/>
      <c r="AO299" s="222">
        <v>0</v>
      </c>
    </row>
    <row r="300" spans="1:41" s="223" customFormat="1" ht="36" customHeight="1" x14ac:dyDescent="0.25">
      <c r="A300" s="223">
        <v>1</v>
      </c>
      <c r="B300" s="225">
        <f>SUBTOTAL(103,$A$16:A300)</f>
        <v>273</v>
      </c>
      <c r="C300" s="215" t="s">
        <v>1208</v>
      </c>
      <c r="D300" s="217" t="s">
        <v>367</v>
      </c>
      <c r="E300" s="217"/>
      <c r="F300" s="226" t="s">
        <v>267</v>
      </c>
      <c r="G300" s="217">
        <v>2</v>
      </c>
      <c r="H300" s="217" t="s">
        <v>304</v>
      </c>
      <c r="I300" s="190">
        <v>298.5</v>
      </c>
      <c r="J300" s="190">
        <v>298.5</v>
      </c>
      <c r="K300" s="190">
        <v>298.5</v>
      </c>
      <c r="L300" s="219">
        <v>11</v>
      </c>
      <c r="M300" s="217" t="s">
        <v>265</v>
      </c>
      <c r="N300" s="217" t="s">
        <v>269</v>
      </c>
      <c r="O300" s="220" t="s">
        <v>998</v>
      </c>
      <c r="P300" s="190">
        <v>133782.41999999998</v>
      </c>
      <c r="Q300" s="190">
        <v>0</v>
      </c>
      <c r="R300" s="190">
        <v>0</v>
      </c>
      <c r="S300" s="190">
        <f>P300-Q300-R300</f>
        <v>133782.41999999998</v>
      </c>
      <c r="T300" s="190">
        <f t="shared" si="28"/>
        <v>448.18231155778886</v>
      </c>
      <c r="U300" s="190">
        <v>995.44</v>
      </c>
      <c r="V300" s="221">
        <f t="shared" si="29"/>
        <v>547.25768844221125</v>
      </c>
      <c r="W300" s="221">
        <f>X300+Y300+Z300+AA300+AB300+AD300+AF300+AH300+AJ300+AL300+AN300+AO300</f>
        <v>980.29</v>
      </c>
      <c r="X300" s="221">
        <v>0</v>
      </c>
      <c r="Y300" s="222">
        <v>0</v>
      </c>
      <c r="Z300" s="222">
        <v>0</v>
      </c>
      <c r="AA300" s="222">
        <v>184.98</v>
      </c>
      <c r="AB300" s="222">
        <v>795.31</v>
      </c>
      <c r="AC300" s="222">
        <v>0</v>
      </c>
      <c r="AD300" s="222">
        <v>0</v>
      </c>
      <c r="AE300" s="222">
        <v>0</v>
      </c>
      <c r="AF300" s="221">
        <v>0</v>
      </c>
      <c r="AG300" s="222">
        <v>0</v>
      </c>
      <c r="AH300" s="221">
        <v>0</v>
      </c>
      <c r="AI300" s="222">
        <v>0</v>
      </c>
      <c r="AJ300" s="221">
        <v>0</v>
      </c>
      <c r="AK300" s="222">
        <v>0</v>
      </c>
      <c r="AL300" s="222">
        <v>0</v>
      </c>
      <c r="AM300" s="222">
        <v>0</v>
      </c>
      <c r="AN300" s="222"/>
      <c r="AO300" s="222">
        <v>0</v>
      </c>
    </row>
    <row r="301" spans="1:41" s="223" customFormat="1" ht="36" customHeight="1" x14ac:dyDescent="0.25">
      <c r="B301" s="215" t="s">
        <v>822</v>
      </c>
      <c r="C301" s="215"/>
      <c r="D301" s="217" t="s">
        <v>890</v>
      </c>
      <c r="E301" s="217" t="s">
        <v>890</v>
      </c>
      <c r="F301" s="217" t="s">
        <v>890</v>
      </c>
      <c r="G301" s="217" t="s">
        <v>890</v>
      </c>
      <c r="H301" s="217" t="s">
        <v>890</v>
      </c>
      <c r="I301" s="218">
        <f>I302</f>
        <v>3504.3</v>
      </c>
      <c r="J301" s="218">
        <f>J302</f>
        <v>3162.4</v>
      </c>
      <c r="K301" s="218">
        <f>K302</f>
        <v>3162.4</v>
      </c>
      <c r="L301" s="219">
        <f>L302</f>
        <v>178</v>
      </c>
      <c r="M301" s="217" t="s">
        <v>890</v>
      </c>
      <c r="N301" s="217" t="s">
        <v>890</v>
      </c>
      <c r="O301" s="220" t="s">
        <v>890</v>
      </c>
      <c r="P301" s="190">
        <v>1997229.1400000001</v>
      </c>
      <c r="Q301" s="190">
        <f>Q302</f>
        <v>0</v>
      </c>
      <c r="R301" s="190">
        <f>R302</f>
        <v>0</v>
      </c>
      <c r="S301" s="190">
        <f>S302</f>
        <v>1997229.1400000001</v>
      </c>
      <c r="T301" s="190">
        <f t="shared" si="28"/>
        <v>569.93668921039864</v>
      </c>
      <c r="U301" s="190">
        <f>MAX(U302)</f>
        <v>1440.9495936420965</v>
      </c>
      <c r="V301" s="221">
        <f t="shared" si="29"/>
        <v>871.01290443169785</v>
      </c>
      <c r="W301" s="221"/>
      <c r="X301" s="221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</row>
    <row r="302" spans="1:41" s="223" customFormat="1" ht="36" customHeight="1" x14ac:dyDescent="0.25">
      <c r="A302" s="223">
        <v>1</v>
      </c>
      <c r="B302" s="225">
        <f>SUBTOTAL(103,$A$16:A302)</f>
        <v>274</v>
      </c>
      <c r="C302" s="215" t="s">
        <v>680</v>
      </c>
      <c r="D302" s="217">
        <v>1984</v>
      </c>
      <c r="E302" s="217"/>
      <c r="F302" s="226" t="s">
        <v>336</v>
      </c>
      <c r="G302" s="217">
        <v>5</v>
      </c>
      <c r="H302" s="217" t="s">
        <v>308</v>
      </c>
      <c r="I302" s="190">
        <v>3504.3</v>
      </c>
      <c r="J302" s="190">
        <v>3162.4</v>
      </c>
      <c r="K302" s="190">
        <v>3162.4</v>
      </c>
      <c r="L302" s="219">
        <v>178</v>
      </c>
      <c r="M302" s="217" t="s">
        <v>265</v>
      </c>
      <c r="N302" s="217" t="s">
        <v>269</v>
      </c>
      <c r="O302" s="220" t="s">
        <v>998</v>
      </c>
      <c r="P302" s="190">
        <v>1997229.1400000001</v>
      </c>
      <c r="Q302" s="190">
        <v>0</v>
      </c>
      <c r="R302" s="190">
        <v>0</v>
      </c>
      <c r="S302" s="190">
        <f>P302-Q302-R302</f>
        <v>1997229.1400000001</v>
      </c>
      <c r="T302" s="190">
        <f t="shared" si="28"/>
        <v>569.93668921039864</v>
      </c>
      <c r="U302" s="190">
        <v>1440.9495936420965</v>
      </c>
      <c r="V302" s="221">
        <f>U302-T302</f>
        <v>871.01290443169785</v>
      </c>
      <c r="W302" s="221">
        <f>X302+Y302+Z302+AA302+AB302+AD302+AF302+AH302+AJ302+AL302+AN302+AO302</f>
        <v>1381.433506349342</v>
      </c>
      <c r="X302" s="221">
        <v>0</v>
      </c>
      <c r="Y302" s="222">
        <v>0</v>
      </c>
      <c r="Z302" s="222">
        <v>0</v>
      </c>
      <c r="AA302" s="222">
        <v>0</v>
      </c>
      <c r="AB302" s="222">
        <v>0</v>
      </c>
      <c r="AC302" s="222">
        <v>0</v>
      </c>
      <c r="AD302" s="222">
        <v>0</v>
      </c>
      <c r="AE302" s="222">
        <v>775.93</v>
      </c>
      <c r="AF302" s="221">
        <f>6238.91*AE302/I302</f>
        <v>1381.433506349342</v>
      </c>
      <c r="AG302" s="222">
        <v>0</v>
      </c>
      <c r="AH302" s="221">
        <v>0</v>
      </c>
      <c r="AI302" s="222">
        <v>0</v>
      </c>
      <c r="AJ302" s="221">
        <v>0</v>
      </c>
      <c r="AK302" s="222">
        <v>0</v>
      </c>
      <c r="AL302" s="222">
        <v>0</v>
      </c>
      <c r="AM302" s="222">
        <v>0</v>
      </c>
      <c r="AN302" s="222"/>
      <c r="AO302" s="222">
        <v>0</v>
      </c>
    </row>
    <row r="303" spans="1:41" s="223" customFormat="1" ht="36" customHeight="1" x14ac:dyDescent="0.25">
      <c r="B303" s="215" t="s">
        <v>823</v>
      </c>
      <c r="C303" s="215"/>
      <c r="D303" s="217" t="s">
        <v>890</v>
      </c>
      <c r="E303" s="217" t="s">
        <v>890</v>
      </c>
      <c r="F303" s="217" t="s">
        <v>890</v>
      </c>
      <c r="G303" s="217" t="s">
        <v>890</v>
      </c>
      <c r="H303" s="217" t="s">
        <v>890</v>
      </c>
      <c r="I303" s="218">
        <f>SUM(I304:I318)</f>
        <v>37828.900000000009</v>
      </c>
      <c r="J303" s="218">
        <f>SUM(J304:J318)</f>
        <v>30630.800000000003</v>
      </c>
      <c r="K303" s="218">
        <f>SUM(K304:K318)</f>
        <v>30630.800000000003</v>
      </c>
      <c r="L303" s="219">
        <f>SUM(L304:L318)</f>
        <v>1989</v>
      </c>
      <c r="M303" s="217" t="s">
        <v>890</v>
      </c>
      <c r="N303" s="217" t="s">
        <v>890</v>
      </c>
      <c r="O303" s="220" t="s">
        <v>890</v>
      </c>
      <c r="P303" s="218">
        <v>29976052.369999997</v>
      </c>
      <c r="Q303" s="218">
        <f>SUM(Q304:Q318)</f>
        <v>0</v>
      </c>
      <c r="R303" s="218">
        <f>SUM(R304:R318)</f>
        <v>0</v>
      </c>
      <c r="S303" s="218">
        <f>SUM(S304:S318)</f>
        <v>29976052.369999997</v>
      </c>
      <c r="T303" s="190">
        <f t="shared" si="28"/>
        <v>792.41142010473447</v>
      </c>
      <c r="U303" s="190">
        <f>MAX(U304:U318)</f>
        <v>13226.564306784659</v>
      </c>
      <c r="V303" s="221">
        <f t="shared" si="29"/>
        <v>12434.152886679925</v>
      </c>
      <c r="W303" s="221"/>
      <c r="X303" s="221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</row>
    <row r="304" spans="1:41" s="223" customFormat="1" ht="36" customHeight="1" x14ac:dyDescent="0.25">
      <c r="A304" s="223">
        <v>1</v>
      </c>
      <c r="B304" s="225">
        <f>SUBTOTAL(103,$A$16:A304)</f>
        <v>275</v>
      </c>
      <c r="C304" s="215" t="s">
        <v>684</v>
      </c>
      <c r="D304" s="217">
        <v>1981</v>
      </c>
      <c r="E304" s="217"/>
      <c r="F304" s="226" t="s">
        <v>267</v>
      </c>
      <c r="G304" s="217">
        <v>2</v>
      </c>
      <c r="H304" s="217">
        <v>3</v>
      </c>
      <c r="I304" s="190">
        <v>975</v>
      </c>
      <c r="J304" s="190">
        <v>975</v>
      </c>
      <c r="K304" s="190">
        <v>975</v>
      </c>
      <c r="L304" s="219">
        <v>47</v>
      </c>
      <c r="M304" s="217" t="s">
        <v>265</v>
      </c>
      <c r="N304" s="217" t="s">
        <v>266</v>
      </c>
      <c r="O304" s="220" t="s">
        <v>268</v>
      </c>
      <c r="P304" s="190">
        <v>95474.18</v>
      </c>
      <c r="Q304" s="190">
        <v>0</v>
      </c>
      <c r="R304" s="190">
        <v>0</v>
      </c>
      <c r="S304" s="190">
        <f t="shared" ref="S304:S316" si="31">P304-Q304-R304</f>
        <v>95474.18</v>
      </c>
      <c r="T304" s="190">
        <f t="shared" si="28"/>
        <v>97.922235897435897</v>
      </c>
      <c r="U304" s="190">
        <v>97.922235897435897</v>
      </c>
      <c r="V304" s="221">
        <f t="shared" si="29"/>
        <v>0</v>
      </c>
      <c r="W304" s="221">
        <f t="shared" ref="W304:W318" si="32">X304+Y304+Z304+AA304+AB304+AD304+AF304+AH304+AJ304+AL304+AN304+AO304</f>
        <v>5567.027384615385</v>
      </c>
      <c r="X304" s="221">
        <v>0</v>
      </c>
      <c r="Y304" s="222">
        <v>0</v>
      </c>
      <c r="Z304" s="222">
        <v>0</v>
      </c>
      <c r="AA304" s="222">
        <v>0</v>
      </c>
      <c r="AB304" s="222">
        <v>0</v>
      </c>
      <c r="AC304" s="222">
        <v>0</v>
      </c>
      <c r="AD304" s="222">
        <v>0</v>
      </c>
      <c r="AE304" s="222">
        <v>870</v>
      </c>
      <c r="AF304" s="221">
        <f>6238.91*AE304/I304</f>
        <v>5567.027384615385</v>
      </c>
      <c r="AG304" s="222">
        <v>0</v>
      </c>
      <c r="AH304" s="221">
        <v>0</v>
      </c>
      <c r="AI304" s="222">
        <v>0</v>
      </c>
      <c r="AJ304" s="221">
        <v>0</v>
      </c>
      <c r="AK304" s="222">
        <v>0</v>
      </c>
      <c r="AL304" s="222">
        <v>0</v>
      </c>
      <c r="AM304" s="222">
        <v>0</v>
      </c>
      <c r="AN304" s="222"/>
      <c r="AO304" s="222">
        <v>0</v>
      </c>
    </row>
    <row r="305" spans="1:41" s="223" customFormat="1" ht="36" customHeight="1" x14ac:dyDescent="0.25">
      <c r="A305" s="223">
        <v>1</v>
      </c>
      <c r="B305" s="225">
        <f>SUBTOTAL(103,$A$16:A305)</f>
        <v>276</v>
      </c>
      <c r="C305" s="215" t="s">
        <v>668</v>
      </c>
      <c r="D305" s="217">
        <v>1976</v>
      </c>
      <c r="E305" s="217"/>
      <c r="F305" s="226" t="s">
        <v>267</v>
      </c>
      <c r="G305" s="217">
        <v>5</v>
      </c>
      <c r="H305" s="217" t="s">
        <v>303</v>
      </c>
      <c r="I305" s="190">
        <v>3568.3</v>
      </c>
      <c r="J305" s="190">
        <v>1361.4</v>
      </c>
      <c r="K305" s="190">
        <v>1361.4</v>
      </c>
      <c r="L305" s="219">
        <v>30</v>
      </c>
      <c r="M305" s="217" t="s">
        <v>265</v>
      </c>
      <c r="N305" s="217" t="s">
        <v>269</v>
      </c>
      <c r="O305" s="220" t="s">
        <v>716</v>
      </c>
      <c r="P305" s="190">
        <v>6906704.6500000004</v>
      </c>
      <c r="Q305" s="190">
        <v>0</v>
      </c>
      <c r="R305" s="190">
        <v>0</v>
      </c>
      <c r="S305" s="190">
        <f t="shared" si="31"/>
        <v>6906704.6500000004</v>
      </c>
      <c r="T305" s="190">
        <f t="shared" si="28"/>
        <v>1935.5728638287139</v>
      </c>
      <c r="U305" s="190">
        <v>2297.9295462825435</v>
      </c>
      <c r="V305" s="221">
        <f t="shared" si="29"/>
        <v>362.35668245382954</v>
      </c>
      <c r="W305" s="221">
        <f t="shared" si="32"/>
        <v>2197.7720118824091</v>
      </c>
      <c r="X305" s="221">
        <v>0</v>
      </c>
      <c r="Y305" s="222">
        <v>0</v>
      </c>
      <c r="Z305" s="222">
        <v>0</v>
      </c>
      <c r="AA305" s="222">
        <v>0</v>
      </c>
      <c r="AB305" s="222">
        <v>0</v>
      </c>
      <c r="AC305" s="222">
        <v>0</v>
      </c>
      <c r="AD305" s="222">
        <v>0</v>
      </c>
      <c r="AE305" s="222">
        <v>1257</v>
      </c>
      <c r="AF305" s="221">
        <f>6238.91*AE305/I305</f>
        <v>2197.7720118824091</v>
      </c>
      <c r="AG305" s="222">
        <v>0</v>
      </c>
      <c r="AH305" s="221">
        <v>0</v>
      </c>
      <c r="AI305" s="222">
        <v>0</v>
      </c>
      <c r="AJ305" s="221">
        <v>0</v>
      </c>
      <c r="AK305" s="222">
        <v>0</v>
      </c>
      <c r="AL305" s="222">
        <v>0</v>
      </c>
      <c r="AM305" s="222">
        <v>0</v>
      </c>
      <c r="AN305" s="222"/>
      <c r="AO305" s="222">
        <v>0</v>
      </c>
    </row>
    <row r="306" spans="1:41" s="223" customFormat="1" ht="36" customHeight="1" x14ac:dyDescent="0.25">
      <c r="A306" s="223">
        <v>1</v>
      </c>
      <c r="B306" s="225">
        <f>SUBTOTAL(103,$A$16:A306)</f>
        <v>277</v>
      </c>
      <c r="C306" s="215" t="s">
        <v>663</v>
      </c>
      <c r="D306" s="217">
        <v>1985</v>
      </c>
      <c r="E306" s="217"/>
      <c r="F306" s="226" t="s">
        <v>267</v>
      </c>
      <c r="G306" s="217">
        <v>9</v>
      </c>
      <c r="H306" s="217" t="s">
        <v>304</v>
      </c>
      <c r="I306" s="190">
        <v>4900.3</v>
      </c>
      <c r="J306" s="190">
        <v>4900.3</v>
      </c>
      <c r="K306" s="190">
        <v>4900.3</v>
      </c>
      <c r="L306" s="219">
        <v>361</v>
      </c>
      <c r="M306" s="217" t="s">
        <v>265</v>
      </c>
      <c r="N306" s="217" t="s">
        <v>269</v>
      </c>
      <c r="O306" s="220" t="s">
        <v>716</v>
      </c>
      <c r="P306" s="190">
        <v>1582418.76</v>
      </c>
      <c r="Q306" s="190">
        <v>0</v>
      </c>
      <c r="R306" s="190">
        <v>0</v>
      </c>
      <c r="S306" s="190">
        <f t="shared" si="31"/>
        <v>1582418.76</v>
      </c>
      <c r="T306" s="190">
        <f t="shared" si="28"/>
        <v>322.92283329592067</v>
      </c>
      <c r="U306" s="190">
        <v>943.29090443442226</v>
      </c>
      <c r="V306" s="221">
        <f t="shared" si="29"/>
        <v>620.36807113850159</v>
      </c>
      <c r="W306" s="221">
        <f t="shared" si="32"/>
        <v>1145.8520906883252</v>
      </c>
      <c r="X306" s="221">
        <v>0</v>
      </c>
      <c r="Y306" s="222">
        <v>0</v>
      </c>
      <c r="Z306" s="222">
        <v>0</v>
      </c>
      <c r="AA306" s="222">
        <v>0</v>
      </c>
      <c r="AB306" s="222">
        <v>0</v>
      </c>
      <c r="AC306" s="222">
        <v>0</v>
      </c>
      <c r="AD306" s="222">
        <v>0</v>
      </c>
      <c r="AE306" s="222">
        <v>900</v>
      </c>
      <c r="AF306" s="221">
        <f>6238.91*AE306/I306</f>
        <v>1145.8520906883252</v>
      </c>
      <c r="AG306" s="222">
        <v>0</v>
      </c>
      <c r="AH306" s="221">
        <v>0</v>
      </c>
      <c r="AI306" s="222">
        <v>0</v>
      </c>
      <c r="AJ306" s="221">
        <v>0</v>
      </c>
      <c r="AK306" s="222">
        <v>0</v>
      </c>
      <c r="AL306" s="222">
        <v>0</v>
      </c>
      <c r="AM306" s="222">
        <v>0</v>
      </c>
      <c r="AN306" s="222"/>
      <c r="AO306" s="222">
        <v>0</v>
      </c>
    </row>
    <row r="307" spans="1:41" s="223" customFormat="1" ht="36" customHeight="1" x14ac:dyDescent="0.25">
      <c r="A307" s="223">
        <v>1</v>
      </c>
      <c r="B307" s="225">
        <f>SUBTOTAL(103,$A$16:A307)</f>
        <v>278</v>
      </c>
      <c r="C307" s="215" t="s">
        <v>664</v>
      </c>
      <c r="D307" s="217">
        <v>1992</v>
      </c>
      <c r="E307" s="217"/>
      <c r="F307" s="226" t="s">
        <v>267</v>
      </c>
      <c r="G307" s="217">
        <v>9</v>
      </c>
      <c r="H307" s="217" t="s">
        <v>304</v>
      </c>
      <c r="I307" s="190">
        <v>4865.3</v>
      </c>
      <c r="J307" s="190">
        <v>4865.3</v>
      </c>
      <c r="K307" s="190">
        <v>4865.3</v>
      </c>
      <c r="L307" s="219">
        <v>369</v>
      </c>
      <c r="M307" s="217" t="s">
        <v>265</v>
      </c>
      <c r="N307" s="217" t="s">
        <v>269</v>
      </c>
      <c r="O307" s="220" t="s">
        <v>716</v>
      </c>
      <c r="P307" s="190">
        <v>1494720.17</v>
      </c>
      <c r="Q307" s="190">
        <v>0</v>
      </c>
      <c r="R307" s="190">
        <v>0</v>
      </c>
      <c r="S307" s="190">
        <f t="shared" si="31"/>
        <v>1494720.17</v>
      </c>
      <c r="T307" s="190">
        <f t="shared" si="28"/>
        <v>307.22055577251143</v>
      </c>
      <c r="U307" s="190">
        <v>1009.320301111956</v>
      </c>
      <c r="V307" s="221">
        <f t="shared" si="29"/>
        <v>702.09974533944455</v>
      </c>
      <c r="W307" s="221">
        <f t="shared" si="32"/>
        <v>1154.0951226029226</v>
      </c>
      <c r="X307" s="221">
        <v>0</v>
      </c>
      <c r="Y307" s="222">
        <v>0</v>
      </c>
      <c r="Z307" s="222">
        <v>0</v>
      </c>
      <c r="AA307" s="222">
        <v>0</v>
      </c>
      <c r="AB307" s="222">
        <v>0</v>
      </c>
      <c r="AC307" s="222">
        <v>0</v>
      </c>
      <c r="AD307" s="222">
        <v>0</v>
      </c>
      <c r="AE307" s="222">
        <v>900</v>
      </c>
      <c r="AF307" s="221">
        <f>6238.91*AE307/I307</f>
        <v>1154.0951226029226</v>
      </c>
      <c r="AG307" s="222">
        <v>0</v>
      </c>
      <c r="AH307" s="221">
        <v>0</v>
      </c>
      <c r="AI307" s="222">
        <v>0</v>
      </c>
      <c r="AJ307" s="221">
        <v>0</v>
      </c>
      <c r="AK307" s="222">
        <v>0</v>
      </c>
      <c r="AL307" s="222">
        <v>0</v>
      </c>
      <c r="AM307" s="222">
        <v>0</v>
      </c>
      <c r="AN307" s="222"/>
      <c r="AO307" s="222">
        <v>0</v>
      </c>
    </row>
    <row r="308" spans="1:41" s="223" customFormat="1" ht="36" customHeight="1" x14ac:dyDescent="0.25">
      <c r="A308" s="223">
        <v>1</v>
      </c>
      <c r="B308" s="225">
        <f>SUBTOTAL(103,$A$16:A308)</f>
        <v>279</v>
      </c>
      <c r="C308" s="215" t="s">
        <v>665</v>
      </c>
      <c r="D308" s="217">
        <v>1982</v>
      </c>
      <c r="E308" s="217"/>
      <c r="F308" s="226" t="s">
        <v>267</v>
      </c>
      <c r="G308" s="217">
        <v>9</v>
      </c>
      <c r="H308" s="217" t="s">
        <v>304</v>
      </c>
      <c r="I308" s="190">
        <v>4912.2</v>
      </c>
      <c r="J308" s="190">
        <v>2461.6999999999998</v>
      </c>
      <c r="K308" s="190">
        <v>2461.6999999999998</v>
      </c>
      <c r="L308" s="219">
        <v>369</v>
      </c>
      <c r="M308" s="217" t="s">
        <v>265</v>
      </c>
      <c r="N308" s="217" t="s">
        <v>269</v>
      </c>
      <c r="O308" s="220" t="s">
        <v>716</v>
      </c>
      <c r="P308" s="190">
        <v>1534580.28</v>
      </c>
      <c r="Q308" s="190">
        <v>0</v>
      </c>
      <c r="R308" s="190">
        <v>0</v>
      </c>
      <c r="S308" s="190">
        <f t="shared" si="31"/>
        <v>1534580.28</v>
      </c>
      <c r="T308" s="190">
        <f t="shared" si="28"/>
        <v>312.40183217295714</v>
      </c>
      <c r="U308" s="190">
        <v>965.39137066894682</v>
      </c>
      <c r="V308" s="221">
        <f t="shared" si="29"/>
        <v>652.98953849598968</v>
      </c>
      <c r="W308" s="221">
        <f t="shared" si="32"/>
        <v>1143.0762183950164</v>
      </c>
      <c r="X308" s="221">
        <v>0</v>
      </c>
      <c r="Y308" s="222">
        <v>0</v>
      </c>
      <c r="Z308" s="222">
        <v>0</v>
      </c>
      <c r="AA308" s="222">
        <v>0</v>
      </c>
      <c r="AB308" s="222">
        <v>0</v>
      </c>
      <c r="AC308" s="222">
        <v>0</v>
      </c>
      <c r="AD308" s="222">
        <v>0</v>
      </c>
      <c r="AE308" s="222">
        <v>900</v>
      </c>
      <c r="AF308" s="221">
        <f>6238.91*AE308/I308</f>
        <v>1143.0762183950164</v>
      </c>
      <c r="AG308" s="222">
        <v>0</v>
      </c>
      <c r="AH308" s="221">
        <v>0</v>
      </c>
      <c r="AI308" s="222">
        <v>0</v>
      </c>
      <c r="AJ308" s="221">
        <v>0</v>
      </c>
      <c r="AK308" s="222">
        <v>0</v>
      </c>
      <c r="AL308" s="222">
        <v>0</v>
      </c>
      <c r="AM308" s="222">
        <v>0</v>
      </c>
      <c r="AN308" s="222"/>
      <c r="AO308" s="222">
        <v>0</v>
      </c>
    </row>
    <row r="309" spans="1:41" s="223" customFormat="1" ht="36" customHeight="1" x14ac:dyDescent="0.25">
      <c r="A309" s="223">
        <v>1</v>
      </c>
      <c r="B309" s="225">
        <f>SUBTOTAL(103,$A$16:A309)</f>
        <v>280</v>
      </c>
      <c r="C309" s="215" t="s">
        <v>658</v>
      </c>
      <c r="D309" s="217">
        <v>1994</v>
      </c>
      <c r="E309" s="217"/>
      <c r="F309" s="226" t="s">
        <v>267</v>
      </c>
      <c r="G309" s="217">
        <v>9</v>
      </c>
      <c r="H309" s="217">
        <v>1</v>
      </c>
      <c r="I309" s="190">
        <v>4455.3</v>
      </c>
      <c r="J309" s="190">
        <v>2847.7</v>
      </c>
      <c r="K309" s="190">
        <v>2847.7</v>
      </c>
      <c r="L309" s="219">
        <v>211</v>
      </c>
      <c r="M309" s="217" t="s">
        <v>265</v>
      </c>
      <c r="N309" s="217" t="s">
        <v>341</v>
      </c>
      <c r="O309" s="220" t="s">
        <v>717</v>
      </c>
      <c r="P309" s="190">
        <v>3346564.4</v>
      </c>
      <c r="Q309" s="190">
        <v>0</v>
      </c>
      <c r="R309" s="190">
        <v>0</v>
      </c>
      <c r="S309" s="190">
        <f t="shared" si="31"/>
        <v>3346564.4</v>
      </c>
      <c r="T309" s="190">
        <f t="shared" si="28"/>
        <v>751.14232487150127</v>
      </c>
      <c r="U309" s="190">
        <v>1103.3151527394339</v>
      </c>
      <c r="V309" s="221">
        <f t="shared" si="29"/>
        <v>352.1728278679326</v>
      </c>
      <c r="W309" s="221">
        <f t="shared" si="32"/>
        <v>1103.3151527394339</v>
      </c>
      <c r="X309" s="221">
        <v>0</v>
      </c>
      <c r="Y309" s="222">
        <v>0</v>
      </c>
      <c r="Z309" s="222">
        <v>0</v>
      </c>
      <c r="AA309" s="222">
        <v>0</v>
      </c>
      <c r="AB309" s="222">
        <v>0</v>
      </c>
      <c r="AC309" s="222">
        <v>2</v>
      </c>
      <c r="AD309" s="221">
        <f>2457800*AC309/I309</f>
        <v>1103.3151527394339</v>
      </c>
      <c r="AE309" s="222">
        <v>0</v>
      </c>
      <c r="AF309" s="221">
        <v>0</v>
      </c>
      <c r="AG309" s="222">
        <v>0</v>
      </c>
      <c r="AH309" s="221">
        <v>0</v>
      </c>
      <c r="AI309" s="222">
        <v>0</v>
      </c>
      <c r="AJ309" s="221">
        <v>0</v>
      </c>
      <c r="AK309" s="222">
        <v>0</v>
      </c>
      <c r="AL309" s="222">
        <v>0</v>
      </c>
      <c r="AM309" s="222">
        <v>0</v>
      </c>
      <c r="AN309" s="222"/>
      <c r="AO309" s="222">
        <v>0</v>
      </c>
    </row>
    <row r="310" spans="1:41" s="223" customFormat="1" ht="36" customHeight="1" x14ac:dyDescent="0.25">
      <c r="A310" s="223">
        <v>1</v>
      </c>
      <c r="B310" s="225">
        <f>SUBTOTAL(103,$A$16:A310)</f>
        <v>281</v>
      </c>
      <c r="C310" s="215" t="s">
        <v>671</v>
      </c>
      <c r="D310" s="217">
        <v>1917</v>
      </c>
      <c r="E310" s="217"/>
      <c r="F310" s="226" t="s">
        <v>267</v>
      </c>
      <c r="G310" s="217">
        <v>2</v>
      </c>
      <c r="H310" s="217" t="s">
        <v>303</v>
      </c>
      <c r="I310" s="190">
        <v>722.2</v>
      </c>
      <c r="J310" s="190">
        <v>514</v>
      </c>
      <c r="K310" s="190">
        <v>514</v>
      </c>
      <c r="L310" s="219">
        <v>21</v>
      </c>
      <c r="M310" s="217" t="s">
        <v>265</v>
      </c>
      <c r="N310" s="217" t="s">
        <v>266</v>
      </c>
      <c r="O310" s="220" t="s">
        <v>268</v>
      </c>
      <c r="P310" s="190">
        <v>101554.75</v>
      </c>
      <c r="Q310" s="190">
        <v>0</v>
      </c>
      <c r="R310" s="190">
        <v>0</v>
      </c>
      <c r="S310" s="190">
        <f t="shared" si="31"/>
        <v>101554.75</v>
      </c>
      <c r="T310" s="190">
        <f t="shared" si="28"/>
        <v>140.61859595679866</v>
      </c>
      <c r="U310" s="190">
        <v>140.61859595679866</v>
      </c>
      <c r="V310" s="221">
        <f t="shared" si="29"/>
        <v>0</v>
      </c>
      <c r="W310" s="221">
        <f>T310</f>
        <v>140.61859595679866</v>
      </c>
      <c r="X310" s="221">
        <v>0</v>
      </c>
      <c r="Y310" s="222">
        <v>0</v>
      </c>
      <c r="Z310" s="222">
        <v>0</v>
      </c>
      <c r="AA310" s="222">
        <v>0</v>
      </c>
      <c r="AB310" s="222">
        <v>0</v>
      </c>
      <c r="AC310" s="222">
        <v>0</v>
      </c>
      <c r="AD310" s="222">
        <v>0</v>
      </c>
      <c r="AE310" s="222">
        <v>0</v>
      </c>
      <c r="AF310" s="221">
        <v>0</v>
      </c>
      <c r="AG310" s="222">
        <v>0</v>
      </c>
      <c r="AH310" s="221">
        <v>0</v>
      </c>
      <c r="AI310" s="222">
        <v>0</v>
      </c>
      <c r="AJ310" s="221">
        <v>0</v>
      </c>
      <c r="AK310" s="222">
        <v>0</v>
      </c>
      <c r="AL310" s="222">
        <v>0</v>
      </c>
      <c r="AM310" s="222">
        <v>0</v>
      </c>
      <c r="AN310" s="222"/>
      <c r="AO310" s="222">
        <v>0</v>
      </c>
    </row>
    <row r="311" spans="1:41" s="223" customFormat="1" ht="36" customHeight="1" x14ac:dyDescent="0.25">
      <c r="A311" s="223">
        <v>1</v>
      </c>
      <c r="B311" s="225">
        <f>SUBTOTAL(103,$A$16:A311)</f>
        <v>282</v>
      </c>
      <c r="C311" s="215" t="s">
        <v>659</v>
      </c>
      <c r="D311" s="217">
        <v>1963</v>
      </c>
      <c r="E311" s="217"/>
      <c r="F311" s="226" t="s">
        <v>267</v>
      </c>
      <c r="G311" s="217">
        <v>3</v>
      </c>
      <c r="H311" s="217" t="s">
        <v>303</v>
      </c>
      <c r="I311" s="190">
        <v>1703.8</v>
      </c>
      <c r="J311" s="190">
        <v>1339.8</v>
      </c>
      <c r="K311" s="190">
        <v>1339.8</v>
      </c>
      <c r="L311" s="219">
        <v>62</v>
      </c>
      <c r="M311" s="217" t="s">
        <v>265</v>
      </c>
      <c r="N311" s="217" t="s">
        <v>269</v>
      </c>
      <c r="O311" s="220" t="s">
        <v>718</v>
      </c>
      <c r="P311" s="190">
        <v>104089.37</v>
      </c>
      <c r="Q311" s="190">
        <v>0</v>
      </c>
      <c r="R311" s="190">
        <v>0</v>
      </c>
      <c r="S311" s="190">
        <f t="shared" si="31"/>
        <v>104089.37</v>
      </c>
      <c r="T311" s="190">
        <f t="shared" si="28"/>
        <v>61.092481511914542</v>
      </c>
      <c r="U311" s="190">
        <v>61.092481511914542</v>
      </c>
      <c r="V311" s="221">
        <f t="shared" si="29"/>
        <v>0</v>
      </c>
      <c r="W311" s="221">
        <f t="shared" si="32"/>
        <v>3630.636967367062</v>
      </c>
      <c r="X311" s="221">
        <v>0</v>
      </c>
      <c r="Y311" s="222">
        <v>0</v>
      </c>
      <c r="Z311" s="222">
        <v>0</v>
      </c>
      <c r="AA311" s="222">
        <v>0</v>
      </c>
      <c r="AB311" s="222">
        <v>0</v>
      </c>
      <c r="AC311" s="222">
        <v>0</v>
      </c>
      <c r="AD311" s="222">
        <v>0</v>
      </c>
      <c r="AE311" s="222">
        <v>991.5</v>
      </c>
      <c r="AF311" s="221">
        <f>6238.91*AE311/I311</f>
        <v>3630.636967367062</v>
      </c>
      <c r="AG311" s="222">
        <v>0</v>
      </c>
      <c r="AH311" s="221">
        <v>0</v>
      </c>
      <c r="AI311" s="222">
        <v>0</v>
      </c>
      <c r="AJ311" s="221">
        <v>0</v>
      </c>
      <c r="AK311" s="222">
        <v>0</v>
      </c>
      <c r="AL311" s="222">
        <v>0</v>
      </c>
      <c r="AM311" s="222">
        <v>0</v>
      </c>
      <c r="AN311" s="222"/>
      <c r="AO311" s="222">
        <v>0</v>
      </c>
    </row>
    <row r="312" spans="1:41" s="223" customFormat="1" ht="36" customHeight="1" x14ac:dyDescent="0.25">
      <c r="A312" s="223">
        <v>1</v>
      </c>
      <c r="B312" s="225">
        <f>SUBTOTAL(103,$A$16:A312)</f>
        <v>283</v>
      </c>
      <c r="C312" s="215" t="s">
        <v>1198</v>
      </c>
      <c r="D312" s="217">
        <v>1900</v>
      </c>
      <c r="E312" s="217"/>
      <c r="F312" s="226" t="s">
        <v>267</v>
      </c>
      <c r="G312" s="217">
        <v>2</v>
      </c>
      <c r="H312" s="217" t="s">
        <v>2267</v>
      </c>
      <c r="I312" s="190">
        <v>520.9</v>
      </c>
      <c r="J312" s="190">
        <v>520.9</v>
      </c>
      <c r="K312" s="190">
        <v>520.9</v>
      </c>
      <c r="L312" s="219">
        <v>26</v>
      </c>
      <c r="M312" s="217" t="s">
        <v>265</v>
      </c>
      <c r="N312" s="217" t="s">
        <v>266</v>
      </c>
      <c r="O312" s="220" t="s">
        <v>268</v>
      </c>
      <c r="P312" s="190">
        <v>4230013.1300000008</v>
      </c>
      <c r="Q312" s="190">
        <v>0</v>
      </c>
      <c r="R312" s="190">
        <v>0</v>
      </c>
      <c r="S312" s="190">
        <f t="shared" si="31"/>
        <v>4230013.1300000008</v>
      </c>
      <c r="T312" s="190">
        <f t="shared" si="28"/>
        <v>8120.5857746208503</v>
      </c>
      <c r="U312" s="190">
        <v>11912.251775772702</v>
      </c>
      <c r="V312" s="221">
        <f t="shared" si="29"/>
        <v>3791.6660011518516</v>
      </c>
      <c r="W312" s="221">
        <f t="shared" si="32"/>
        <v>11420.235525052793</v>
      </c>
      <c r="X312" s="221">
        <v>0</v>
      </c>
      <c r="Y312" s="222">
        <v>0</v>
      </c>
      <c r="Z312" s="222">
        <v>0</v>
      </c>
      <c r="AA312" s="222">
        <v>0</v>
      </c>
      <c r="AB312" s="222">
        <v>0</v>
      </c>
      <c r="AC312" s="222">
        <v>0</v>
      </c>
      <c r="AD312" s="222">
        <v>0</v>
      </c>
      <c r="AE312" s="222">
        <v>953.5</v>
      </c>
      <c r="AF312" s="221">
        <f>6238.91*AE312/I312</f>
        <v>11420.235525052793</v>
      </c>
      <c r="AG312" s="222">
        <v>0</v>
      </c>
      <c r="AH312" s="221">
        <v>0</v>
      </c>
      <c r="AI312" s="222">
        <v>0</v>
      </c>
      <c r="AJ312" s="221">
        <v>0</v>
      </c>
      <c r="AK312" s="222">
        <v>0</v>
      </c>
      <c r="AL312" s="222">
        <v>0</v>
      </c>
      <c r="AM312" s="222">
        <v>0</v>
      </c>
      <c r="AN312" s="222"/>
      <c r="AO312" s="222">
        <v>0</v>
      </c>
    </row>
    <row r="313" spans="1:41" s="223" customFormat="1" ht="36" customHeight="1" x14ac:dyDescent="0.25">
      <c r="A313" s="223">
        <v>1</v>
      </c>
      <c r="B313" s="225">
        <f>SUBTOTAL(103,$A$16:A313)</f>
        <v>284</v>
      </c>
      <c r="C313" s="215" t="s">
        <v>1203</v>
      </c>
      <c r="D313" s="217" t="s">
        <v>329</v>
      </c>
      <c r="E313" s="217">
        <v>2016</v>
      </c>
      <c r="F313" s="226" t="s">
        <v>267</v>
      </c>
      <c r="G313" s="217">
        <v>9</v>
      </c>
      <c r="H313" s="217" t="s">
        <v>308</v>
      </c>
      <c r="I313" s="190">
        <v>8964.4</v>
      </c>
      <c r="J313" s="190">
        <v>8964.4</v>
      </c>
      <c r="K313" s="190">
        <v>8964.4</v>
      </c>
      <c r="L313" s="219">
        <v>344</v>
      </c>
      <c r="M313" s="217" t="s">
        <v>265</v>
      </c>
      <c r="N313" s="217" t="s">
        <v>269</v>
      </c>
      <c r="O313" s="220" t="s">
        <v>1332</v>
      </c>
      <c r="P313" s="190">
        <v>5425723.8799999999</v>
      </c>
      <c r="Q313" s="190">
        <v>0</v>
      </c>
      <c r="R313" s="190">
        <v>0</v>
      </c>
      <c r="S313" s="190">
        <f t="shared" si="31"/>
        <v>5425723.8799999999</v>
      </c>
      <c r="T313" s="190">
        <f t="shared" si="28"/>
        <v>605.25231805809653</v>
      </c>
      <c r="U313" s="190">
        <v>1096.6935879701932</v>
      </c>
      <c r="V313" s="221">
        <f t="shared" si="29"/>
        <v>491.44126991209669</v>
      </c>
      <c r="W313" s="221">
        <f t="shared" si="32"/>
        <v>1096.6935879701932</v>
      </c>
      <c r="X313" s="221">
        <v>0</v>
      </c>
      <c r="Y313" s="222">
        <v>0</v>
      </c>
      <c r="Z313" s="222">
        <v>0</v>
      </c>
      <c r="AA313" s="222">
        <v>0</v>
      </c>
      <c r="AB313" s="222">
        <v>0</v>
      </c>
      <c r="AC313" s="222">
        <v>4</v>
      </c>
      <c r="AD313" s="221">
        <f>2457800*AC313/I313</f>
        <v>1096.6935879701932</v>
      </c>
      <c r="AE313" s="222">
        <v>0</v>
      </c>
      <c r="AF313" s="221">
        <v>0</v>
      </c>
      <c r="AG313" s="222">
        <v>0</v>
      </c>
      <c r="AH313" s="221">
        <v>0</v>
      </c>
      <c r="AI313" s="222">
        <v>0</v>
      </c>
      <c r="AJ313" s="221">
        <v>0</v>
      </c>
      <c r="AK313" s="222">
        <v>0</v>
      </c>
      <c r="AL313" s="222">
        <v>0</v>
      </c>
      <c r="AM313" s="222">
        <v>0</v>
      </c>
      <c r="AN313" s="222"/>
      <c r="AO313" s="222">
        <v>0</v>
      </c>
    </row>
    <row r="314" spans="1:41" s="223" customFormat="1" ht="36" customHeight="1" x14ac:dyDescent="0.25">
      <c r="A314" s="223">
        <v>1</v>
      </c>
      <c r="B314" s="225">
        <f>SUBTOTAL(103,$A$16:A314)</f>
        <v>285</v>
      </c>
      <c r="C314" s="215" t="s">
        <v>1204</v>
      </c>
      <c r="D314" s="217" t="s">
        <v>376</v>
      </c>
      <c r="E314" s="217"/>
      <c r="F314" s="226" t="s">
        <v>267</v>
      </c>
      <c r="G314" s="217" t="s">
        <v>312</v>
      </c>
      <c r="H314" s="217" t="s">
        <v>303</v>
      </c>
      <c r="I314" s="190">
        <v>270.39999999999998</v>
      </c>
      <c r="J314" s="190">
        <v>270.39999999999998</v>
      </c>
      <c r="K314" s="190">
        <v>270.39999999999998</v>
      </c>
      <c r="L314" s="219">
        <v>18</v>
      </c>
      <c r="M314" s="217" t="s">
        <v>265</v>
      </c>
      <c r="N314" s="217" t="s">
        <v>266</v>
      </c>
      <c r="O314" s="220" t="s">
        <v>268</v>
      </c>
      <c r="P314" s="190">
        <v>839027.99</v>
      </c>
      <c r="Q314" s="190">
        <v>0</v>
      </c>
      <c r="R314" s="190">
        <v>0</v>
      </c>
      <c r="S314" s="190">
        <f t="shared" si="31"/>
        <v>839027.99</v>
      </c>
      <c r="T314" s="190">
        <f t="shared" si="28"/>
        <v>3102.9141642011837</v>
      </c>
      <c r="U314" s="190">
        <v>7537.6460658284041</v>
      </c>
      <c r="V314" s="221">
        <f t="shared" si="29"/>
        <v>4434.7319016272204</v>
      </c>
      <c r="W314" s="221">
        <f t="shared" si="32"/>
        <v>11421.109371301776</v>
      </c>
      <c r="X314" s="221">
        <v>0</v>
      </c>
      <c r="Y314" s="222">
        <v>0</v>
      </c>
      <c r="Z314" s="222">
        <v>0</v>
      </c>
      <c r="AA314" s="222">
        <v>0</v>
      </c>
      <c r="AB314" s="222">
        <v>0</v>
      </c>
      <c r="AC314" s="222">
        <v>0</v>
      </c>
      <c r="AD314" s="222">
        <v>0</v>
      </c>
      <c r="AE314" s="222">
        <v>0</v>
      </c>
      <c r="AF314" s="221">
        <v>0</v>
      </c>
      <c r="AG314" s="222">
        <v>0</v>
      </c>
      <c r="AH314" s="221">
        <v>0</v>
      </c>
      <c r="AI314" s="222">
        <v>415.14</v>
      </c>
      <c r="AJ314" s="221">
        <f>7439.1*AI314/I314</f>
        <v>11421.109371301776</v>
      </c>
      <c r="AK314" s="222">
        <v>0</v>
      </c>
      <c r="AL314" s="222">
        <v>0</v>
      </c>
      <c r="AM314" s="222">
        <v>0</v>
      </c>
      <c r="AN314" s="222"/>
      <c r="AO314" s="222">
        <v>0</v>
      </c>
    </row>
    <row r="315" spans="1:41" s="223" customFormat="1" ht="36" customHeight="1" x14ac:dyDescent="0.25">
      <c r="A315" s="223">
        <v>1</v>
      </c>
      <c r="B315" s="225">
        <f>SUBTOTAL(103,$A$16:A315)</f>
        <v>286</v>
      </c>
      <c r="C315" s="215" t="s">
        <v>1205</v>
      </c>
      <c r="D315" s="217" t="s">
        <v>354</v>
      </c>
      <c r="E315" s="217"/>
      <c r="F315" s="226" t="s">
        <v>267</v>
      </c>
      <c r="G315" s="217">
        <v>2</v>
      </c>
      <c r="H315" s="217" t="s">
        <v>304</v>
      </c>
      <c r="I315" s="190">
        <v>282.39999999999998</v>
      </c>
      <c r="J315" s="190">
        <v>282.39999999999998</v>
      </c>
      <c r="K315" s="190">
        <v>282.39999999999998</v>
      </c>
      <c r="L315" s="219">
        <v>21</v>
      </c>
      <c r="M315" s="217" t="s">
        <v>265</v>
      </c>
      <c r="N315" s="217" t="s">
        <v>269</v>
      </c>
      <c r="O315" s="220" t="s">
        <v>718</v>
      </c>
      <c r="P315" s="190">
        <v>1265060.8599999999</v>
      </c>
      <c r="Q315" s="190">
        <v>0</v>
      </c>
      <c r="R315" s="190">
        <v>0</v>
      </c>
      <c r="S315" s="190">
        <f t="shared" si="31"/>
        <v>1265060.8599999999</v>
      </c>
      <c r="T315" s="190">
        <f t="shared" si="28"/>
        <v>4479.6772662889516</v>
      </c>
      <c r="U315" s="190">
        <v>10291.194040368273</v>
      </c>
      <c r="V315" s="221">
        <f t="shared" si="29"/>
        <v>5811.5167740793213</v>
      </c>
      <c r="W315" s="221">
        <f t="shared" si="32"/>
        <v>10291.194040368273</v>
      </c>
      <c r="X315" s="221">
        <v>0</v>
      </c>
      <c r="Y315" s="222">
        <v>0</v>
      </c>
      <c r="Z315" s="222">
        <v>0</v>
      </c>
      <c r="AA315" s="222">
        <v>0</v>
      </c>
      <c r="AB315" s="222">
        <v>0</v>
      </c>
      <c r="AC315" s="222">
        <v>0</v>
      </c>
      <c r="AD315" s="222">
        <v>0</v>
      </c>
      <c r="AE315" s="222">
        <v>0</v>
      </c>
      <c r="AF315" s="221">
        <v>0</v>
      </c>
      <c r="AG315" s="222">
        <v>0</v>
      </c>
      <c r="AH315" s="221">
        <v>0</v>
      </c>
      <c r="AI315" s="222">
        <v>390.67</v>
      </c>
      <c r="AJ315" s="221">
        <f>7439.1*AI315/I315</f>
        <v>10291.194040368273</v>
      </c>
      <c r="AK315" s="222">
        <v>0</v>
      </c>
      <c r="AL315" s="222">
        <v>0</v>
      </c>
      <c r="AM315" s="222">
        <v>0</v>
      </c>
      <c r="AN315" s="222"/>
      <c r="AO315" s="222">
        <v>0</v>
      </c>
    </row>
    <row r="316" spans="1:41" s="223" customFormat="1" ht="36" customHeight="1" x14ac:dyDescent="0.25">
      <c r="A316" s="223">
        <v>1</v>
      </c>
      <c r="B316" s="225">
        <f>SUBTOTAL(103,$A$16:A316)</f>
        <v>287</v>
      </c>
      <c r="C316" s="215" t="s">
        <v>1206</v>
      </c>
      <c r="D316" s="217">
        <v>1957</v>
      </c>
      <c r="E316" s="217"/>
      <c r="F316" s="226" t="s">
        <v>267</v>
      </c>
      <c r="G316" s="217" t="s">
        <v>312</v>
      </c>
      <c r="H316" s="217" t="s">
        <v>312</v>
      </c>
      <c r="I316" s="190">
        <v>988</v>
      </c>
      <c r="J316" s="190">
        <v>627.1</v>
      </c>
      <c r="K316" s="190">
        <v>627.1</v>
      </c>
      <c r="L316" s="219">
        <v>55</v>
      </c>
      <c r="M316" s="217" t="s">
        <v>265</v>
      </c>
      <c r="N316" s="217" t="s">
        <v>269</v>
      </c>
      <c r="O316" s="220" t="s">
        <v>1069</v>
      </c>
      <c r="P316" s="190">
        <v>73200.320000000007</v>
      </c>
      <c r="Q316" s="190">
        <v>0</v>
      </c>
      <c r="R316" s="190">
        <v>0</v>
      </c>
      <c r="S316" s="190">
        <f t="shared" si="31"/>
        <v>73200.320000000007</v>
      </c>
      <c r="T316" s="190">
        <f t="shared" si="28"/>
        <v>74.08939271255062</v>
      </c>
      <c r="U316" s="190">
        <v>74.08939271255062</v>
      </c>
      <c r="V316" s="221">
        <f t="shared" si="29"/>
        <v>0</v>
      </c>
      <c r="W316" s="221">
        <f t="shared" si="32"/>
        <v>4666.0479526315785</v>
      </c>
      <c r="X316" s="221">
        <v>0</v>
      </c>
      <c r="Y316" s="222">
        <v>0</v>
      </c>
      <c r="Z316" s="222">
        <v>0</v>
      </c>
      <c r="AA316" s="222">
        <v>0</v>
      </c>
      <c r="AB316" s="222">
        <v>0</v>
      </c>
      <c r="AC316" s="222">
        <v>0</v>
      </c>
      <c r="AD316" s="222">
        <v>0</v>
      </c>
      <c r="AE316" s="222">
        <v>738.92</v>
      </c>
      <c r="AF316" s="221">
        <f>6238.91*AE316/I316</f>
        <v>4666.0479526315785</v>
      </c>
      <c r="AG316" s="222">
        <v>0</v>
      </c>
      <c r="AH316" s="221">
        <v>0</v>
      </c>
      <c r="AI316" s="222">
        <v>0</v>
      </c>
      <c r="AJ316" s="221">
        <v>0</v>
      </c>
      <c r="AK316" s="222">
        <v>0</v>
      </c>
      <c r="AL316" s="222">
        <v>0</v>
      </c>
      <c r="AM316" s="222">
        <v>0</v>
      </c>
      <c r="AN316" s="222"/>
      <c r="AO316" s="222">
        <v>0</v>
      </c>
    </row>
    <row r="317" spans="1:41" s="223" customFormat="1" ht="36" customHeight="1" x14ac:dyDescent="0.25">
      <c r="A317" s="223">
        <v>1</v>
      </c>
      <c r="B317" s="225">
        <f>SUBTOTAL(103,$A$16:A317)</f>
        <v>288</v>
      </c>
      <c r="C317" s="215" t="s">
        <v>1535</v>
      </c>
      <c r="D317" s="217">
        <v>1926</v>
      </c>
      <c r="E317" s="217"/>
      <c r="F317" s="226" t="s">
        <v>267</v>
      </c>
      <c r="G317" s="217">
        <v>2</v>
      </c>
      <c r="H317" s="217" t="s">
        <v>303</v>
      </c>
      <c r="I317" s="190">
        <v>530.9</v>
      </c>
      <c r="J317" s="190">
        <v>530.9</v>
      </c>
      <c r="K317" s="190">
        <v>530.9</v>
      </c>
      <c r="L317" s="219">
        <v>26</v>
      </c>
      <c r="M317" s="217" t="s">
        <v>265</v>
      </c>
      <c r="N317" s="217" t="s">
        <v>266</v>
      </c>
      <c r="O317" s="220" t="s">
        <v>268</v>
      </c>
      <c r="P317" s="190">
        <v>1322373.3</v>
      </c>
      <c r="Q317" s="190">
        <v>0</v>
      </c>
      <c r="R317" s="190">
        <v>0</v>
      </c>
      <c r="S317" s="190">
        <f>P317-R317-Q317</f>
        <v>1322373.3</v>
      </c>
      <c r="T317" s="190">
        <f t="shared" si="28"/>
        <v>2490.8142776417408</v>
      </c>
      <c r="U317" s="190">
        <v>3584.8123281220564</v>
      </c>
      <c r="V317" s="221">
        <f t="shared" si="29"/>
        <v>1093.9980504803157</v>
      </c>
      <c r="W317" s="221">
        <f t="shared" si="32"/>
        <v>3236.3831493689959</v>
      </c>
      <c r="X317" s="221">
        <v>0</v>
      </c>
      <c r="Y317" s="222">
        <v>0</v>
      </c>
      <c r="Z317" s="222">
        <v>0</v>
      </c>
      <c r="AA317" s="222">
        <v>0</v>
      </c>
      <c r="AB317" s="222">
        <v>0</v>
      </c>
      <c r="AC317" s="222">
        <v>0</v>
      </c>
      <c r="AD317" s="222">
        <v>0</v>
      </c>
      <c r="AE317" s="222">
        <v>275.39999999999998</v>
      </c>
      <c r="AF317" s="221">
        <f>6238.91*AE317/I317</f>
        <v>3236.3831493689959</v>
      </c>
      <c r="AG317" s="222">
        <v>0</v>
      </c>
      <c r="AH317" s="221">
        <v>0</v>
      </c>
      <c r="AI317" s="222">
        <v>0</v>
      </c>
      <c r="AJ317" s="221">
        <v>0</v>
      </c>
      <c r="AK317" s="222">
        <v>0</v>
      </c>
      <c r="AL317" s="222">
        <v>0</v>
      </c>
      <c r="AM317" s="222">
        <v>0</v>
      </c>
      <c r="AN317" s="222"/>
      <c r="AO317" s="222">
        <v>0</v>
      </c>
    </row>
    <row r="318" spans="1:41" s="223" customFormat="1" ht="36" customHeight="1" x14ac:dyDescent="0.25">
      <c r="A318" s="223">
        <v>1</v>
      </c>
      <c r="B318" s="225">
        <f>SUBTOTAL(103,$A$16:A318)</f>
        <v>289</v>
      </c>
      <c r="C318" s="215" t="s">
        <v>1545</v>
      </c>
      <c r="D318" s="217" t="s">
        <v>1574</v>
      </c>
      <c r="E318" s="217"/>
      <c r="F318" s="226" t="s">
        <v>267</v>
      </c>
      <c r="G318" s="217">
        <v>2</v>
      </c>
      <c r="H318" s="217" t="s">
        <v>303</v>
      </c>
      <c r="I318" s="190">
        <v>169.5</v>
      </c>
      <c r="J318" s="190">
        <v>169.5</v>
      </c>
      <c r="K318" s="190">
        <v>169.5</v>
      </c>
      <c r="L318" s="219">
        <v>29</v>
      </c>
      <c r="M318" s="217" t="s">
        <v>265</v>
      </c>
      <c r="N318" s="217" t="s">
        <v>266</v>
      </c>
      <c r="O318" s="220" t="s">
        <v>268</v>
      </c>
      <c r="P318" s="190">
        <v>1654546.33</v>
      </c>
      <c r="Q318" s="190">
        <v>0</v>
      </c>
      <c r="R318" s="190">
        <v>0</v>
      </c>
      <c r="S318" s="190">
        <f>P318-R318-Q318</f>
        <v>1654546.33</v>
      </c>
      <c r="T318" s="190">
        <f t="shared" si="28"/>
        <v>9761.3352802359877</v>
      </c>
      <c r="U318" s="190">
        <v>13226.564306784659</v>
      </c>
      <c r="V318" s="221">
        <f t="shared" si="29"/>
        <v>3465.2290265486718</v>
      </c>
      <c r="W318" s="221">
        <f t="shared" si="32"/>
        <v>12680.262507374631</v>
      </c>
      <c r="X318" s="221">
        <v>0</v>
      </c>
      <c r="Y318" s="222">
        <v>0</v>
      </c>
      <c r="Z318" s="222">
        <v>0</v>
      </c>
      <c r="AA318" s="222">
        <v>0</v>
      </c>
      <c r="AB318" s="222">
        <v>0</v>
      </c>
      <c r="AC318" s="222">
        <v>0</v>
      </c>
      <c r="AD318" s="222">
        <v>0</v>
      </c>
      <c r="AE318" s="222">
        <v>344.5</v>
      </c>
      <c r="AF318" s="221">
        <f>6238.91*AE318/I318</f>
        <v>12680.262507374631</v>
      </c>
      <c r="AG318" s="222">
        <v>0</v>
      </c>
      <c r="AH318" s="221">
        <v>0</v>
      </c>
      <c r="AI318" s="222">
        <v>0</v>
      </c>
      <c r="AJ318" s="221">
        <v>0</v>
      </c>
      <c r="AK318" s="222">
        <v>0</v>
      </c>
      <c r="AL318" s="222">
        <v>0</v>
      </c>
      <c r="AM318" s="222">
        <v>0</v>
      </c>
      <c r="AN318" s="222"/>
      <c r="AO318" s="222">
        <v>0</v>
      </c>
    </row>
    <row r="319" spans="1:41" s="223" customFormat="1" ht="36" customHeight="1" x14ac:dyDescent="0.25">
      <c r="B319" s="215" t="s">
        <v>824</v>
      </c>
      <c r="C319" s="227"/>
      <c r="D319" s="217" t="s">
        <v>890</v>
      </c>
      <c r="E319" s="217" t="s">
        <v>890</v>
      </c>
      <c r="F319" s="217" t="s">
        <v>890</v>
      </c>
      <c r="G319" s="217" t="s">
        <v>890</v>
      </c>
      <c r="H319" s="217" t="s">
        <v>890</v>
      </c>
      <c r="I319" s="218">
        <f>SUM(I320:I335)</f>
        <v>12766.299999999997</v>
      </c>
      <c r="J319" s="218">
        <f>SUM(J320:J335)</f>
        <v>11356.699999999999</v>
      </c>
      <c r="K319" s="218">
        <f>SUM(K320:K335)</f>
        <v>10278.299999999999</v>
      </c>
      <c r="L319" s="219">
        <f>SUM(L320:L335)</f>
        <v>777</v>
      </c>
      <c r="M319" s="217" t="s">
        <v>890</v>
      </c>
      <c r="N319" s="217" t="s">
        <v>890</v>
      </c>
      <c r="O319" s="220" t="s">
        <v>890</v>
      </c>
      <c r="P319" s="218">
        <v>22830689.180000003</v>
      </c>
      <c r="Q319" s="218">
        <f>SUM(Q320:Q335)</f>
        <v>0</v>
      </c>
      <c r="R319" s="218">
        <f>SUM(R320:R335)</f>
        <v>0</v>
      </c>
      <c r="S319" s="218">
        <f>SUM(S320:S335)</f>
        <v>22830689.180000003</v>
      </c>
      <c r="T319" s="190">
        <f t="shared" si="28"/>
        <v>1788.3559982140484</v>
      </c>
      <c r="U319" s="190">
        <f>MAX(U320:U335)</f>
        <v>7856.0264009779949</v>
      </c>
      <c r="V319" s="221">
        <f t="shared" si="29"/>
        <v>6067.6704027639462</v>
      </c>
      <c r="W319" s="221"/>
      <c r="X319" s="221"/>
      <c r="Y319" s="222"/>
      <c r="Z319" s="222"/>
      <c r="AA319" s="222"/>
      <c r="AB319" s="222"/>
      <c r="AC319" s="222"/>
      <c r="AD319" s="222"/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</row>
    <row r="320" spans="1:41" s="223" customFormat="1" ht="36" customHeight="1" x14ac:dyDescent="0.25">
      <c r="A320" s="223">
        <v>1</v>
      </c>
      <c r="B320" s="225">
        <f>SUBTOTAL(103,$A$16:A320)</f>
        <v>290</v>
      </c>
      <c r="C320" s="215" t="s">
        <v>231</v>
      </c>
      <c r="D320" s="217">
        <v>1970</v>
      </c>
      <c r="E320" s="217"/>
      <c r="F320" s="226" t="s">
        <v>267</v>
      </c>
      <c r="G320" s="217">
        <v>2</v>
      </c>
      <c r="H320" s="217" t="s">
        <v>304</v>
      </c>
      <c r="I320" s="190">
        <v>404.7</v>
      </c>
      <c r="J320" s="190">
        <v>372.6</v>
      </c>
      <c r="K320" s="190">
        <v>372.6</v>
      </c>
      <c r="L320" s="219">
        <v>20</v>
      </c>
      <c r="M320" s="217" t="s">
        <v>265</v>
      </c>
      <c r="N320" s="217" t="s">
        <v>269</v>
      </c>
      <c r="O320" s="220" t="s">
        <v>333</v>
      </c>
      <c r="P320" s="190">
        <v>1413561.06</v>
      </c>
      <c r="Q320" s="190">
        <v>0</v>
      </c>
      <c r="R320" s="190">
        <v>0</v>
      </c>
      <c r="S320" s="190">
        <f t="shared" ref="S320:S331" si="33">P320-Q320-R320</f>
        <v>1413561.06</v>
      </c>
      <c r="T320" s="190">
        <f t="shared" si="28"/>
        <v>3492.8615270570795</v>
      </c>
      <c r="U320" s="190">
        <v>5515.5450951321973</v>
      </c>
      <c r="V320" s="221">
        <f t="shared" si="29"/>
        <v>2022.6835680751178</v>
      </c>
      <c r="W320" s="221">
        <f t="shared" ref="W320:W335" si="34">X320+Y320+Z320+AA320+AB320+AD320+AF320+AH320+AJ320+AL320+AN320+AO320</f>
        <v>4913.1223548307389</v>
      </c>
      <c r="X320" s="221">
        <v>0</v>
      </c>
      <c r="Y320" s="222">
        <v>0</v>
      </c>
      <c r="Z320" s="222">
        <v>0</v>
      </c>
      <c r="AA320" s="222">
        <v>0</v>
      </c>
      <c r="AB320" s="222">
        <v>0</v>
      </c>
      <c r="AC320" s="222">
        <v>0</v>
      </c>
      <c r="AD320" s="222">
        <v>0</v>
      </c>
      <c r="AE320" s="222">
        <v>318.7</v>
      </c>
      <c r="AF320" s="221">
        <f>6238.91*AE320/I320</f>
        <v>4913.1223548307389</v>
      </c>
      <c r="AG320" s="222">
        <v>0</v>
      </c>
      <c r="AH320" s="221">
        <v>0</v>
      </c>
      <c r="AI320" s="222">
        <v>0</v>
      </c>
      <c r="AJ320" s="221">
        <v>0</v>
      </c>
      <c r="AK320" s="222">
        <v>0</v>
      </c>
      <c r="AL320" s="222">
        <v>0</v>
      </c>
      <c r="AM320" s="222">
        <v>0</v>
      </c>
      <c r="AN320" s="222"/>
      <c r="AO320" s="222">
        <v>0</v>
      </c>
    </row>
    <row r="321" spans="1:41" s="223" customFormat="1" ht="36" customHeight="1" x14ac:dyDescent="0.25">
      <c r="A321" s="223">
        <v>1</v>
      </c>
      <c r="B321" s="225">
        <f>SUBTOTAL(103,$A$16:A321)</f>
        <v>291</v>
      </c>
      <c r="C321" s="215" t="s">
        <v>233</v>
      </c>
      <c r="D321" s="217">
        <v>1964</v>
      </c>
      <c r="E321" s="217"/>
      <c r="F321" s="226" t="s">
        <v>267</v>
      </c>
      <c r="G321" s="217">
        <v>2</v>
      </c>
      <c r="H321" s="217" t="s">
        <v>303</v>
      </c>
      <c r="I321" s="190">
        <v>645.4</v>
      </c>
      <c r="J321" s="190">
        <v>597.4</v>
      </c>
      <c r="K321" s="190">
        <v>597.4</v>
      </c>
      <c r="L321" s="219">
        <v>42</v>
      </c>
      <c r="M321" s="217" t="s">
        <v>265</v>
      </c>
      <c r="N321" s="217" t="s">
        <v>269</v>
      </c>
      <c r="O321" s="220" t="s">
        <v>334</v>
      </c>
      <c r="P321" s="190">
        <v>75889.97</v>
      </c>
      <c r="Q321" s="190">
        <v>0</v>
      </c>
      <c r="R321" s="190">
        <v>0</v>
      </c>
      <c r="S321" s="190">
        <f t="shared" si="33"/>
        <v>75889.97</v>
      </c>
      <c r="T321" s="190">
        <f t="shared" si="28"/>
        <v>117.58594669972111</v>
      </c>
      <c r="U321" s="190">
        <v>117.58594669972111</v>
      </c>
      <c r="V321" s="221">
        <f t="shared" si="29"/>
        <v>0</v>
      </c>
      <c r="W321" s="221">
        <f t="shared" si="34"/>
        <v>5184.5478462968704</v>
      </c>
      <c r="X321" s="221">
        <v>0</v>
      </c>
      <c r="Y321" s="222">
        <v>0</v>
      </c>
      <c r="Z321" s="222">
        <v>0</v>
      </c>
      <c r="AA321" s="222">
        <v>0</v>
      </c>
      <c r="AB321" s="222">
        <v>0</v>
      </c>
      <c r="AC321" s="222">
        <v>0</v>
      </c>
      <c r="AD321" s="222">
        <v>0</v>
      </c>
      <c r="AE321" s="222">
        <v>0</v>
      </c>
      <c r="AF321" s="221">
        <v>0</v>
      </c>
      <c r="AG321" s="222">
        <v>0</v>
      </c>
      <c r="AH321" s="221">
        <v>0</v>
      </c>
      <c r="AI321" s="222">
        <v>449.8</v>
      </c>
      <c r="AJ321" s="221">
        <f>7439.1*AI321/I321</f>
        <v>5184.5478462968704</v>
      </c>
      <c r="AK321" s="222">
        <v>0</v>
      </c>
      <c r="AL321" s="222">
        <v>0</v>
      </c>
      <c r="AM321" s="222">
        <v>0</v>
      </c>
      <c r="AN321" s="222"/>
      <c r="AO321" s="222">
        <v>0</v>
      </c>
    </row>
    <row r="322" spans="1:41" s="223" customFormat="1" ht="36" customHeight="1" x14ac:dyDescent="0.25">
      <c r="A322" s="223">
        <v>1</v>
      </c>
      <c r="B322" s="225">
        <f>SUBTOTAL(103,$A$16:A322)</f>
        <v>292</v>
      </c>
      <c r="C322" s="215" t="s">
        <v>236</v>
      </c>
      <c r="D322" s="217">
        <v>1961</v>
      </c>
      <c r="E322" s="217"/>
      <c r="F322" s="226" t="s">
        <v>336</v>
      </c>
      <c r="G322" s="217">
        <v>2</v>
      </c>
      <c r="H322" s="217" t="s">
        <v>303</v>
      </c>
      <c r="I322" s="190">
        <v>605.1</v>
      </c>
      <c r="J322" s="190">
        <v>560.20000000000005</v>
      </c>
      <c r="K322" s="190">
        <v>560.20000000000005</v>
      </c>
      <c r="L322" s="219">
        <v>35</v>
      </c>
      <c r="M322" s="217" t="s">
        <v>265</v>
      </c>
      <c r="N322" s="217" t="s">
        <v>269</v>
      </c>
      <c r="O322" s="220" t="s">
        <v>333</v>
      </c>
      <c r="P322" s="190">
        <v>1769883.07</v>
      </c>
      <c r="Q322" s="190">
        <v>0</v>
      </c>
      <c r="R322" s="190">
        <v>0</v>
      </c>
      <c r="S322" s="190">
        <f t="shared" si="33"/>
        <v>1769883.07</v>
      </c>
      <c r="T322" s="190">
        <f t="shared" si="28"/>
        <v>2924.9431003139975</v>
      </c>
      <c r="U322" s="190">
        <v>5260.579041480747</v>
      </c>
      <c r="V322" s="221">
        <f t="shared" si="29"/>
        <v>2335.6359411667495</v>
      </c>
      <c r="W322" s="221">
        <f t="shared" si="34"/>
        <v>4787.1854453809292</v>
      </c>
      <c r="X322" s="221">
        <v>0</v>
      </c>
      <c r="Y322" s="222">
        <v>0</v>
      </c>
      <c r="Z322" s="222">
        <v>0</v>
      </c>
      <c r="AA322" s="222">
        <v>0</v>
      </c>
      <c r="AB322" s="222">
        <v>0</v>
      </c>
      <c r="AC322" s="222">
        <v>0</v>
      </c>
      <c r="AD322" s="222">
        <v>0</v>
      </c>
      <c r="AE322" s="222">
        <v>464.3</v>
      </c>
      <c r="AF322" s="221">
        <f>6238.91*AE322/I322</f>
        <v>4787.1854453809292</v>
      </c>
      <c r="AG322" s="222">
        <v>0</v>
      </c>
      <c r="AH322" s="221">
        <v>0</v>
      </c>
      <c r="AI322" s="222">
        <v>0</v>
      </c>
      <c r="AJ322" s="221">
        <v>0</v>
      </c>
      <c r="AK322" s="222">
        <v>0</v>
      </c>
      <c r="AL322" s="222">
        <v>0</v>
      </c>
      <c r="AM322" s="222">
        <v>0</v>
      </c>
      <c r="AN322" s="222"/>
      <c r="AO322" s="222">
        <v>0</v>
      </c>
    </row>
    <row r="323" spans="1:41" s="223" customFormat="1" ht="36" customHeight="1" x14ac:dyDescent="0.25">
      <c r="A323" s="223">
        <v>1</v>
      </c>
      <c r="B323" s="225">
        <f>SUBTOTAL(103,$A$16:A323)</f>
        <v>293</v>
      </c>
      <c r="C323" s="215" t="s">
        <v>237</v>
      </c>
      <c r="D323" s="217">
        <v>1963</v>
      </c>
      <c r="E323" s="217"/>
      <c r="F323" s="226" t="s">
        <v>267</v>
      </c>
      <c r="G323" s="217">
        <v>2</v>
      </c>
      <c r="H323" s="217" t="s">
        <v>304</v>
      </c>
      <c r="I323" s="190">
        <v>336.7</v>
      </c>
      <c r="J323" s="190">
        <v>304.3</v>
      </c>
      <c r="K323" s="190">
        <v>304.3</v>
      </c>
      <c r="L323" s="219">
        <v>15</v>
      </c>
      <c r="M323" s="217" t="s">
        <v>265</v>
      </c>
      <c r="N323" s="217" t="s">
        <v>269</v>
      </c>
      <c r="O323" s="220" t="s">
        <v>333</v>
      </c>
      <c r="P323" s="190">
        <v>48252.34</v>
      </c>
      <c r="Q323" s="190">
        <v>0</v>
      </c>
      <c r="R323" s="190">
        <v>0</v>
      </c>
      <c r="S323" s="190">
        <f t="shared" si="33"/>
        <v>48252.34</v>
      </c>
      <c r="T323" s="190">
        <f t="shared" si="28"/>
        <v>143.3095931095931</v>
      </c>
      <c r="U323" s="190">
        <v>143.3095931095931</v>
      </c>
      <c r="V323" s="221">
        <f t="shared" si="29"/>
        <v>0</v>
      </c>
      <c r="W323" s="221">
        <f t="shared" si="34"/>
        <v>5021.516513216513</v>
      </c>
      <c r="X323" s="221">
        <v>0</v>
      </c>
      <c r="Y323" s="222">
        <v>0</v>
      </c>
      <c r="Z323" s="222">
        <v>0</v>
      </c>
      <c r="AA323" s="222">
        <v>0</v>
      </c>
      <c r="AB323" s="222">
        <v>0</v>
      </c>
      <c r="AC323" s="222">
        <v>0</v>
      </c>
      <c r="AD323" s="222">
        <v>0</v>
      </c>
      <c r="AE323" s="222">
        <v>271</v>
      </c>
      <c r="AF323" s="221">
        <f>6238.91*AE323/I323</f>
        <v>5021.516513216513</v>
      </c>
      <c r="AG323" s="222">
        <v>0</v>
      </c>
      <c r="AH323" s="221">
        <v>0</v>
      </c>
      <c r="AI323" s="222">
        <v>0</v>
      </c>
      <c r="AJ323" s="221">
        <v>0</v>
      </c>
      <c r="AK323" s="222">
        <v>0</v>
      </c>
      <c r="AL323" s="222">
        <v>0</v>
      </c>
      <c r="AM323" s="222">
        <v>0</v>
      </c>
      <c r="AN323" s="222"/>
      <c r="AO323" s="222">
        <v>0</v>
      </c>
    </row>
    <row r="324" spans="1:41" s="223" customFormat="1" ht="36" customHeight="1" x14ac:dyDescent="0.25">
      <c r="A324" s="223">
        <v>1</v>
      </c>
      <c r="B324" s="225">
        <f>SUBTOTAL(103,$A$16:A324)</f>
        <v>294</v>
      </c>
      <c r="C324" s="215" t="s">
        <v>232</v>
      </c>
      <c r="D324" s="228">
        <v>1970</v>
      </c>
      <c r="E324" s="217"/>
      <c r="F324" s="226" t="s">
        <v>267</v>
      </c>
      <c r="G324" s="217">
        <v>2</v>
      </c>
      <c r="H324" s="217" t="s">
        <v>304</v>
      </c>
      <c r="I324" s="190">
        <v>351.6</v>
      </c>
      <c r="J324" s="190">
        <v>320.60000000000002</v>
      </c>
      <c r="K324" s="190">
        <v>320.60000000000002</v>
      </c>
      <c r="L324" s="219">
        <v>14</v>
      </c>
      <c r="M324" s="217" t="s">
        <v>265</v>
      </c>
      <c r="N324" s="217" t="s">
        <v>269</v>
      </c>
      <c r="O324" s="220" t="s">
        <v>335</v>
      </c>
      <c r="P324" s="190">
        <v>1361877.77</v>
      </c>
      <c r="Q324" s="190">
        <v>0</v>
      </c>
      <c r="R324" s="190">
        <v>0</v>
      </c>
      <c r="S324" s="190">
        <f t="shared" si="33"/>
        <v>1361877.77</v>
      </c>
      <c r="T324" s="190">
        <f t="shared" si="28"/>
        <v>3873.3724971558586</v>
      </c>
      <c r="U324" s="190">
        <v>5484.5326052332184</v>
      </c>
      <c r="V324" s="221">
        <f t="shared" si="29"/>
        <v>1611.1601080773598</v>
      </c>
      <c r="W324" s="221">
        <f t="shared" si="34"/>
        <v>3711.7610745164957</v>
      </c>
      <c r="X324" s="221">
        <v>0</v>
      </c>
      <c r="Y324" s="222">
        <v>0</v>
      </c>
      <c r="Z324" s="222">
        <v>0</v>
      </c>
      <c r="AA324" s="222">
        <v>0</v>
      </c>
      <c r="AB324" s="222">
        <v>0</v>
      </c>
      <c r="AC324" s="222">
        <v>0</v>
      </c>
      <c r="AD324" s="222">
        <v>0</v>
      </c>
      <c r="AE324" s="222">
        <v>209.18</v>
      </c>
      <c r="AF324" s="221">
        <f>6238.91*AE324/I324</f>
        <v>3711.7610745164957</v>
      </c>
      <c r="AG324" s="222">
        <v>0</v>
      </c>
      <c r="AH324" s="221">
        <v>0</v>
      </c>
      <c r="AI324" s="222">
        <v>0</v>
      </c>
      <c r="AJ324" s="221">
        <v>0</v>
      </c>
      <c r="AK324" s="222">
        <v>0</v>
      </c>
      <c r="AL324" s="222">
        <v>0</v>
      </c>
      <c r="AM324" s="222">
        <v>0</v>
      </c>
      <c r="AN324" s="222"/>
      <c r="AO324" s="222">
        <v>0</v>
      </c>
    </row>
    <row r="325" spans="1:41" s="223" customFormat="1" ht="36" customHeight="1" x14ac:dyDescent="0.25">
      <c r="A325" s="223">
        <v>1</v>
      </c>
      <c r="B325" s="225">
        <f>SUBTOTAL(103,$A$16:A325)</f>
        <v>295</v>
      </c>
      <c r="C325" s="215" t="s">
        <v>239</v>
      </c>
      <c r="D325" s="217">
        <v>1972</v>
      </c>
      <c r="E325" s="217"/>
      <c r="F325" s="226" t="s">
        <v>267</v>
      </c>
      <c r="G325" s="217">
        <v>2</v>
      </c>
      <c r="H325" s="217" t="s">
        <v>312</v>
      </c>
      <c r="I325" s="190">
        <v>899</v>
      </c>
      <c r="J325" s="190">
        <v>843.9</v>
      </c>
      <c r="K325" s="190">
        <v>843.9</v>
      </c>
      <c r="L325" s="219">
        <v>54</v>
      </c>
      <c r="M325" s="217" t="s">
        <v>265</v>
      </c>
      <c r="N325" s="217" t="s">
        <v>269</v>
      </c>
      <c r="O325" s="220" t="s">
        <v>333</v>
      </c>
      <c r="P325" s="190">
        <v>82017.66</v>
      </c>
      <c r="Q325" s="190">
        <v>0</v>
      </c>
      <c r="R325" s="190">
        <v>0</v>
      </c>
      <c r="S325" s="190">
        <f t="shared" si="33"/>
        <v>82017.66</v>
      </c>
      <c r="T325" s="190">
        <f t="shared" si="28"/>
        <v>91.232102335928815</v>
      </c>
      <c r="U325" s="190">
        <v>91.232102335928815</v>
      </c>
      <c r="V325" s="221">
        <f t="shared" si="29"/>
        <v>0</v>
      </c>
      <c r="W325" s="221">
        <f t="shared" si="34"/>
        <v>3743.346</v>
      </c>
      <c r="X325" s="221">
        <v>0</v>
      </c>
      <c r="Y325" s="222">
        <v>0</v>
      </c>
      <c r="Z325" s="222">
        <v>0</v>
      </c>
      <c r="AA325" s="222">
        <v>0</v>
      </c>
      <c r="AB325" s="222">
        <v>0</v>
      </c>
      <c r="AC325" s="222">
        <v>0</v>
      </c>
      <c r="AD325" s="222">
        <v>0</v>
      </c>
      <c r="AE325" s="222">
        <v>539.4</v>
      </c>
      <c r="AF325" s="221">
        <f>6238.91*AE325/I325</f>
        <v>3743.346</v>
      </c>
      <c r="AG325" s="222">
        <v>0</v>
      </c>
      <c r="AH325" s="221">
        <v>0</v>
      </c>
      <c r="AI325" s="222">
        <v>0</v>
      </c>
      <c r="AJ325" s="221">
        <v>0</v>
      </c>
      <c r="AK325" s="222">
        <v>0</v>
      </c>
      <c r="AL325" s="222">
        <v>0</v>
      </c>
      <c r="AM325" s="222">
        <v>0</v>
      </c>
      <c r="AN325" s="222"/>
      <c r="AO325" s="222">
        <v>0</v>
      </c>
    </row>
    <row r="326" spans="1:41" s="223" customFormat="1" ht="36" customHeight="1" x14ac:dyDescent="0.25">
      <c r="A326" s="223">
        <v>1</v>
      </c>
      <c r="B326" s="225">
        <f>SUBTOTAL(103,$A$16:A326)</f>
        <v>296</v>
      </c>
      <c r="C326" s="215" t="s">
        <v>1209</v>
      </c>
      <c r="D326" s="217">
        <v>1959</v>
      </c>
      <c r="E326" s="217"/>
      <c r="F326" s="226" t="s">
        <v>336</v>
      </c>
      <c r="G326" s="217">
        <v>2</v>
      </c>
      <c r="H326" s="217" t="s">
        <v>303</v>
      </c>
      <c r="I326" s="218">
        <v>654.4</v>
      </c>
      <c r="J326" s="218">
        <v>551.4</v>
      </c>
      <c r="K326" s="218">
        <v>551.4</v>
      </c>
      <c r="L326" s="219">
        <v>40</v>
      </c>
      <c r="M326" s="217" t="s">
        <v>265</v>
      </c>
      <c r="N326" s="217" t="s">
        <v>269</v>
      </c>
      <c r="O326" s="220" t="s">
        <v>334</v>
      </c>
      <c r="P326" s="190">
        <v>2704515.35</v>
      </c>
      <c r="Q326" s="190">
        <v>0</v>
      </c>
      <c r="R326" s="190">
        <v>0</v>
      </c>
      <c r="S326" s="190">
        <f t="shared" si="33"/>
        <v>2704515.35</v>
      </c>
      <c r="T326" s="190">
        <f t="shared" si="28"/>
        <v>4132.8168551344743</v>
      </c>
      <c r="U326" s="190">
        <v>7856.0264009779949</v>
      </c>
      <c r="V326" s="221">
        <f t="shared" si="29"/>
        <v>3723.2095458435206</v>
      </c>
      <c r="W326" s="221">
        <f t="shared" si="34"/>
        <v>6841.4995721271398</v>
      </c>
      <c r="X326" s="221">
        <v>0</v>
      </c>
      <c r="Y326" s="222">
        <v>0</v>
      </c>
      <c r="Z326" s="222">
        <v>0</v>
      </c>
      <c r="AA326" s="222">
        <v>0</v>
      </c>
      <c r="AB326" s="222">
        <v>0</v>
      </c>
      <c r="AC326" s="222">
        <v>0</v>
      </c>
      <c r="AD326" s="222">
        <v>0</v>
      </c>
      <c r="AE326" s="222">
        <v>0</v>
      </c>
      <c r="AF326" s="221">
        <v>0</v>
      </c>
      <c r="AG326" s="222">
        <v>0</v>
      </c>
      <c r="AH326" s="221">
        <v>0</v>
      </c>
      <c r="AI326" s="222">
        <v>0</v>
      </c>
      <c r="AJ326" s="221">
        <v>0</v>
      </c>
      <c r="AK326" s="222">
        <v>0</v>
      </c>
      <c r="AL326" s="222">
        <v>0</v>
      </c>
      <c r="AM326" s="222">
        <v>641</v>
      </c>
      <c r="AN326" s="222">
        <f>6984.52*AM326/I326</f>
        <v>6841.4995721271398</v>
      </c>
      <c r="AO326" s="222">
        <v>0</v>
      </c>
    </row>
    <row r="327" spans="1:41" s="223" customFormat="1" ht="36" customHeight="1" x14ac:dyDescent="0.25">
      <c r="A327" s="223">
        <v>1</v>
      </c>
      <c r="B327" s="225">
        <f>SUBTOTAL(103,$A$16:A327)</f>
        <v>297</v>
      </c>
      <c r="C327" s="215" t="s">
        <v>1210</v>
      </c>
      <c r="D327" s="217">
        <v>1977</v>
      </c>
      <c r="E327" s="217"/>
      <c r="F327" s="226" t="s">
        <v>267</v>
      </c>
      <c r="G327" s="217">
        <v>5</v>
      </c>
      <c r="H327" s="217" t="s">
        <v>304</v>
      </c>
      <c r="I327" s="190">
        <v>3019</v>
      </c>
      <c r="J327" s="190">
        <v>3019</v>
      </c>
      <c r="K327" s="190">
        <v>2048</v>
      </c>
      <c r="L327" s="219">
        <v>333</v>
      </c>
      <c r="M327" s="217" t="s">
        <v>265</v>
      </c>
      <c r="N327" s="217" t="s">
        <v>269</v>
      </c>
      <c r="O327" s="220" t="s">
        <v>1309</v>
      </c>
      <c r="P327" s="190">
        <v>2291266.0300000003</v>
      </c>
      <c r="Q327" s="190">
        <v>0</v>
      </c>
      <c r="R327" s="190">
        <v>0</v>
      </c>
      <c r="S327" s="190">
        <f t="shared" si="33"/>
        <v>2291266.0300000003</v>
      </c>
      <c r="T327" s="190">
        <f t="shared" si="28"/>
        <v>758.9486684332561</v>
      </c>
      <c r="U327" s="190">
        <v>810.46</v>
      </c>
      <c r="V327" s="221">
        <f t="shared" si="29"/>
        <v>51.511331566743934</v>
      </c>
      <c r="W327" s="221">
        <f t="shared" si="34"/>
        <v>1750.9997598542561</v>
      </c>
      <c r="X327" s="221">
        <v>0</v>
      </c>
      <c r="Y327" s="222">
        <v>0</v>
      </c>
      <c r="Z327" s="222">
        <v>0</v>
      </c>
      <c r="AA327" s="222">
        <v>0</v>
      </c>
      <c r="AB327" s="222">
        <v>0</v>
      </c>
      <c r="AC327" s="222">
        <v>0</v>
      </c>
      <c r="AD327" s="222">
        <v>0</v>
      </c>
      <c r="AE327" s="222">
        <v>0</v>
      </c>
      <c r="AF327" s="221">
        <v>0</v>
      </c>
      <c r="AG327" s="222">
        <v>0</v>
      </c>
      <c r="AH327" s="221">
        <v>0</v>
      </c>
      <c r="AI327" s="222">
        <v>677.5</v>
      </c>
      <c r="AJ327" s="221">
        <f>7802.61*AI327/I327</f>
        <v>1750.9997598542561</v>
      </c>
      <c r="AK327" s="222">
        <v>0</v>
      </c>
      <c r="AL327" s="222">
        <v>0</v>
      </c>
      <c r="AM327" s="222">
        <v>0</v>
      </c>
      <c r="AN327" s="222"/>
      <c r="AO327" s="222">
        <v>0</v>
      </c>
    </row>
    <row r="328" spans="1:41" s="223" customFormat="1" ht="36" customHeight="1" x14ac:dyDescent="0.25">
      <c r="A328" s="223">
        <v>1</v>
      </c>
      <c r="B328" s="225">
        <f>SUBTOTAL(103,$A$16:A328)</f>
        <v>298</v>
      </c>
      <c r="C328" s="215" t="s">
        <v>1211</v>
      </c>
      <c r="D328" s="217">
        <v>1951</v>
      </c>
      <c r="E328" s="217"/>
      <c r="F328" s="226" t="s">
        <v>336</v>
      </c>
      <c r="G328" s="217">
        <v>2</v>
      </c>
      <c r="H328" s="217" t="s">
        <v>303</v>
      </c>
      <c r="I328" s="190">
        <v>859.4</v>
      </c>
      <c r="J328" s="190">
        <v>812.4</v>
      </c>
      <c r="K328" s="190">
        <v>812.4</v>
      </c>
      <c r="L328" s="219">
        <v>38</v>
      </c>
      <c r="M328" s="217" t="s">
        <v>265</v>
      </c>
      <c r="N328" s="217" t="s">
        <v>269</v>
      </c>
      <c r="O328" s="220" t="s">
        <v>333</v>
      </c>
      <c r="P328" s="190">
        <v>2890713.31</v>
      </c>
      <c r="Q328" s="190">
        <v>0</v>
      </c>
      <c r="R328" s="190">
        <v>0</v>
      </c>
      <c r="S328" s="190">
        <f t="shared" si="33"/>
        <v>2890713.31</v>
      </c>
      <c r="T328" s="190">
        <f t="shared" si="28"/>
        <v>3363.64127298115</v>
      </c>
      <c r="U328" s="190">
        <v>6854.7481382359783</v>
      </c>
      <c r="V328" s="221">
        <f t="shared" si="29"/>
        <v>3491.1068652548283</v>
      </c>
      <c r="W328" s="221">
        <f t="shared" si="34"/>
        <v>1081.8399999999999</v>
      </c>
      <c r="X328" s="221">
        <v>101.55</v>
      </c>
      <c r="Y328" s="222">
        <v>0</v>
      </c>
      <c r="Z328" s="222">
        <v>0</v>
      </c>
      <c r="AA328" s="222">
        <v>184.98</v>
      </c>
      <c r="AB328" s="222">
        <v>795.31</v>
      </c>
      <c r="AC328" s="222">
        <v>0</v>
      </c>
      <c r="AD328" s="222">
        <v>0</v>
      </c>
      <c r="AE328" s="222">
        <v>0</v>
      </c>
      <c r="AF328" s="221">
        <v>0</v>
      </c>
      <c r="AG328" s="222">
        <v>0</v>
      </c>
      <c r="AH328" s="221">
        <v>0</v>
      </c>
      <c r="AI328" s="222">
        <v>0</v>
      </c>
      <c r="AJ328" s="221">
        <v>0</v>
      </c>
      <c r="AK328" s="222">
        <v>0</v>
      </c>
      <c r="AL328" s="222">
        <v>0</v>
      </c>
      <c r="AM328" s="222">
        <v>0</v>
      </c>
      <c r="AN328" s="222"/>
      <c r="AO328" s="222">
        <v>0</v>
      </c>
    </row>
    <row r="329" spans="1:41" s="223" customFormat="1" ht="36" customHeight="1" x14ac:dyDescent="0.25">
      <c r="A329" s="223">
        <v>1</v>
      </c>
      <c r="B329" s="225">
        <f>SUBTOTAL(103,$A$16:A329)</f>
        <v>299</v>
      </c>
      <c r="C329" s="215" t="s">
        <v>1214</v>
      </c>
      <c r="D329" s="217">
        <v>1917</v>
      </c>
      <c r="E329" s="217"/>
      <c r="F329" s="226" t="s">
        <v>267</v>
      </c>
      <c r="G329" s="217">
        <v>2</v>
      </c>
      <c r="H329" s="217" t="s">
        <v>303</v>
      </c>
      <c r="I329" s="190">
        <v>389.7</v>
      </c>
      <c r="J329" s="190">
        <v>385</v>
      </c>
      <c r="K329" s="190">
        <v>385</v>
      </c>
      <c r="L329" s="219">
        <v>11</v>
      </c>
      <c r="M329" s="217" t="s">
        <v>265</v>
      </c>
      <c r="N329" s="217" t="s">
        <v>269</v>
      </c>
      <c r="O329" s="220" t="s">
        <v>333</v>
      </c>
      <c r="P329" s="190">
        <v>1714543.07</v>
      </c>
      <c r="Q329" s="190">
        <v>0</v>
      </c>
      <c r="R329" s="190">
        <v>0</v>
      </c>
      <c r="S329" s="190">
        <f t="shared" si="33"/>
        <v>1714543.07</v>
      </c>
      <c r="T329" s="190">
        <f t="shared" si="28"/>
        <v>4399.6486271490894</v>
      </c>
      <c r="U329" s="190">
        <v>6250.5314600975107</v>
      </c>
      <c r="V329" s="221">
        <f t="shared" si="29"/>
        <v>1850.8828329484213</v>
      </c>
      <c r="W329" s="221">
        <f t="shared" si="34"/>
        <v>15116.68090839107</v>
      </c>
      <c r="X329" s="221">
        <v>0</v>
      </c>
      <c r="Y329" s="222">
        <v>0</v>
      </c>
      <c r="Z329" s="222">
        <v>0</v>
      </c>
      <c r="AA329" s="222">
        <v>0</v>
      </c>
      <c r="AB329" s="222">
        <v>0</v>
      </c>
      <c r="AC329" s="222">
        <v>0</v>
      </c>
      <c r="AD329" s="222">
        <v>0</v>
      </c>
      <c r="AE329" s="222">
        <v>0</v>
      </c>
      <c r="AF329" s="221">
        <v>0</v>
      </c>
      <c r="AG329" s="222">
        <v>0</v>
      </c>
      <c r="AH329" s="221">
        <v>0</v>
      </c>
      <c r="AI329" s="222">
        <v>755</v>
      </c>
      <c r="AJ329" s="221">
        <f>7802.61*AI329/I329</f>
        <v>15116.68090839107</v>
      </c>
      <c r="AK329" s="222">
        <v>0</v>
      </c>
      <c r="AL329" s="222">
        <v>0</v>
      </c>
      <c r="AM329" s="222">
        <v>0</v>
      </c>
      <c r="AN329" s="222"/>
      <c r="AO329" s="222">
        <v>0</v>
      </c>
    </row>
    <row r="330" spans="1:41" s="223" customFormat="1" ht="36" customHeight="1" x14ac:dyDescent="0.25">
      <c r="A330" s="223">
        <v>1</v>
      </c>
      <c r="B330" s="225">
        <f>SUBTOTAL(103,$A$16:A330)</f>
        <v>300</v>
      </c>
      <c r="C330" s="215" t="s">
        <v>1528</v>
      </c>
      <c r="D330" s="217">
        <v>1967</v>
      </c>
      <c r="E330" s="217"/>
      <c r="F330" s="226" t="s">
        <v>267</v>
      </c>
      <c r="G330" s="217">
        <v>2</v>
      </c>
      <c r="H330" s="217" t="s">
        <v>304</v>
      </c>
      <c r="I330" s="190">
        <v>391.7</v>
      </c>
      <c r="J330" s="190">
        <v>362.7</v>
      </c>
      <c r="K330" s="190">
        <v>362.7</v>
      </c>
      <c r="L330" s="219">
        <v>18</v>
      </c>
      <c r="M330" s="217" t="s">
        <v>265</v>
      </c>
      <c r="N330" s="217" t="s">
        <v>269</v>
      </c>
      <c r="O330" s="220" t="s">
        <v>334</v>
      </c>
      <c r="P330" s="190">
        <v>1422597.9100000001</v>
      </c>
      <c r="Q330" s="190">
        <v>0</v>
      </c>
      <c r="R330" s="190">
        <v>0</v>
      </c>
      <c r="S330" s="190">
        <f t="shared" si="33"/>
        <v>1422597.9100000001</v>
      </c>
      <c r="T330" s="190">
        <f t="shared" si="28"/>
        <v>3631.8557824865975</v>
      </c>
      <c r="U330" s="190">
        <v>5447.2289992341075</v>
      </c>
      <c r="V330" s="221">
        <f t="shared" si="29"/>
        <v>1815.37321674751</v>
      </c>
      <c r="W330" s="221">
        <f t="shared" si="34"/>
        <v>16522.761261169264</v>
      </c>
      <c r="X330" s="221">
        <v>0</v>
      </c>
      <c r="Y330" s="222">
        <v>0</v>
      </c>
      <c r="Z330" s="222">
        <v>0</v>
      </c>
      <c r="AA330" s="222">
        <v>0</v>
      </c>
      <c r="AB330" s="222">
        <v>0</v>
      </c>
      <c r="AC330" s="222">
        <v>0</v>
      </c>
      <c r="AD330" s="222">
        <v>0</v>
      </c>
      <c r="AE330" s="222">
        <v>0</v>
      </c>
      <c r="AF330" s="221">
        <v>0</v>
      </c>
      <c r="AG330" s="222">
        <v>0</v>
      </c>
      <c r="AH330" s="221">
        <v>0</v>
      </c>
      <c r="AI330" s="222">
        <v>0</v>
      </c>
      <c r="AJ330" s="221">
        <v>0</v>
      </c>
      <c r="AK330" s="222">
        <v>84.3</v>
      </c>
      <c r="AL330" s="221">
        <f>76773.02*AK330/I330</f>
        <v>16522.761261169264</v>
      </c>
      <c r="AM330" s="222">
        <v>0</v>
      </c>
      <c r="AN330" s="222"/>
      <c r="AO330" s="222">
        <v>0</v>
      </c>
    </row>
    <row r="331" spans="1:41" s="223" customFormat="1" ht="36" customHeight="1" x14ac:dyDescent="0.25">
      <c r="A331" s="223">
        <v>1</v>
      </c>
      <c r="B331" s="225">
        <f>SUBTOTAL(103,$A$16:A331)</f>
        <v>301</v>
      </c>
      <c r="C331" s="215" t="s">
        <v>1529</v>
      </c>
      <c r="D331" s="217">
        <v>1969</v>
      </c>
      <c r="E331" s="217"/>
      <c r="F331" s="226" t="s">
        <v>267</v>
      </c>
      <c r="G331" s="217">
        <v>2</v>
      </c>
      <c r="H331" s="217" t="s">
        <v>303</v>
      </c>
      <c r="I331" s="190">
        <v>1229.8</v>
      </c>
      <c r="J331" s="190">
        <v>730</v>
      </c>
      <c r="K331" s="190">
        <v>648.4</v>
      </c>
      <c r="L331" s="219">
        <v>31</v>
      </c>
      <c r="M331" s="217" t="s">
        <v>265</v>
      </c>
      <c r="N331" s="217" t="s">
        <v>269</v>
      </c>
      <c r="O331" s="220" t="s">
        <v>333</v>
      </c>
      <c r="P331" s="190">
        <v>2288055.7799999998</v>
      </c>
      <c r="Q331" s="190">
        <v>0</v>
      </c>
      <c r="R331" s="190">
        <v>0</v>
      </c>
      <c r="S331" s="190">
        <f t="shared" si="33"/>
        <v>2288055.7799999998</v>
      </c>
      <c r="T331" s="190">
        <f t="shared" si="28"/>
        <v>1860.5104732476825</v>
      </c>
      <c r="U331" s="190">
        <v>3177.8086526264433</v>
      </c>
      <c r="V331" s="221">
        <f t="shared" si="29"/>
        <v>1317.2981793787608</v>
      </c>
      <c r="W331" s="221">
        <f t="shared" si="34"/>
        <v>1898.8648666449828</v>
      </c>
      <c r="X331" s="221">
        <v>0</v>
      </c>
      <c r="Y331" s="222">
        <v>0</v>
      </c>
      <c r="Z331" s="222">
        <v>0</v>
      </c>
      <c r="AA331" s="222">
        <v>0</v>
      </c>
      <c r="AB331" s="222">
        <v>0</v>
      </c>
      <c r="AC331" s="222">
        <v>0</v>
      </c>
      <c r="AD331" s="222">
        <v>0</v>
      </c>
      <c r="AE331" s="222">
        <v>374.3</v>
      </c>
      <c r="AF331" s="221">
        <f>6238.91*AE331/I331</f>
        <v>1898.8648666449828</v>
      </c>
      <c r="AG331" s="222">
        <v>0</v>
      </c>
      <c r="AH331" s="221">
        <v>0</v>
      </c>
      <c r="AI331" s="222">
        <v>0</v>
      </c>
      <c r="AJ331" s="221">
        <v>0</v>
      </c>
      <c r="AK331" s="222">
        <v>0</v>
      </c>
      <c r="AL331" s="222">
        <v>0</v>
      </c>
      <c r="AM331" s="222">
        <v>0</v>
      </c>
      <c r="AN331" s="222"/>
      <c r="AO331" s="222">
        <v>0</v>
      </c>
    </row>
    <row r="332" spans="1:41" s="223" customFormat="1" ht="36" customHeight="1" x14ac:dyDescent="0.25">
      <c r="A332" s="223">
        <v>1</v>
      </c>
      <c r="B332" s="225">
        <f>SUBTOTAL(103,$A$16:A332)</f>
        <v>302</v>
      </c>
      <c r="C332" s="215" t="s">
        <v>1543</v>
      </c>
      <c r="D332" s="217">
        <v>1949</v>
      </c>
      <c r="E332" s="217"/>
      <c r="F332" s="226" t="s">
        <v>1310</v>
      </c>
      <c r="G332" s="217">
        <v>2</v>
      </c>
      <c r="H332" s="217" t="s">
        <v>303</v>
      </c>
      <c r="I332" s="190">
        <v>760.8</v>
      </c>
      <c r="J332" s="190">
        <v>760.8</v>
      </c>
      <c r="K332" s="190">
        <v>760.8</v>
      </c>
      <c r="L332" s="219">
        <v>40</v>
      </c>
      <c r="M332" s="217" t="s">
        <v>265</v>
      </c>
      <c r="N332" s="217" t="s">
        <v>269</v>
      </c>
      <c r="O332" s="220" t="s">
        <v>334</v>
      </c>
      <c r="P332" s="190">
        <v>2348671.69</v>
      </c>
      <c r="Q332" s="190">
        <v>0</v>
      </c>
      <c r="R332" s="190">
        <v>0</v>
      </c>
      <c r="S332" s="190">
        <f>P332-R332-Q332</f>
        <v>2348671.69</v>
      </c>
      <c r="T332" s="190">
        <f t="shared" si="28"/>
        <v>3087.1078995793901</v>
      </c>
      <c r="U332" s="190">
        <v>5394.7703903785496</v>
      </c>
      <c r="V332" s="221">
        <f t="shared" si="29"/>
        <v>2307.6624907991595</v>
      </c>
      <c r="W332" s="221">
        <f t="shared" si="34"/>
        <v>2688.6848339905364</v>
      </c>
      <c r="X332" s="221">
        <v>0</v>
      </c>
      <c r="Y332" s="222">
        <v>0</v>
      </c>
      <c r="Z332" s="222">
        <v>0</v>
      </c>
      <c r="AA332" s="222">
        <v>0</v>
      </c>
      <c r="AB332" s="222">
        <v>0</v>
      </c>
      <c r="AC332" s="222">
        <v>0</v>
      </c>
      <c r="AD332" s="222">
        <v>0</v>
      </c>
      <c r="AE332" s="222">
        <v>327.87</v>
      </c>
      <c r="AF332" s="221">
        <f>6238.91*AE332/I332</f>
        <v>2688.6848339905364</v>
      </c>
      <c r="AG332" s="222">
        <v>0</v>
      </c>
      <c r="AH332" s="221">
        <v>0</v>
      </c>
      <c r="AI332" s="222">
        <v>0</v>
      </c>
      <c r="AJ332" s="221">
        <v>0</v>
      </c>
      <c r="AK332" s="222">
        <v>0</v>
      </c>
      <c r="AL332" s="222">
        <v>0</v>
      </c>
      <c r="AM332" s="222">
        <v>0</v>
      </c>
      <c r="AN332" s="222"/>
      <c r="AO332" s="222">
        <v>0</v>
      </c>
    </row>
    <row r="333" spans="1:41" s="223" customFormat="1" ht="36" customHeight="1" x14ac:dyDescent="0.25">
      <c r="A333" s="223">
        <v>1</v>
      </c>
      <c r="B333" s="225">
        <f>SUBTOTAL(103,$A$16:A333)</f>
        <v>303</v>
      </c>
      <c r="C333" s="215" t="s">
        <v>1544</v>
      </c>
      <c r="D333" s="217">
        <v>1961</v>
      </c>
      <c r="E333" s="217"/>
      <c r="F333" s="226" t="s">
        <v>267</v>
      </c>
      <c r="G333" s="217">
        <v>2</v>
      </c>
      <c r="H333" s="217" t="s">
        <v>303</v>
      </c>
      <c r="I333" s="190">
        <v>755.3</v>
      </c>
      <c r="J333" s="190">
        <v>755.3</v>
      </c>
      <c r="K333" s="190">
        <v>755.3</v>
      </c>
      <c r="L333" s="219">
        <v>28</v>
      </c>
      <c r="M333" s="217" t="s">
        <v>265</v>
      </c>
      <c r="N333" s="217" t="s">
        <v>269</v>
      </c>
      <c r="O333" s="220" t="s">
        <v>333</v>
      </c>
      <c r="P333" s="190">
        <v>2304366.3400000003</v>
      </c>
      <c r="Q333" s="190">
        <v>0</v>
      </c>
      <c r="R333" s="190">
        <v>0</v>
      </c>
      <c r="S333" s="190">
        <f>P333-R333-Q333</f>
        <v>2304366.3400000003</v>
      </c>
      <c r="T333" s="190">
        <f t="shared" ref="T333:T396" si="35">P333/I333</f>
        <v>3050.9285581887998</v>
      </c>
      <c r="U333" s="190">
        <v>5101.3027128293397</v>
      </c>
      <c r="V333" s="221">
        <f t="shared" si="29"/>
        <v>2050.3741546405399</v>
      </c>
      <c r="W333" s="221">
        <f t="shared" si="34"/>
        <v>4960.482751621872</v>
      </c>
      <c r="X333" s="221">
        <v>0</v>
      </c>
      <c r="Y333" s="222">
        <v>0</v>
      </c>
      <c r="Z333" s="222">
        <v>0</v>
      </c>
      <c r="AA333" s="222">
        <v>0</v>
      </c>
      <c r="AB333" s="222">
        <v>0</v>
      </c>
      <c r="AC333" s="222">
        <v>0</v>
      </c>
      <c r="AD333" s="222">
        <v>0</v>
      </c>
      <c r="AE333" s="222">
        <v>600.53</v>
      </c>
      <c r="AF333" s="221">
        <f>6238.91*AE333/I333</f>
        <v>4960.482751621872</v>
      </c>
      <c r="AG333" s="222">
        <v>0</v>
      </c>
      <c r="AH333" s="221">
        <v>0</v>
      </c>
      <c r="AI333" s="222">
        <v>0</v>
      </c>
      <c r="AJ333" s="221">
        <v>0</v>
      </c>
      <c r="AK333" s="222">
        <v>0</v>
      </c>
      <c r="AL333" s="222">
        <v>0</v>
      </c>
      <c r="AM333" s="222">
        <v>0</v>
      </c>
      <c r="AN333" s="222"/>
      <c r="AO333" s="222">
        <v>0</v>
      </c>
    </row>
    <row r="334" spans="1:41" s="223" customFormat="1" ht="36" customHeight="1" x14ac:dyDescent="0.25">
      <c r="A334" s="223">
        <v>1</v>
      </c>
      <c r="B334" s="225">
        <f>SUBTOTAL(103,$A$16:A334)</f>
        <v>304</v>
      </c>
      <c r="C334" s="215" t="s">
        <v>1212</v>
      </c>
      <c r="D334" s="217">
        <v>1955</v>
      </c>
      <c r="E334" s="217"/>
      <c r="F334" s="226" t="s">
        <v>1310</v>
      </c>
      <c r="G334" s="217">
        <v>2</v>
      </c>
      <c r="H334" s="217" t="s">
        <v>303</v>
      </c>
      <c r="I334" s="218">
        <v>805.7</v>
      </c>
      <c r="J334" s="218">
        <v>731</v>
      </c>
      <c r="K334" s="218">
        <v>705.2</v>
      </c>
      <c r="L334" s="219">
        <v>37</v>
      </c>
      <c r="M334" s="217" t="s">
        <v>265</v>
      </c>
      <c r="N334" s="217" t="s">
        <v>269</v>
      </c>
      <c r="O334" s="220" t="s">
        <v>333</v>
      </c>
      <c r="P334" s="190">
        <v>78793.16</v>
      </c>
      <c r="Q334" s="190">
        <v>0</v>
      </c>
      <c r="R334" s="190">
        <v>0</v>
      </c>
      <c r="S334" s="190">
        <f t="shared" ref="S334" si="36">P334-Q334-R334</f>
        <v>78793.16</v>
      </c>
      <c r="T334" s="190">
        <f t="shared" si="35"/>
        <v>97.794663025940181</v>
      </c>
      <c r="U334" s="190">
        <v>97.794663025940181</v>
      </c>
      <c r="V334" s="221">
        <f t="shared" si="29"/>
        <v>0</v>
      </c>
      <c r="W334" s="221">
        <f t="shared" si="34"/>
        <v>10862.758197840389</v>
      </c>
      <c r="X334" s="221">
        <v>0</v>
      </c>
      <c r="Y334" s="222">
        <v>0</v>
      </c>
      <c r="Z334" s="222">
        <v>0</v>
      </c>
      <c r="AA334" s="222">
        <v>0</v>
      </c>
      <c r="AB334" s="222">
        <v>0</v>
      </c>
      <c r="AC334" s="222">
        <v>0</v>
      </c>
      <c r="AD334" s="222">
        <v>0</v>
      </c>
      <c r="AE334" s="222">
        <v>0</v>
      </c>
      <c r="AF334" s="221">
        <v>0</v>
      </c>
      <c r="AG334" s="222">
        <v>0</v>
      </c>
      <c r="AH334" s="221">
        <v>0</v>
      </c>
      <c r="AI334" s="222">
        <v>0</v>
      </c>
      <c r="AJ334" s="221">
        <v>0</v>
      </c>
      <c r="AK334" s="222">
        <v>114</v>
      </c>
      <c r="AL334" s="221">
        <f>76773.02*AK334/I334</f>
        <v>10862.758197840389</v>
      </c>
      <c r="AM334" s="222">
        <v>0</v>
      </c>
      <c r="AN334" s="222"/>
      <c r="AO334" s="222">
        <v>0</v>
      </c>
    </row>
    <row r="335" spans="1:41" s="223" customFormat="1" ht="36" customHeight="1" x14ac:dyDescent="0.25">
      <c r="A335" s="223">
        <v>1</v>
      </c>
      <c r="B335" s="225">
        <f>SUBTOTAL(103,$A$16:A335)</f>
        <v>305</v>
      </c>
      <c r="C335" s="215" t="s">
        <v>1580</v>
      </c>
      <c r="D335" s="217">
        <v>1958</v>
      </c>
      <c r="E335" s="217"/>
      <c r="F335" s="226" t="s">
        <v>330</v>
      </c>
      <c r="G335" s="217">
        <v>2</v>
      </c>
      <c r="H335" s="217" t="s">
        <v>304</v>
      </c>
      <c r="I335" s="190">
        <v>658</v>
      </c>
      <c r="J335" s="190">
        <v>250.1</v>
      </c>
      <c r="K335" s="190">
        <v>250.1</v>
      </c>
      <c r="L335" s="219">
        <v>21</v>
      </c>
      <c r="M335" s="217" t="s">
        <v>265</v>
      </c>
      <c r="N335" s="217" t="s">
        <v>269</v>
      </c>
      <c r="O335" s="220" t="s">
        <v>333</v>
      </c>
      <c r="P335" s="190">
        <v>35684.67</v>
      </c>
      <c r="Q335" s="190">
        <v>0</v>
      </c>
      <c r="R335" s="190">
        <v>0</v>
      </c>
      <c r="S335" s="190">
        <f>P335-R335-Q335</f>
        <v>35684.67</v>
      </c>
      <c r="T335" s="190">
        <f t="shared" si="35"/>
        <v>54.232021276595745</v>
      </c>
      <c r="U335" s="190">
        <v>54.232021276595745</v>
      </c>
      <c r="V335" s="221">
        <f t="shared" si="29"/>
        <v>0</v>
      </c>
      <c r="W335" s="221">
        <f t="shared" si="34"/>
        <v>5745.8654407294835</v>
      </c>
      <c r="X335" s="221">
        <v>0</v>
      </c>
      <c r="Y335" s="222">
        <v>0</v>
      </c>
      <c r="Z335" s="222">
        <v>0</v>
      </c>
      <c r="AA335" s="222">
        <v>0</v>
      </c>
      <c r="AB335" s="222">
        <v>0</v>
      </c>
      <c r="AC335" s="222">
        <v>0</v>
      </c>
      <c r="AD335" s="222">
        <v>0</v>
      </c>
      <c r="AE335" s="222">
        <v>606</v>
      </c>
      <c r="AF335" s="221">
        <f>6238.91*AE335/I335</f>
        <v>5745.8654407294835</v>
      </c>
      <c r="AG335" s="222">
        <v>0</v>
      </c>
      <c r="AH335" s="221">
        <v>0</v>
      </c>
      <c r="AI335" s="222">
        <v>0</v>
      </c>
      <c r="AJ335" s="221">
        <v>0</v>
      </c>
      <c r="AK335" s="222">
        <v>0</v>
      </c>
      <c r="AL335" s="222">
        <v>0</v>
      </c>
      <c r="AM335" s="222">
        <v>0</v>
      </c>
      <c r="AN335" s="222"/>
      <c r="AO335" s="222">
        <v>0</v>
      </c>
    </row>
    <row r="336" spans="1:41" s="223" customFormat="1" ht="36" customHeight="1" x14ac:dyDescent="0.25">
      <c r="B336" s="215" t="s">
        <v>825</v>
      </c>
      <c r="C336" s="215"/>
      <c r="D336" s="217" t="s">
        <v>890</v>
      </c>
      <c r="E336" s="217" t="s">
        <v>890</v>
      </c>
      <c r="F336" s="217" t="s">
        <v>890</v>
      </c>
      <c r="G336" s="217" t="s">
        <v>890</v>
      </c>
      <c r="H336" s="217" t="s">
        <v>890</v>
      </c>
      <c r="I336" s="218">
        <f>SUM(I337:I340)</f>
        <v>1395.0000000000002</v>
      </c>
      <c r="J336" s="218">
        <f>SUM(J337:J340)</f>
        <v>1153.6999999999998</v>
      </c>
      <c r="K336" s="218">
        <f>SUM(K337:K340)</f>
        <v>1153.6999999999998</v>
      </c>
      <c r="L336" s="219">
        <f>SUM(L337:L340)</f>
        <v>56</v>
      </c>
      <c r="M336" s="217" t="s">
        <v>890</v>
      </c>
      <c r="N336" s="217" t="s">
        <v>890</v>
      </c>
      <c r="O336" s="220" t="s">
        <v>890</v>
      </c>
      <c r="P336" s="218">
        <v>2221160.0099999998</v>
      </c>
      <c r="Q336" s="218">
        <f>SUM(Q337:Q340)</f>
        <v>0</v>
      </c>
      <c r="R336" s="218">
        <f>SUM(R337:R340)</f>
        <v>0</v>
      </c>
      <c r="S336" s="218">
        <f>SUM(S337:S340)</f>
        <v>2221160.0099999998</v>
      </c>
      <c r="T336" s="190">
        <f t="shared" si="35"/>
        <v>1592.229397849462</v>
      </c>
      <c r="U336" s="190">
        <f>MAX(U337:U340)</f>
        <v>5801.2656816156814</v>
      </c>
      <c r="V336" s="221">
        <f t="shared" si="29"/>
        <v>4209.0362837662196</v>
      </c>
      <c r="W336" s="221"/>
      <c r="X336" s="221"/>
      <c r="Y336" s="222"/>
      <c r="Z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</row>
    <row r="337" spans="1:41" s="223" customFormat="1" ht="36" customHeight="1" x14ac:dyDescent="0.25">
      <c r="A337" s="223">
        <v>1</v>
      </c>
      <c r="B337" s="225">
        <f>SUBTOTAL(103,$A$16:A337)</f>
        <v>306</v>
      </c>
      <c r="C337" s="215" t="s">
        <v>246</v>
      </c>
      <c r="D337" s="217">
        <v>1955</v>
      </c>
      <c r="E337" s="217"/>
      <c r="F337" s="226" t="s">
        <v>330</v>
      </c>
      <c r="G337" s="217">
        <v>2</v>
      </c>
      <c r="H337" s="217" t="s">
        <v>303</v>
      </c>
      <c r="I337" s="190">
        <v>374.6</v>
      </c>
      <c r="J337" s="190">
        <v>343.4</v>
      </c>
      <c r="K337" s="190">
        <v>343.4</v>
      </c>
      <c r="L337" s="219">
        <v>9</v>
      </c>
      <c r="M337" s="217" t="s">
        <v>265</v>
      </c>
      <c r="N337" s="217" t="s">
        <v>266</v>
      </c>
      <c r="O337" s="220" t="s">
        <v>268</v>
      </c>
      <c r="P337" s="190">
        <v>9547.9500000000007</v>
      </c>
      <c r="Q337" s="190">
        <v>0</v>
      </c>
      <c r="R337" s="190">
        <v>0</v>
      </c>
      <c r="S337" s="190">
        <f>P337-Q337-R337</f>
        <v>9547.9500000000007</v>
      </c>
      <c r="T337" s="190">
        <f t="shared" si="35"/>
        <v>25.488387613454353</v>
      </c>
      <c r="U337" s="190">
        <v>25.488387613454353</v>
      </c>
      <c r="V337" s="221">
        <f t="shared" ref="V337:V399" si="37">U337-T337</f>
        <v>0</v>
      </c>
      <c r="W337" s="221">
        <f>T337</f>
        <v>25.488387613454353</v>
      </c>
      <c r="X337" s="221">
        <v>0</v>
      </c>
      <c r="Y337" s="222">
        <v>0</v>
      </c>
      <c r="Z337" s="222">
        <v>0</v>
      </c>
      <c r="AA337" s="222">
        <v>0</v>
      </c>
      <c r="AB337" s="222">
        <v>0</v>
      </c>
      <c r="AC337" s="222">
        <v>0</v>
      </c>
      <c r="AD337" s="222">
        <v>0</v>
      </c>
      <c r="AE337" s="222">
        <v>0</v>
      </c>
      <c r="AF337" s="221">
        <v>0</v>
      </c>
      <c r="AG337" s="222">
        <v>0</v>
      </c>
      <c r="AH337" s="221">
        <v>0</v>
      </c>
      <c r="AI337" s="222">
        <v>0</v>
      </c>
      <c r="AJ337" s="221">
        <v>0</v>
      </c>
      <c r="AK337" s="222">
        <v>0</v>
      </c>
      <c r="AL337" s="222">
        <v>0</v>
      </c>
      <c r="AM337" s="222">
        <v>0</v>
      </c>
      <c r="AN337" s="222"/>
      <c r="AO337" s="222">
        <v>0</v>
      </c>
    </row>
    <row r="338" spans="1:41" s="223" customFormat="1" ht="36" customHeight="1" x14ac:dyDescent="0.25">
      <c r="A338" s="223">
        <v>1</v>
      </c>
      <c r="B338" s="225">
        <f>SUBTOTAL(103,$A$16:A338)</f>
        <v>307</v>
      </c>
      <c r="C338" s="215" t="s">
        <v>244</v>
      </c>
      <c r="D338" s="217">
        <v>1969</v>
      </c>
      <c r="E338" s="217"/>
      <c r="F338" s="226" t="s">
        <v>267</v>
      </c>
      <c r="G338" s="217">
        <v>2</v>
      </c>
      <c r="H338" s="217" t="s">
        <v>304</v>
      </c>
      <c r="I338" s="190">
        <v>384.6</v>
      </c>
      <c r="J338" s="190">
        <v>229.2</v>
      </c>
      <c r="K338" s="190">
        <v>229.2</v>
      </c>
      <c r="L338" s="219">
        <v>18</v>
      </c>
      <c r="M338" s="217" t="s">
        <v>265</v>
      </c>
      <c r="N338" s="217" t="s">
        <v>266</v>
      </c>
      <c r="O338" s="220" t="s">
        <v>268</v>
      </c>
      <c r="P338" s="190">
        <v>53163.29</v>
      </c>
      <c r="Q338" s="190">
        <v>0</v>
      </c>
      <c r="R338" s="190">
        <v>0</v>
      </c>
      <c r="S338" s="190">
        <f>P338-Q338-R338</f>
        <v>53163.29</v>
      </c>
      <c r="T338" s="190">
        <f t="shared" si="35"/>
        <v>138.23008320332812</v>
      </c>
      <c r="U338" s="190">
        <v>138.23008320332812</v>
      </c>
      <c r="V338" s="221">
        <f t="shared" si="37"/>
        <v>0</v>
      </c>
      <c r="W338" s="221">
        <f>X338+Y338+Z338+AA338+AB338+AD338+AF338+AH338+AJ338+AL338+AN338+AO338</f>
        <v>8304.1020072802912</v>
      </c>
      <c r="X338" s="221">
        <v>0</v>
      </c>
      <c r="Y338" s="222">
        <v>0</v>
      </c>
      <c r="Z338" s="222">
        <v>0</v>
      </c>
      <c r="AA338" s="222">
        <v>0</v>
      </c>
      <c r="AB338" s="222">
        <v>0</v>
      </c>
      <c r="AC338" s="222">
        <v>0</v>
      </c>
      <c r="AD338" s="222">
        <v>0</v>
      </c>
      <c r="AE338" s="222">
        <v>0</v>
      </c>
      <c r="AF338" s="221">
        <v>0</v>
      </c>
      <c r="AG338" s="222">
        <v>0</v>
      </c>
      <c r="AH338" s="221">
        <v>0</v>
      </c>
      <c r="AI338" s="222">
        <v>0</v>
      </c>
      <c r="AJ338" s="221">
        <v>0</v>
      </c>
      <c r="AK338" s="222">
        <v>41.6</v>
      </c>
      <c r="AL338" s="221">
        <f>76773.02*AK338/I338</f>
        <v>8304.1020072802912</v>
      </c>
      <c r="AM338" s="222">
        <v>0</v>
      </c>
      <c r="AN338" s="222"/>
      <c r="AO338" s="222">
        <v>0</v>
      </c>
    </row>
    <row r="339" spans="1:41" s="223" customFormat="1" ht="36" customHeight="1" x14ac:dyDescent="0.25">
      <c r="A339" s="223">
        <v>1</v>
      </c>
      <c r="B339" s="225">
        <f>SUBTOTAL(103,$A$16:A339)</f>
        <v>308</v>
      </c>
      <c r="C339" s="215" t="s">
        <v>1530</v>
      </c>
      <c r="D339" s="217">
        <v>1960</v>
      </c>
      <c r="E339" s="217"/>
      <c r="F339" s="226" t="s">
        <v>267</v>
      </c>
      <c r="G339" s="217">
        <v>2</v>
      </c>
      <c r="H339" s="217" t="s">
        <v>304</v>
      </c>
      <c r="I339" s="190">
        <v>299.10000000000002</v>
      </c>
      <c r="J339" s="190">
        <v>244.4</v>
      </c>
      <c r="K339" s="190">
        <v>244.4</v>
      </c>
      <c r="L339" s="219">
        <v>16</v>
      </c>
      <c r="M339" s="217" t="s">
        <v>265</v>
      </c>
      <c r="N339" s="217" t="s">
        <v>266</v>
      </c>
      <c r="O339" s="220" t="s">
        <v>268</v>
      </c>
      <c r="P339" s="190">
        <v>944539.29999999993</v>
      </c>
      <c r="Q339" s="190">
        <v>0</v>
      </c>
      <c r="R339" s="190">
        <v>0</v>
      </c>
      <c r="S339" s="190">
        <f>P339-Q339-R339</f>
        <v>944539.29999999993</v>
      </c>
      <c r="T339" s="190">
        <f t="shared" si="35"/>
        <v>3157.9381477766628</v>
      </c>
      <c r="U339" s="190">
        <v>5651.7557739886324</v>
      </c>
      <c r="V339" s="221">
        <f t="shared" si="37"/>
        <v>2493.8176262119696</v>
      </c>
      <c r="W339" s="221">
        <f>X339+Y339+Z339+AA339+AB339+AD339+AF339+AH339+AJ339+AL339+AN339+AO339</f>
        <v>9180.1130391173538</v>
      </c>
      <c r="X339" s="221">
        <v>0</v>
      </c>
      <c r="Y339" s="222">
        <v>0</v>
      </c>
      <c r="Z339" s="222">
        <v>0</v>
      </c>
      <c r="AA339" s="222">
        <v>0</v>
      </c>
      <c r="AB339" s="222">
        <v>0</v>
      </c>
      <c r="AC339" s="222">
        <v>0</v>
      </c>
      <c r="AD339" s="222">
        <v>0</v>
      </c>
      <c r="AE339" s="222">
        <v>0</v>
      </c>
      <c r="AF339" s="221">
        <v>0</v>
      </c>
      <c r="AG339" s="222">
        <v>0</v>
      </c>
      <c r="AH339" s="221">
        <v>0</v>
      </c>
      <c r="AI339" s="222">
        <v>369.1</v>
      </c>
      <c r="AJ339" s="221">
        <f>7439.1*AI339/I339</f>
        <v>9180.1130391173538</v>
      </c>
      <c r="AK339" s="222">
        <v>0</v>
      </c>
      <c r="AL339" s="222">
        <v>0</v>
      </c>
      <c r="AM339" s="222">
        <v>0</v>
      </c>
      <c r="AN339" s="222"/>
      <c r="AO339" s="222">
        <v>0</v>
      </c>
    </row>
    <row r="340" spans="1:41" s="223" customFormat="1" ht="36" customHeight="1" x14ac:dyDescent="0.25">
      <c r="A340" s="223">
        <v>1</v>
      </c>
      <c r="B340" s="225">
        <f>SUBTOTAL(103,$A$16:A340)</f>
        <v>309</v>
      </c>
      <c r="C340" s="215" t="s">
        <v>1531</v>
      </c>
      <c r="D340" s="217">
        <v>1962</v>
      </c>
      <c r="E340" s="217"/>
      <c r="F340" s="226" t="s">
        <v>267</v>
      </c>
      <c r="G340" s="217">
        <v>2</v>
      </c>
      <c r="H340" s="217" t="s">
        <v>304</v>
      </c>
      <c r="I340" s="190">
        <v>336.7</v>
      </c>
      <c r="J340" s="190">
        <v>336.7</v>
      </c>
      <c r="K340" s="190">
        <v>336.7</v>
      </c>
      <c r="L340" s="219">
        <v>13</v>
      </c>
      <c r="M340" s="217" t="s">
        <v>265</v>
      </c>
      <c r="N340" s="217" t="s">
        <v>341</v>
      </c>
      <c r="O340" s="220" t="s">
        <v>1575</v>
      </c>
      <c r="P340" s="190">
        <v>1213909.47</v>
      </c>
      <c r="Q340" s="190">
        <v>0</v>
      </c>
      <c r="R340" s="190">
        <v>0</v>
      </c>
      <c r="S340" s="190">
        <f>P340-R340-Q340</f>
        <v>1213909.47</v>
      </c>
      <c r="T340" s="190">
        <f t="shared" si="35"/>
        <v>3605.3147312147312</v>
      </c>
      <c r="U340" s="190">
        <v>5801.2656816156814</v>
      </c>
      <c r="V340" s="221">
        <f t="shared" si="37"/>
        <v>2195.9509504009502</v>
      </c>
      <c r="W340" s="221">
        <f>X340+Y340+Z340+AA340+AB340+AD340+AF340+AH340+AJ340+AL340+AN340+AO340</f>
        <v>4813.2440201960198</v>
      </c>
      <c r="X340" s="221">
        <v>0</v>
      </c>
      <c r="Y340" s="222">
        <v>0</v>
      </c>
      <c r="Z340" s="222">
        <v>0</v>
      </c>
      <c r="AA340" s="222">
        <v>0</v>
      </c>
      <c r="AB340" s="222">
        <v>0</v>
      </c>
      <c r="AC340" s="222">
        <v>0</v>
      </c>
      <c r="AD340" s="222">
        <v>0</v>
      </c>
      <c r="AE340" s="222">
        <v>259.76</v>
      </c>
      <c r="AF340" s="221">
        <f>6238.91*AE340/I340</f>
        <v>4813.2440201960198</v>
      </c>
      <c r="AG340" s="222">
        <v>0</v>
      </c>
      <c r="AH340" s="221">
        <v>0</v>
      </c>
      <c r="AI340" s="222">
        <v>0</v>
      </c>
      <c r="AJ340" s="221">
        <v>0</v>
      </c>
      <c r="AK340" s="222">
        <v>0</v>
      </c>
      <c r="AL340" s="222">
        <v>0</v>
      </c>
      <c r="AM340" s="222">
        <v>0</v>
      </c>
      <c r="AN340" s="222"/>
      <c r="AO340" s="222">
        <v>0</v>
      </c>
    </row>
    <row r="341" spans="1:41" s="223" customFormat="1" ht="36" customHeight="1" x14ac:dyDescent="0.25">
      <c r="B341" s="215" t="s">
        <v>826</v>
      </c>
      <c r="C341" s="215"/>
      <c r="D341" s="217" t="s">
        <v>890</v>
      </c>
      <c r="E341" s="217" t="s">
        <v>890</v>
      </c>
      <c r="F341" s="217" t="s">
        <v>890</v>
      </c>
      <c r="G341" s="217" t="s">
        <v>890</v>
      </c>
      <c r="H341" s="217" t="s">
        <v>890</v>
      </c>
      <c r="I341" s="218">
        <f>SUM(I342:I343)</f>
        <v>1222.4000000000001</v>
      </c>
      <c r="J341" s="218">
        <f>SUM(J342:J343)</f>
        <v>1166.8</v>
      </c>
      <c r="K341" s="218">
        <f>SUM(K342:K343)</f>
        <v>1166.8</v>
      </c>
      <c r="L341" s="219">
        <f>SUM(L342:L343)</f>
        <v>44</v>
      </c>
      <c r="M341" s="217" t="s">
        <v>890</v>
      </c>
      <c r="N341" s="217" t="s">
        <v>890</v>
      </c>
      <c r="O341" s="220" t="s">
        <v>890</v>
      </c>
      <c r="P341" s="190">
        <v>4069083.7199999997</v>
      </c>
      <c r="Q341" s="190">
        <f>SUM(Q342:Q343)</f>
        <v>0</v>
      </c>
      <c r="R341" s="190">
        <f>SUM(R342:R343)</f>
        <v>0</v>
      </c>
      <c r="S341" s="190">
        <f>SUM(S342:S343)</f>
        <v>4069083.7199999997</v>
      </c>
      <c r="T341" s="190">
        <f t="shared" si="35"/>
        <v>3328.7661321989526</v>
      </c>
      <c r="U341" s="190">
        <f>MAX(U342:U343)</f>
        <v>8265.9378727897856</v>
      </c>
      <c r="V341" s="221">
        <f t="shared" si="37"/>
        <v>4937.171740590833</v>
      </c>
      <c r="W341" s="221"/>
      <c r="X341" s="221"/>
      <c r="Y341" s="222"/>
      <c r="Z341" s="222"/>
      <c r="AA341" s="222"/>
      <c r="AB341" s="222"/>
      <c r="AC341" s="222"/>
      <c r="AD341" s="222"/>
      <c r="AE341" s="222"/>
      <c r="AF341" s="222"/>
      <c r="AG341" s="222"/>
      <c r="AH341" s="222"/>
      <c r="AI341" s="222"/>
      <c r="AJ341" s="222"/>
      <c r="AK341" s="222"/>
      <c r="AL341" s="222"/>
      <c r="AM341" s="222"/>
      <c r="AN341" s="222"/>
      <c r="AO341" s="222"/>
    </row>
    <row r="342" spans="1:41" s="223" customFormat="1" ht="36" customHeight="1" x14ac:dyDescent="0.25">
      <c r="A342" s="223">
        <v>1</v>
      </c>
      <c r="B342" s="225">
        <f>SUBTOTAL(103,$A$16:A342)</f>
        <v>310</v>
      </c>
      <c r="C342" s="215" t="s">
        <v>241</v>
      </c>
      <c r="D342" s="217">
        <v>1984</v>
      </c>
      <c r="E342" s="217"/>
      <c r="F342" s="226" t="s">
        <v>311</v>
      </c>
      <c r="G342" s="217">
        <v>2</v>
      </c>
      <c r="H342" s="217" t="s">
        <v>303</v>
      </c>
      <c r="I342" s="190">
        <v>611.6</v>
      </c>
      <c r="J342" s="190">
        <v>556</v>
      </c>
      <c r="K342" s="190">
        <v>556</v>
      </c>
      <c r="L342" s="219">
        <v>22</v>
      </c>
      <c r="M342" s="217" t="s">
        <v>265</v>
      </c>
      <c r="N342" s="217" t="s">
        <v>266</v>
      </c>
      <c r="O342" s="220" t="s">
        <v>268</v>
      </c>
      <c r="P342" s="190">
        <v>1936809.91</v>
      </c>
      <c r="Q342" s="190">
        <v>0</v>
      </c>
      <c r="R342" s="190">
        <v>0</v>
      </c>
      <c r="S342" s="190">
        <f>P342-Q342-R342</f>
        <v>1936809.91</v>
      </c>
      <c r="T342" s="190">
        <f t="shared" si="35"/>
        <v>3166.7918737737082</v>
      </c>
      <c r="U342" s="190">
        <v>8260.1011618705033</v>
      </c>
      <c r="V342" s="221">
        <f t="shared" si="37"/>
        <v>5093.3092880967952</v>
      </c>
      <c r="W342" s="221">
        <f>X342+Y342+Z342+AA342+AB342+AD342+AF342+AH342+AJ342+AL342+AN342+AO342</f>
        <v>6258.9281654676261</v>
      </c>
      <c r="X342" s="221">
        <v>0</v>
      </c>
      <c r="Y342" s="222">
        <v>0</v>
      </c>
      <c r="Z342" s="222">
        <v>0</v>
      </c>
      <c r="AA342" s="222">
        <v>0</v>
      </c>
      <c r="AB342" s="222">
        <v>0</v>
      </c>
      <c r="AC342" s="222">
        <v>0</v>
      </c>
      <c r="AD342" s="222">
        <v>0</v>
      </c>
      <c r="AE342" s="222">
        <v>0</v>
      </c>
      <c r="AF342" s="221">
        <v>0</v>
      </c>
      <c r="AG342" s="222">
        <v>0</v>
      </c>
      <c r="AH342" s="221">
        <v>0</v>
      </c>
      <c r="AI342" s="222">
        <v>490.6</v>
      </c>
      <c r="AJ342" s="221">
        <f>7802.61*AI342/I342</f>
        <v>6258.9281654676261</v>
      </c>
      <c r="AK342" s="222">
        <v>0</v>
      </c>
      <c r="AL342" s="222">
        <v>0</v>
      </c>
      <c r="AM342" s="222">
        <v>0</v>
      </c>
      <c r="AN342" s="222"/>
      <c r="AO342" s="222">
        <v>0</v>
      </c>
    </row>
    <row r="343" spans="1:41" s="223" customFormat="1" ht="36" customHeight="1" x14ac:dyDescent="0.25">
      <c r="A343" s="223">
        <v>1</v>
      </c>
      <c r="B343" s="225">
        <f>SUBTOTAL(103,$A$16:A343)</f>
        <v>311</v>
      </c>
      <c r="C343" s="215" t="s">
        <v>1215</v>
      </c>
      <c r="D343" s="217">
        <v>1984</v>
      </c>
      <c r="E343" s="217"/>
      <c r="F343" s="226" t="s">
        <v>318</v>
      </c>
      <c r="G343" s="217">
        <v>2</v>
      </c>
      <c r="H343" s="217" t="s">
        <v>303</v>
      </c>
      <c r="I343" s="190">
        <v>610.79999999999995</v>
      </c>
      <c r="J343" s="190">
        <v>610.79999999999995</v>
      </c>
      <c r="K343" s="190">
        <v>610.79999999999995</v>
      </c>
      <c r="L343" s="219">
        <v>22</v>
      </c>
      <c r="M343" s="217" t="s">
        <v>265</v>
      </c>
      <c r="N343" s="217" t="s">
        <v>266</v>
      </c>
      <c r="O343" s="220" t="s">
        <v>268</v>
      </c>
      <c r="P343" s="190">
        <v>2132273.81</v>
      </c>
      <c r="Q343" s="190">
        <v>0</v>
      </c>
      <c r="R343" s="190">
        <v>0</v>
      </c>
      <c r="S343" s="190">
        <f>P343-Q343-R343</f>
        <v>2132273.81</v>
      </c>
      <c r="T343" s="190">
        <f t="shared" si="35"/>
        <v>3490.9525376555339</v>
      </c>
      <c r="U343" s="190">
        <v>8265.9378727897856</v>
      </c>
      <c r="V343" s="221">
        <f t="shared" si="37"/>
        <v>4774.9853351342517</v>
      </c>
      <c r="W343" s="221">
        <f>X343+Y343+Z343+AA343+AB343+AD343+AF343+AH343+AJ343+AL343+AN343+AO343</f>
        <v>8407.3505982318275</v>
      </c>
      <c r="X343" s="221">
        <v>0</v>
      </c>
      <c r="Y343" s="222">
        <v>0</v>
      </c>
      <c r="Z343" s="222">
        <v>0</v>
      </c>
      <c r="AA343" s="222">
        <v>0</v>
      </c>
      <c r="AB343" s="222">
        <v>0</v>
      </c>
      <c r="AC343" s="222">
        <v>0</v>
      </c>
      <c r="AD343" s="222">
        <v>0</v>
      </c>
      <c r="AE343" s="222">
        <v>0</v>
      </c>
      <c r="AF343" s="221">
        <v>0</v>
      </c>
      <c r="AG343" s="222">
        <v>0</v>
      </c>
      <c r="AH343" s="221">
        <v>0</v>
      </c>
      <c r="AI343" s="222">
        <v>658.14</v>
      </c>
      <c r="AJ343" s="221">
        <f>7802.61*AI343/I343</f>
        <v>8407.3505982318275</v>
      </c>
      <c r="AK343" s="222">
        <v>0</v>
      </c>
      <c r="AL343" s="222">
        <v>0</v>
      </c>
      <c r="AM343" s="222">
        <v>0</v>
      </c>
      <c r="AN343" s="222"/>
      <c r="AO343" s="222">
        <v>0</v>
      </c>
    </row>
    <row r="344" spans="1:41" s="223" customFormat="1" ht="36" customHeight="1" x14ac:dyDescent="0.25">
      <c r="B344" s="215" t="s">
        <v>827</v>
      </c>
      <c r="C344" s="229"/>
      <c r="D344" s="217" t="s">
        <v>890</v>
      </c>
      <c r="E344" s="217" t="s">
        <v>890</v>
      </c>
      <c r="F344" s="217" t="s">
        <v>890</v>
      </c>
      <c r="G344" s="217" t="s">
        <v>890</v>
      </c>
      <c r="H344" s="217" t="s">
        <v>890</v>
      </c>
      <c r="I344" s="218">
        <f>SUM(I345:I346)</f>
        <v>1746.5</v>
      </c>
      <c r="J344" s="218">
        <f>SUM(J345:J346)</f>
        <v>1598.5</v>
      </c>
      <c r="K344" s="218">
        <f>SUM(K345:K346)</f>
        <v>1598.5</v>
      </c>
      <c r="L344" s="219">
        <f>SUM(L345:L346)</f>
        <v>78</v>
      </c>
      <c r="M344" s="217" t="s">
        <v>890</v>
      </c>
      <c r="N344" s="217" t="s">
        <v>890</v>
      </c>
      <c r="O344" s="220" t="s">
        <v>890</v>
      </c>
      <c r="P344" s="190">
        <v>5178138.5</v>
      </c>
      <c r="Q344" s="190">
        <f>SUM(Q345:Q346)</f>
        <v>0</v>
      </c>
      <c r="R344" s="190">
        <f>SUM(R345:R346)</f>
        <v>0</v>
      </c>
      <c r="S344" s="190">
        <f>SUM(S345:S346)</f>
        <v>5178138.5</v>
      </c>
      <c r="T344" s="190">
        <f t="shared" si="35"/>
        <v>2964.8660177497854</v>
      </c>
      <c r="U344" s="190">
        <f>MAX(U345:U346)</f>
        <v>5058.4257626762037</v>
      </c>
      <c r="V344" s="221">
        <f t="shared" si="37"/>
        <v>2093.5597449264183</v>
      </c>
      <c r="W344" s="221"/>
      <c r="X344" s="221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</row>
    <row r="345" spans="1:41" s="223" customFormat="1" ht="36" customHeight="1" x14ac:dyDescent="0.25">
      <c r="A345" s="223">
        <v>1</v>
      </c>
      <c r="B345" s="225">
        <f>SUBTOTAL(103,$A$16:A345)</f>
        <v>312</v>
      </c>
      <c r="C345" s="230" t="s">
        <v>0</v>
      </c>
      <c r="D345" s="217">
        <v>1975</v>
      </c>
      <c r="E345" s="217"/>
      <c r="F345" s="226" t="s">
        <v>267</v>
      </c>
      <c r="G345" s="217">
        <v>2</v>
      </c>
      <c r="H345" s="217" t="s">
        <v>303</v>
      </c>
      <c r="I345" s="190">
        <v>795.9</v>
      </c>
      <c r="J345" s="190">
        <v>735.5</v>
      </c>
      <c r="K345" s="190">
        <v>735.5</v>
      </c>
      <c r="L345" s="219">
        <v>42</v>
      </c>
      <c r="M345" s="217" t="s">
        <v>265</v>
      </c>
      <c r="N345" s="217" t="s">
        <v>266</v>
      </c>
      <c r="O345" s="220" t="s">
        <v>268</v>
      </c>
      <c r="P345" s="190">
        <v>2834457.48</v>
      </c>
      <c r="Q345" s="190">
        <v>0</v>
      </c>
      <c r="R345" s="190">
        <v>0</v>
      </c>
      <c r="S345" s="190">
        <f>P345-Q345-R345</f>
        <v>2834457.48</v>
      </c>
      <c r="T345" s="190">
        <f t="shared" si="35"/>
        <v>3561.3236336223144</v>
      </c>
      <c r="U345" s="190">
        <v>5053.9130167106423</v>
      </c>
      <c r="V345" s="221">
        <f t="shared" si="37"/>
        <v>1492.5893830883278</v>
      </c>
      <c r="W345" s="221">
        <f>X345+Y345+Z345+AA345+AB345+AD345+AF345+AH345+AJ345+AL345+AN345+AO345</f>
        <v>4845.1693315743187</v>
      </c>
      <c r="X345" s="221">
        <v>0</v>
      </c>
      <c r="Y345" s="222">
        <v>0</v>
      </c>
      <c r="Z345" s="222">
        <v>0</v>
      </c>
      <c r="AA345" s="222">
        <v>0</v>
      </c>
      <c r="AB345" s="222">
        <v>0</v>
      </c>
      <c r="AC345" s="222">
        <v>0</v>
      </c>
      <c r="AD345" s="222">
        <v>0</v>
      </c>
      <c r="AE345" s="222">
        <v>618.1</v>
      </c>
      <c r="AF345" s="221">
        <f>6238.91*AE345/I345</f>
        <v>4845.1693315743187</v>
      </c>
      <c r="AG345" s="222">
        <v>0</v>
      </c>
      <c r="AH345" s="221">
        <v>0</v>
      </c>
      <c r="AI345" s="222">
        <v>0</v>
      </c>
      <c r="AJ345" s="221">
        <v>0</v>
      </c>
      <c r="AK345" s="222">
        <v>0</v>
      </c>
      <c r="AL345" s="222">
        <v>0</v>
      </c>
      <c r="AM345" s="222">
        <v>0</v>
      </c>
      <c r="AN345" s="222"/>
      <c r="AO345" s="222">
        <v>0</v>
      </c>
    </row>
    <row r="346" spans="1:41" s="223" customFormat="1" ht="36" customHeight="1" x14ac:dyDescent="0.25">
      <c r="A346" s="223">
        <v>1</v>
      </c>
      <c r="B346" s="225">
        <f>SUBTOTAL(103,$A$16:A346)</f>
        <v>313</v>
      </c>
      <c r="C346" s="215" t="s">
        <v>5</v>
      </c>
      <c r="D346" s="217">
        <v>1979</v>
      </c>
      <c r="E346" s="217"/>
      <c r="F346" s="226" t="s">
        <v>267</v>
      </c>
      <c r="G346" s="217">
        <v>2</v>
      </c>
      <c r="H346" s="217" t="s">
        <v>312</v>
      </c>
      <c r="I346" s="190">
        <v>950.6</v>
      </c>
      <c r="J346" s="190">
        <v>863</v>
      </c>
      <c r="K346" s="190">
        <v>863</v>
      </c>
      <c r="L346" s="219">
        <v>36</v>
      </c>
      <c r="M346" s="217" t="s">
        <v>265</v>
      </c>
      <c r="N346" s="217" t="s">
        <v>266</v>
      </c>
      <c r="O346" s="220" t="s">
        <v>268</v>
      </c>
      <c r="P346" s="190">
        <v>2343681.02</v>
      </c>
      <c r="Q346" s="190">
        <v>0</v>
      </c>
      <c r="R346" s="190">
        <v>0</v>
      </c>
      <c r="S346" s="190">
        <f>P346-Q346-R346</f>
        <v>2343681.02</v>
      </c>
      <c r="T346" s="190">
        <f t="shared" si="35"/>
        <v>2465.4755102040817</v>
      </c>
      <c r="U346" s="190">
        <v>5058.4257626762037</v>
      </c>
      <c r="V346" s="221">
        <f t="shared" si="37"/>
        <v>2592.950252472122</v>
      </c>
      <c r="W346" s="221">
        <f>T346</f>
        <v>2465.4755102040817</v>
      </c>
      <c r="X346" s="221">
        <v>0</v>
      </c>
      <c r="Y346" s="222">
        <v>0</v>
      </c>
      <c r="Z346" s="222">
        <v>0</v>
      </c>
      <c r="AA346" s="222">
        <v>0</v>
      </c>
      <c r="AB346" s="222">
        <v>0</v>
      </c>
      <c r="AC346" s="222">
        <v>0</v>
      </c>
      <c r="AD346" s="222">
        <v>0</v>
      </c>
      <c r="AE346" s="222">
        <v>722.14</v>
      </c>
      <c r="AF346" s="221">
        <f>6436.53*AE346/I346</f>
        <v>4889.6231582158634</v>
      </c>
      <c r="AG346" s="222">
        <v>0</v>
      </c>
      <c r="AH346" s="221">
        <v>0</v>
      </c>
      <c r="AI346" s="222">
        <v>0</v>
      </c>
      <c r="AJ346" s="221">
        <v>0</v>
      </c>
      <c r="AK346" s="222">
        <v>0</v>
      </c>
      <c r="AL346" s="222">
        <v>0</v>
      </c>
      <c r="AM346" s="222">
        <v>0</v>
      </c>
      <c r="AN346" s="222"/>
      <c r="AO346" s="222">
        <v>0</v>
      </c>
    </row>
    <row r="347" spans="1:41" s="223" customFormat="1" ht="36" customHeight="1" x14ac:dyDescent="0.25">
      <c r="B347" s="215" t="s">
        <v>828</v>
      </c>
      <c r="C347" s="227"/>
      <c r="D347" s="217" t="s">
        <v>890</v>
      </c>
      <c r="E347" s="217" t="s">
        <v>890</v>
      </c>
      <c r="F347" s="217" t="s">
        <v>890</v>
      </c>
      <c r="G347" s="217" t="s">
        <v>890</v>
      </c>
      <c r="H347" s="217" t="s">
        <v>890</v>
      </c>
      <c r="I347" s="218">
        <f>SUM(I348:I350)</f>
        <v>5843.6</v>
      </c>
      <c r="J347" s="218">
        <f>SUM(J348:J350)</f>
        <v>5341</v>
      </c>
      <c r="K347" s="218">
        <f>SUM(K348:K350)</f>
        <v>4976.3</v>
      </c>
      <c r="L347" s="219">
        <f>SUM(L348:L350)</f>
        <v>224</v>
      </c>
      <c r="M347" s="217" t="s">
        <v>890</v>
      </c>
      <c r="N347" s="217" t="s">
        <v>890</v>
      </c>
      <c r="O347" s="220" t="s">
        <v>890</v>
      </c>
      <c r="P347" s="218">
        <v>8426851.959999999</v>
      </c>
      <c r="Q347" s="218">
        <f>SUM(Q348:Q350)</f>
        <v>0</v>
      </c>
      <c r="R347" s="218">
        <f>SUM(R348:R350)</f>
        <v>0</v>
      </c>
      <c r="S347" s="218">
        <f>SUM(S348:S350)</f>
        <v>8426851.959999999</v>
      </c>
      <c r="T347" s="190">
        <f t="shared" si="35"/>
        <v>1442.0651584639604</v>
      </c>
      <c r="U347" s="190">
        <f>MAX(U348:U350)</f>
        <v>5858.3697566371675</v>
      </c>
      <c r="V347" s="221">
        <f t="shared" si="37"/>
        <v>4416.3045981732066</v>
      </c>
      <c r="W347" s="221"/>
      <c r="X347" s="221"/>
      <c r="Y347" s="222"/>
      <c r="Z347" s="222"/>
      <c r="AA347" s="222"/>
      <c r="AB347" s="222"/>
      <c r="AC347" s="222"/>
      <c r="AD347" s="222"/>
      <c r="AE347" s="222"/>
      <c r="AF347" s="222"/>
      <c r="AG347" s="222"/>
      <c r="AH347" s="222"/>
      <c r="AI347" s="222"/>
      <c r="AJ347" s="222"/>
      <c r="AK347" s="222"/>
      <c r="AL347" s="222"/>
      <c r="AM347" s="222"/>
      <c r="AN347" s="222"/>
      <c r="AO347" s="222"/>
    </row>
    <row r="348" spans="1:41" s="223" customFormat="1" ht="36" customHeight="1" x14ac:dyDescent="0.25">
      <c r="A348" s="223">
        <v>1</v>
      </c>
      <c r="B348" s="225">
        <f>SUBTOTAL(103,$A$16:A348)</f>
        <v>314</v>
      </c>
      <c r="C348" s="215" t="s">
        <v>692</v>
      </c>
      <c r="D348" s="217">
        <v>1928</v>
      </c>
      <c r="E348" s="217"/>
      <c r="F348" s="226" t="s">
        <v>330</v>
      </c>
      <c r="G348" s="217" t="s">
        <v>303</v>
      </c>
      <c r="H348" s="217" t="s">
        <v>304</v>
      </c>
      <c r="I348" s="190">
        <v>253.1</v>
      </c>
      <c r="J348" s="190">
        <v>231.8</v>
      </c>
      <c r="K348" s="190">
        <v>231.8</v>
      </c>
      <c r="L348" s="219">
        <v>14</v>
      </c>
      <c r="M348" s="217" t="s">
        <v>265</v>
      </c>
      <c r="N348" s="217" t="s">
        <v>269</v>
      </c>
      <c r="O348" s="220" t="s">
        <v>725</v>
      </c>
      <c r="P348" s="190">
        <v>51949.1</v>
      </c>
      <c r="Q348" s="190">
        <v>0</v>
      </c>
      <c r="R348" s="190">
        <v>0</v>
      </c>
      <c r="S348" s="190">
        <f>P348-Q348-R348</f>
        <v>51949.1</v>
      </c>
      <c r="T348" s="190">
        <f t="shared" si="35"/>
        <v>205.25128407743975</v>
      </c>
      <c r="U348" s="190">
        <v>205.25128407743975</v>
      </c>
      <c r="V348" s="221">
        <f t="shared" si="37"/>
        <v>0</v>
      </c>
      <c r="W348" s="221">
        <f>T348</f>
        <v>205.25128407743975</v>
      </c>
      <c r="X348" s="221">
        <v>0</v>
      </c>
      <c r="Y348" s="222">
        <v>0</v>
      </c>
      <c r="Z348" s="222">
        <v>0</v>
      </c>
      <c r="AA348" s="222">
        <v>0</v>
      </c>
      <c r="AB348" s="222">
        <v>0</v>
      </c>
      <c r="AC348" s="222">
        <v>0</v>
      </c>
      <c r="AD348" s="222">
        <v>0</v>
      </c>
      <c r="AE348" s="222">
        <v>0</v>
      </c>
      <c r="AF348" s="221">
        <v>0</v>
      </c>
      <c r="AG348" s="222">
        <v>0</v>
      </c>
      <c r="AH348" s="221">
        <v>0</v>
      </c>
      <c r="AI348" s="222">
        <v>0</v>
      </c>
      <c r="AJ348" s="221">
        <v>0</v>
      </c>
      <c r="AK348" s="222">
        <v>0</v>
      </c>
      <c r="AL348" s="222">
        <v>0</v>
      </c>
      <c r="AM348" s="222">
        <v>0</v>
      </c>
      <c r="AN348" s="222"/>
      <c r="AO348" s="222">
        <v>0</v>
      </c>
    </row>
    <row r="349" spans="1:41" s="223" customFormat="1" ht="36" customHeight="1" x14ac:dyDescent="0.25">
      <c r="A349" s="223">
        <v>1</v>
      </c>
      <c r="B349" s="225">
        <f>SUBTOTAL(103,$A$16:A349)</f>
        <v>315</v>
      </c>
      <c r="C349" s="215" t="s">
        <v>1218</v>
      </c>
      <c r="D349" s="217">
        <v>1972</v>
      </c>
      <c r="E349" s="217">
        <v>2010</v>
      </c>
      <c r="F349" s="226" t="s">
        <v>267</v>
      </c>
      <c r="G349" s="217">
        <v>5</v>
      </c>
      <c r="H349" s="217" t="s">
        <v>312</v>
      </c>
      <c r="I349" s="190">
        <v>5138.5</v>
      </c>
      <c r="J349" s="190">
        <v>4692.3</v>
      </c>
      <c r="K349" s="190">
        <v>4327.6000000000004</v>
      </c>
      <c r="L349" s="219">
        <v>197</v>
      </c>
      <c r="M349" s="217" t="s">
        <v>265</v>
      </c>
      <c r="N349" s="217" t="s">
        <v>269</v>
      </c>
      <c r="O349" s="220" t="s">
        <v>725</v>
      </c>
      <c r="P349" s="190">
        <v>6562845.1299999999</v>
      </c>
      <c r="Q349" s="190">
        <v>0</v>
      </c>
      <c r="R349" s="190">
        <v>0</v>
      </c>
      <c r="S349" s="190">
        <f>P349-Q349-R349</f>
        <v>6562845.1299999999</v>
      </c>
      <c r="T349" s="190">
        <f t="shared" si="35"/>
        <v>1277.1908397392235</v>
      </c>
      <c r="U349" s="190">
        <v>3626.97</v>
      </c>
      <c r="V349" s="221">
        <f t="shared" si="37"/>
        <v>2349.7791602607763</v>
      </c>
      <c r="W349" s="221">
        <f>X349+Y349+Z349+AA349+AB349+AD349+AF349+AH349+AJ349+AL349+AN349+AO349</f>
        <v>3259.66</v>
      </c>
      <c r="X349" s="221">
        <v>0</v>
      </c>
      <c r="Y349" s="222">
        <v>0</v>
      </c>
      <c r="Z349" s="222">
        <v>3259.66</v>
      </c>
      <c r="AA349" s="222">
        <v>0</v>
      </c>
      <c r="AB349" s="222">
        <v>0</v>
      </c>
      <c r="AC349" s="222">
        <v>0</v>
      </c>
      <c r="AD349" s="222">
        <v>0</v>
      </c>
      <c r="AE349" s="222">
        <v>0</v>
      </c>
      <c r="AF349" s="221">
        <v>0</v>
      </c>
      <c r="AG349" s="222">
        <v>0</v>
      </c>
      <c r="AH349" s="221">
        <v>0</v>
      </c>
      <c r="AI349" s="222">
        <v>0</v>
      </c>
      <c r="AJ349" s="221">
        <v>0</v>
      </c>
      <c r="AK349" s="222">
        <v>0</v>
      </c>
      <c r="AL349" s="222">
        <v>0</v>
      </c>
      <c r="AM349" s="222">
        <v>0</v>
      </c>
      <c r="AN349" s="222"/>
      <c r="AO349" s="222">
        <v>0</v>
      </c>
    </row>
    <row r="350" spans="1:41" s="223" customFormat="1" ht="36" customHeight="1" x14ac:dyDescent="0.25">
      <c r="A350" s="223">
        <v>1</v>
      </c>
      <c r="B350" s="225">
        <f>SUBTOTAL(103,$A$16:A350)</f>
        <v>316</v>
      </c>
      <c r="C350" s="215" t="s">
        <v>1567</v>
      </c>
      <c r="D350" s="217">
        <v>1985</v>
      </c>
      <c r="E350" s="217"/>
      <c r="F350" s="226" t="s">
        <v>267</v>
      </c>
      <c r="G350" s="217">
        <v>2</v>
      </c>
      <c r="H350" s="217" t="s">
        <v>304</v>
      </c>
      <c r="I350" s="190">
        <v>452</v>
      </c>
      <c r="J350" s="190">
        <v>416.9</v>
      </c>
      <c r="K350" s="190">
        <v>416.9</v>
      </c>
      <c r="L350" s="219">
        <v>13</v>
      </c>
      <c r="M350" s="217" t="s">
        <v>265</v>
      </c>
      <c r="N350" s="217" t="s">
        <v>269</v>
      </c>
      <c r="O350" s="220" t="s">
        <v>1576</v>
      </c>
      <c r="P350" s="190">
        <v>1812057.73</v>
      </c>
      <c r="Q350" s="190">
        <v>0</v>
      </c>
      <c r="R350" s="190">
        <v>0</v>
      </c>
      <c r="S350" s="190">
        <f>P350-R350-Q350</f>
        <v>1812057.73</v>
      </c>
      <c r="T350" s="190">
        <f t="shared" si="35"/>
        <v>4008.9772787610618</v>
      </c>
      <c r="U350" s="190">
        <v>5858.3697566371675</v>
      </c>
      <c r="V350" s="221">
        <f t="shared" si="37"/>
        <v>1849.3924778761057</v>
      </c>
      <c r="W350" s="221">
        <f>X350+Y350+Z350+AA350+AB350+AD350+AF350+AH350+AJ350+AL350+AN350+AO350</f>
        <v>5616.3992898230081</v>
      </c>
      <c r="X350" s="221">
        <v>0</v>
      </c>
      <c r="Y350" s="222">
        <v>0</v>
      </c>
      <c r="Z350" s="222">
        <v>0</v>
      </c>
      <c r="AA350" s="222">
        <v>0</v>
      </c>
      <c r="AB350" s="222">
        <v>0</v>
      </c>
      <c r="AC350" s="222">
        <v>0</v>
      </c>
      <c r="AD350" s="222">
        <v>0</v>
      </c>
      <c r="AE350" s="222">
        <v>406.9</v>
      </c>
      <c r="AF350" s="221">
        <f>6238.91*AE350/I350</f>
        <v>5616.3992898230081</v>
      </c>
      <c r="AG350" s="222">
        <v>0</v>
      </c>
      <c r="AH350" s="221">
        <v>0</v>
      </c>
      <c r="AI350" s="222">
        <v>0</v>
      </c>
      <c r="AJ350" s="221">
        <v>0</v>
      </c>
      <c r="AK350" s="222">
        <v>0</v>
      </c>
      <c r="AL350" s="222">
        <v>0</v>
      </c>
      <c r="AM350" s="222">
        <v>0</v>
      </c>
      <c r="AN350" s="222"/>
      <c r="AO350" s="222">
        <v>0</v>
      </c>
    </row>
    <row r="351" spans="1:41" s="223" customFormat="1" ht="36" customHeight="1" x14ac:dyDescent="0.25">
      <c r="B351" s="215" t="s">
        <v>829</v>
      </c>
      <c r="C351" s="215"/>
      <c r="D351" s="217" t="s">
        <v>890</v>
      </c>
      <c r="E351" s="217" t="s">
        <v>890</v>
      </c>
      <c r="F351" s="217" t="s">
        <v>890</v>
      </c>
      <c r="G351" s="217" t="s">
        <v>890</v>
      </c>
      <c r="H351" s="217" t="s">
        <v>890</v>
      </c>
      <c r="I351" s="218">
        <f>SUM(I352:I353)</f>
        <v>9076.82</v>
      </c>
      <c r="J351" s="218">
        <f>SUM(J352:J353)</f>
        <v>7152</v>
      </c>
      <c r="K351" s="218">
        <f>SUM(K352:K353)</f>
        <v>7030.7999999999993</v>
      </c>
      <c r="L351" s="219">
        <f>SUM(L352:L353)</f>
        <v>298</v>
      </c>
      <c r="M351" s="217" t="s">
        <v>890</v>
      </c>
      <c r="N351" s="217" t="s">
        <v>890</v>
      </c>
      <c r="O351" s="220" t="s">
        <v>890</v>
      </c>
      <c r="P351" s="218">
        <v>7968708.8700000001</v>
      </c>
      <c r="Q351" s="218">
        <f>SUM(Q352:Q353)</f>
        <v>0</v>
      </c>
      <c r="R351" s="218">
        <f>SUM(R352:R353)</f>
        <v>0</v>
      </c>
      <c r="S351" s="218">
        <f>SUM(S352:S353)</f>
        <v>7968708.8700000001</v>
      </c>
      <c r="T351" s="190">
        <f t="shared" si="35"/>
        <v>877.91857390583937</v>
      </c>
      <c r="U351" s="190">
        <f>MAX(U352:U353)</f>
        <v>3811.95</v>
      </c>
      <c r="V351" s="221">
        <f t="shared" si="37"/>
        <v>2934.0314260941605</v>
      </c>
      <c r="W351" s="221"/>
      <c r="X351" s="221"/>
      <c r="Y351" s="222"/>
      <c r="Z351" s="222"/>
      <c r="AA351" s="222"/>
      <c r="AB351" s="222"/>
      <c r="AC351" s="222"/>
      <c r="AD351" s="222"/>
      <c r="AE351" s="222"/>
      <c r="AF351" s="222"/>
      <c r="AG351" s="222"/>
      <c r="AH351" s="222"/>
      <c r="AI351" s="222"/>
      <c r="AJ351" s="222"/>
      <c r="AK351" s="222"/>
      <c r="AL351" s="222"/>
      <c r="AM351" s="222"/>
      <c r="AN351" s="222"/>
      <c r="AO351" s="222"/>
    </row>
    <row r="352" spans="1:41" s="223" customFormat="1" ht="36" customHeight="1" x14ac:dyDescent="0.25">
      <c r="A352" s="223">
        <v>1</v>
      </c>
      <c r="B352" s="225">
        <f>SUBTOTAL(103,$A$16:A352)</f>
        <v>317</v>
      </c>
      <c r="C352" s="215" t="s">
        <v>698</v>
      </c>
      <c r="D352" s="217">
        <v>1976</v>
      </c>
      <c r="E352" s="217">
        <v>2007</v>
      </c>
      <c r="F352" s="226" t="s">
        <v>311</v>
      </c>
      <c r="G352" s="217">
        <v>5</v>
      </c>
      <c r="H352" s="217" t="s">
        <v>371</v>
      </c>
      <c r="I352" s="190">
        <v>5095.72</v>
      </c>
      <c r="J352" s="190">
        <v>4603.3999999999996</v>
      </c>
      <c r="K352" s="190">
        <v>4482.2</v>
      </c>
      <c r="L352" s="219">
        <v>160</v>
      </c>
      <c r="M352" s="217" t="s">
        <v>265</v>
      </c>
      <c r="N352" s="217" t="s">
        <v>269</v>
      </c>
      <c r="O352" s="220" t="s">
        <v>726</v>
      </c>
      <c r="P352" s="190">
        <v>3211417.2</v>
      </c>
      <c r="Q352" s="190">
        <v>0</v>
      </c>
      <c r="R352" s="190">
        <v>0</v>
      </c>
      <c r="S352" s="190">
        <f>P352-Q352-R352</f>
        <v>3211417.2</v>
      </c>
      <c r="T352" s="190">
        <f t="shared" si="35"/>
        <v>630.21853634030128</v>
      </c>
      <c r="U352" s="190">
        <v>1461.6566067209342</v>
      </c>
      <c r="V352" s="221">
        <f t="shared" si="37"/>
        <v>831.43807038063289</v>
      </c>
      <c r="W352" s="221">
        <f>X352+Y352+Z352+AA352+AB352+AD352+AF352+AH352+AJ352+AL352+AN352+AO352</f>
        <v>1519.4098792712314</v>
      </c>
      <c r="X352" s="221">
        <v>0</v>
      </c>
      <c r="Y352" s="222">
        <v>0</v>
      </c>
      <c r="Z352" s="222">
        <v>0</v>
      </c>
      <c r="AA352" s="222">
        <v>0</v>
      </c>
      <c r="AB352" s="222">
        <v>0</v>
      </c>
      <c r="AC352" s="222">
        <v>0</v>
      </c>
      <c r="AD352" s="222">
        <v>0</v>
      </c>
      <c r="AE352" s="222">
        <v>1241</v>
      </c>
      <c r="AF352" s="221">
        <f>6238.91*AE352/I352</f>
        <v>1519.4098792712314</v>
      </c>
      <c r="AG352" s="222">
        <v>0</v>
      </c>
      <c r="AH352" s="221">
        <v>0</v>
      </c>
      <c r="AI352" s="222">
        <v>0</v>
      </c>
      <c r="AJ352" s="221">
        <v>0</v>
      </c>
      <c r="AK352" s="222">
        <v>0</v>
      </c>
      <c r="AL352" s="222">
        <v>0</v>
      </c>
      <c r="AM352" s="222">
        <v>0</v>
      </c>
      <c r="AN352" s="222"/>
      <c r="AO352" s="222">
        <v>0</v>
      </c>
    </row>
    <row r="353" spans="1:41" s="223" customFormat="1" ht="36" customHeight="1" x14ac:dyDescent="0.25">
      <c r="A353" s="223">
        <v>1</v>
      </c>
      <c r="B353" s="225">
        <f>SUBTOTAL(103,$A$16:A353)</f>
        <v>318</v>
      </c>
      <c r="C353" s="215" t="s">
        <v>1219</v>
      </c>
      <c r="D353" s="217">
        <v>1975</v>
      </c>
      <c r="E353" s="217">
        <v>2015</v>
      </c>
      <c r="F353" s="226" t="s">
        <v>267</v>
      </c>
      <c r="G353" s="217">
        <v>3</v>
      </c>
      <c r="H353" s="217" t="s">
        <v>303</v>
      </c>
      <c r="I353" s="190">
        <v>3981.1</v>
      </c>
      <c r="J353" s="190">
        <v>2548.6</v>
      </c>
      <c r="K353" s="190">
        <v>2548.6</v>
      </c>
      <c r="L353" s="219">
        <v>138</v>
      </c>
      <c r="M353" s="217" t="s">
        <v>265</v>
      </c>
      <c r="N353" s="217" t="s">
        <v>269</v>
      </c>
      <c r="O353" s="220" t="s">
        <v>725</v>
      </c>
      <c r="P353" s="190">
        <v>4757291.67</v>
      </c>
      <c r="Q353" s="190">
        <v>0</v>
      </c>
      <c r="R353" s="190">
        <v>0</v>
      </c>
      <c r="S353" s="190">
        <f>P353-Q353-R353</f>
        <v>4757291.67</v>
      </c>
      <c r="T353" s="190">
        <f t="shared" si="35"/>
        <v>1194.9691467182438</v>
      </c>
      <c r="U353" s="190">
        <v>3811.95</v>
      </c>
      <c r="V353" s="221">
        <f t="shared" si="37"/>
        <v>2616.980853281756</v>
      </c>
      <c r="W353" s="221">
        <f>X353+Y353+Z353+AA353+AB353+AD353+AF353+AH353+AJ353+AL353+AN353+AO353</f>
        <v>3444.64</v>
      </c>
      <c r="X353" s="221">
        <v>0</v>
      </c>
      <c r="Y353" s="222">
        <v>0</v>
      </c>
      <c r="Z353" s="222">
        <v>3259.66</v>
      </c>
      <c r="AA353" s="222">
        <v>184.98</v>
      </c>
      <c r="AB353" s="222">
        <v>0</v>
      </c>
      <c r="AC353" s="222">
        <v>0</v>
      </c>
      <c r="AD353" s="222">
        <v>0</v>
      </c>
      <c r="AE353" s="222">
        <v>0</v>
      </c>
      <c r="AF353" s="221">
        <v>0</v>
      </c>
      <c r="AG353" s="222">
        <v>0</v>
      </c>
      <c r="AH353" s="221">
        <v>0</v>
      </c>
      <c r="AI353" s="222">
        <v>0</v>
      </c>
      <c r="AJ353" s="221">
        <v>0</v>
      </c>
      <c r="AK353" s="222">
        <v>0</v>
      </c>
      <c r="AL353" s="222">
        <v>0</v>
      </c>
      <c r="AM353" s="222">
        <v>0</v>
      </c>
      <c r="AN353" s="222"/>
      <c r="AO353" s="222">
        <v>0</v>
      </c>
    </row>
    <row r="354" spans="1:41" s="223" customFormat="1" ht="36" customHeight="1" x14ac:dyDescent="0.25">
      <c r="B354" s="215" t="s">
        <v>830</v>
      </c>
      <c r="C354" s="215"/>
      <c r="D354" s="217" t="s">
        <v>890</v>
      </c>
      <c r="E354" s="217" t="s">
        <v>890</v>
      </c>
      <c r="F354" s="217" t="s">
        <v>890</v>
      </c>
      <c r="G354" s="217" t="s">
        <v>890</v>
      </c>
      <c r="H354" s="217" t="s">
        <v>890</v>
      </c>
      <c r="I354" s="218">
        <f>I355</f>
        <v>846.4</v>
      </c>
      <c r="J354" s="218">
        <f>J355</f>
        <v>794.7</v>
      </c>
      <c r="K354" s="218">
        <f>K355</f>
        <v>794.7</v>
      </c>
      <c r="L354" s="219">
        <f>L355</f>
        <v>26</v>
      </c>
      <c r="M354" s="217" t="s">
        <v>890</v>
      </c>
      <c r="N354" s="217" t="s">
        <v>890</v>
      </c>
      <c r="O354" s="220" t="s">
        <v>890</v>
      </c>
      <c r="P354" s="190">
        <v>1861701.91</v>
      </c>
      <c r="Q354" s="190">
        <f>Q355</f>
        <v>0</v>
      </c>
      <c r="R354" s="190">
        <f>R355</f>
        <v>0</v>
      </c>
      <c r="S354" s="190">
        <f>S355</f>
        <v>1861701.91</v>
      </c>
      <c r="T354" s="190">
        <f t="shared" si="35"/>
        <v>2199.5532963137994</v>
      </c>
      <c r="U354" s="190">
        <f>MAX(U355)</f>
        <v>4382.5484404536865</v>
      </c>
      <c r="V354" s="221">
        <f t="shared" si="37"/>
        <v>2182.9951441398871</v>
      </c>
      <c r="W354" s="221"/>
      <c r="X354" s="221"/>
      <c r="Y354" s="222"/>
      <c r="Z354" s="222"/>
      <c r="AA354" s="222"/>
      <c r="AB354" s="222"/>
      <c r="AC354" s="222"/>
      <c r="AD354" s="222"/>
      <c r="AE354" s="222"/>
      <c r="AF354" s="222"/>
      <c r="AG354" s="222"/>
      <c r="AH354" s="222"/>
      <c r="AI354" s="222"/>
      <c r="AJ354" s="222"/>
      <c r="AK354" s="222"/>
      <c r="AL354" s="222"/>
      <c r="AM354" s="222"/>
      <c r="AN354" s="222"/>
      <c r="AO354" s="222"/>
    </row>
    <row r="355" spans="1:41" s="223" customFormat="1" ht="36" customHeight="1" x14ac:dyDescent="0.25">
      <c r="A355" s="223">
        <v>1</v>
      </c>
      <c r="B355" s="225">
        <f>SUBTOTAL(103,$A$16:A355)</f>
        <v>319</v>
      </c>
      <c r="C355" s="215" t="s">
        <v>795</v>
      </c>
      <c r="D355" s="217">
        <v>1981</v>
      </c>
      <c r="E355" s="217"/>
      <c r="F355" s="226" t="s">
        <v>267</v>
      </c>
      <c r="G355" s="217">
        <v>2</v>
      </c>
      <c r="H355" s="217" t="s">
        <v>312</v>
      </c>
      <c r="I355" s="190">
        <v>846.4</v>
      </c>
      <c r="J355" s="190">
        <v>794.7</v>
      </c>
      <c r="K355" s="190">
        <v>794.7</v>
      </c>
      <c r="L355" s="219">
        <v>26</v>
      </c>
      <c r="M355" s="217" t="s">
        <v>265</v>
      </c>
      <c r="N355" s="217" t="s">
        <v>269</v>
      </c>
      <c r="O355" s="220" t="s">
        <v>725</v>
      </c>
      <c r="P355" s="190">
        <v>1861701.91</v>
      </c>
      <c r="Q355" s="190">
        <v>0</v>
      </c>
      <c r="R355" s="190">
        <v>0</v>
      </c>
      <c r="S355" s="190">
        <f>P355-Q355-R355</f>
        <v>1861701.91</v>
      </c>
      <c r="T355" s="190">
        <f t="shared" si="35"/>
        <v>2199.5532963137994</v>
      </c>
      <c r="U355" s="190">
        <v>4382.5484404536865</v>
      </c>
      <c r="V355" s="221">
        <f>U355-T355</f>
        <v>2182.9951441398871</v>
      </c>
      <c r="W355" s="221">
        <f>X355+Y355+Z355+AA355+AB355+AD355+AF355+AH355+AJ355+AL355+AN355+AO355</f>
        <v>10368.151683246693</v>
      </c>
      <c r="X355" s="221">
        <v>0</v>
      </c>
      <c r="Y355" s="222">
        <v>0</v>
      </c>
      <c r="Z355" s="222">
        <v>0</v>
      </c>
      <c r="AA355" s="222">
        <v>0</v>
      </c>
      <c r="AB355" s="222">
        <v>0</v>
      </c>
      <c r="AC355" s="222">
        <v>0</v>
      </c>
      <c r="AD355" s="222">
        <v>0</v>
      </c>
      <c r="AE355" s="222">
        <v>552.27</v>
      </c>
      <c r="AF355" s="221">
        <f>6238.91*AE355/I355</f>
        <v>4070.8445483223063</v>
      </c>
      <c r="AG355" s="222">
        <v>0</v>
      </c>
      <c r="AH355" s="221">
        <v>0</v>
      </c>
      <c r="AI355" s="222">
        <v>716.49</v>
      </c>
      <c r="AJ355" s="221">
        <f>7439.1*AI355/I355</f>
        <v>6297.3071349243864</v>
      </c>
      <c r="AK355" s="222">
        <v>0</v>
      </c>
      <c r="AL355" s="222">
        <v>0</v>
      </c>
      <c r="AM355" s="222">
        <v>0</v>
      </c>
      <c r="AN355" s="222"/>
      <c r="AO355" s="222">
        <v>0</v>
      </c>
    </row>
    <row r="356" spans="1:41" s="223" customFormat="1" ht="36" customHeight="1" x14ac:dyDescent="0.25">
      <c r="B356" s="215" t="s">
        <v>831</v>
      </c>
      <c r="C356" s="227"/>
      <c r="D356" s="217" t="s">
        <v>890</v>
      </c>
      <c r="E356" s="217" t="s">
        <v>890</v>
      </c>
      <c r="F356" s="217" t="s">
        <v>890</v>
      </c>
      <c r="G356" s="217" t="s">
        <v>890</v>
      </c>
      <c r="H356" s="217" t="s">
        <v>890</v>
      </c>
      <c r="I356" s="218">
        <f>SUM(I357:I373)</f>
        <v>50658.080000000002</v>
      </c>
      <c r="J356" s="218">
        <f>SUM(J357:J373)</f>
        <v>46583.81</v>
      </c>
      <c r="K356" s="218">
        <f>SUM(K357:K373)</f>
        <v>46463.209999999992</v>
      </c>
      <c r="L356" s="219">
        <f>SUM(L357:L373)</f>
        <v>1648</v>
      </c>
      <c r="M356" s="217" t="s">
        <v>890</v>
      </c>
      <c r="N356" s="217" t="s">
        <v>890</v>
      </c>
      <c r="O356" s="220" t="s">
        <v>890</v>
      </c>
      <c r="P356" s="218">
        <v>44398957.329999998</v>
      </c>
      <c r="Q356" s="218">
        <f>SUM(Q357:Q373)</f>
        <v>0</v>
      </c>
      <c r="R356" s="218">
        <f>SUM(R357:R373)</f>
        <v>0</v>
      </c>
      <c r="S356" s="218">
        <f>SUM(S357:S373)</f>
        <v>44398957.329999998</v>
      </c>
      <c r="T356" s="190">
        <f t="shared" si="35"/>
        <v>876.44374461092877</v>
      </c>
      <c r="U356" s="190">
        <f>MAX(U357:U373)</f>
        <v>7098.4611084567596</v>
      </c>
      <c r="V356" s="221">
        <f t="shared" si="37"/>
        <v>6222.0173638458309</v>
      </c>
      <c r="W356" s="221"/>
      <c r="X356" s="221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</row>
    <row r="357" spans="1:41" s="223" customFormat="1" ht="36" customHeight="1" x14ac:dyDescent="0.25">
      <c r="A357" s="223">
        <v>1</v>
      </c>
      <c r="B357" s="225">
        <f>SUBTOTAL(103,$A$16:A357)</f>
        <v>320</v>
      </c>
      <c r="C357" s="215" t="s">
        <v>114</v>
      </c>
      <c r="D357" s="217">
        <v>1973</v>
      </c>
      <c r="E357" s="217"/>
      <c r="F357" s="226" t="s">
        <v>267</v>
      </c>
      <c r="G357" s="217">
        <v>2</v>
      </c>
      <c r="H357" s="217" t="s">
        <v>303</v>
      </c>
      <c r="I357" s="190">
        <v>781.06</v>
      </c>
      <c r="J357" s="190">
        <v>721</v>
      </c>
      <c r="K357" s="190">
        <v>721</v>
      </c>
      <c r="L357" s="219">
        <v>38</v>
      </c>
      <c r="M357" s="217" t="s">
        <v>265</v>
      </c>
      <c r="N357" s="217" t="s">
        <v>269</v>
      </c>
      <c r="O357" s="220" t="s">
        <v>284</v>
      </c>
      <c r="P357" s="190">
        <v>54256.44</v>
      </c>
      <c r="Q357" s="190">
        <v>0</v>
      </c>
      <c r="R357" s="190">
        <v>0</v>
      </c>
      <c r="S357" s="190">
        <f t="shared" ref="S357:S373" si="38">P357-Q357-R357</f>
        <v>54256.44</v>
      </c>
      <c r="T357" s="190">
        <f t="shared" si="35"/>
        <v>69.465137121347922</v>
      </c>
      <c r="U357" s="190">
        <v>69.465137121347922</v>
      </c>
      <c r="V357" s="221">
        <f t="shared" si="37"/>
        <v>0</v>
      </c>
      <c r="W357" s="221">
        <f>T357</f>
        <v>69.465137121347922</v>
      </c>
      <c r="X357" s="221">
        <v>0</v>
      </c>
      <c r="Y357" s="222">
        <v>0</v>
      </c>
      <c r="Z357" s="222">
        <v>0</v>
      </c>
      <c r="AA357" s="222">
        <v>0</v>
      </c>
      <c r="AB357" s="222">
        <v>0</v>
      </c>
      <c r="AC357" s="222">
        <v>0</v>
      </c>
      <c r="AD357" s="222">
        <v>0</v>
      </c>
      <c r="AE357" s="222">
        <v>0</v>
      </c>
      <c r="AF357" s="221">
        <v>0</v>
      </c>
      <c r="AG357" s="222">
        <v>0</v>
      </c>
      <c r="AH357" s="221">
        <v>0</v>
      </c>
      <c r="AI357" s="222">
        <v>0</v>
      </c>
      <c r="AJ357" s="221">
        <v>0</v>
      </c>
      <c r="AK357" s="222">
        <v>0</v>
      </c>
      <c r="AL357" s="222">
        <v>0</v>
      </c>
      <c r="AM357" s="222">
        <v>0</v>
      </c>
      <c r="AN357" s="222"/>
      <c r="AO357" s="222">
        <v>0</v>
      </c>
    </row>
    <row r="358" spans="1:41" s="223" customFormat="1" ht="36" customHeight="1" x14ac:dyDescent="0.25">
      <c r="A358" s="223">
        <v>1</v>
      </c>
      <c r="B358" s="225">
        <f>SUBTOTAL(103,$A$16:A358)</f>
        <v>321</v>
      </c>
      <c r="C358" s="215" t="s">
        <v>117</v>
      </c>
      <c r="D358" s="217">
        <v>1972</v>
      </c>
      <c r="E358" s="217"/>
      <c r="F358" s="226" t="s">
        <v>267</v>
      </c>
      <c r="G358" s="217">
        <v>2</v>
      </c>
      <c r="H358" s="217" t="s">
        <v>303</v>
      </c>
      <c r="I358" s="190">
        <v>788.14</v>
      </c>
      <c r="J358" s="190">
        <v>731.68</v>
      </c>
      <c r="K358" s="190">
        <v>731.68</v>
      </c>
      <c r="L358" s="219">
        <v>38</v>
      </c>
      <c r="M358" s="217" t="s">
        <v>265</v>
      </c>
      <c r="N358" s="217" t="s">
        <v>269</v>
      </c>
      <c r="O358" s="220" t="s">
        <v>284</v>
      </c>
      <c r="P358" s="190">
        <v>2480548.0700000003</v>
      </c>
      <c r="Q358" s="190">
        <v>0</v>
      </c>
      <c r="R358" s="190">
        <v>0</v>
      </c>
      <c r="S358" s="190">
        <f t="shared" si="38"/>
        <v>2480548.0700000003</v>
      </c>
      <c r="T358" s="190">
        <f t="shared" si="35"/>
        <v>3147.3444692567314</v>
      </c>
      <c r="U358" s="190">
        <v>5094.0955134874521</v>
      </c>
      <c r="V358" s="221">
        <f t="shared" si="37"/>
        <v>1946.7510442307207</v>
      </c>
      <c r="W358" s="221">
        <f t="shared" ref="W358:W370" si="39">X358+Y358+Z358+AA358+AB358+AD358+AF358+AH358+AJ358+AL358+AN358+AO358</f>
        <v>4931.6630674753214</v>
      </c>
      <c r="X358" s="221">
        <v>0</v>
      </c>
      <c r="Y358" s="222">
        <v>0</v>
      </c>
      <c r="Z358" s="222">
        <v>0</v>
      </c>
      <c r="AA358" s="222">
        <v>0</v>
      </c>
      <c r="AB358" s="222">
        <v>0</v>
      </c>
      <c r="AC358" s="222">
        <v>0</v>
      </c>
      <c r="AD358" s="222">
        <v>0</v>
      </c>
      <c r="AE358" s="222">
        <v>623</v>
      </c>
      <c r="AF358" s="221">
        <f>6238.91*AE358/I358</f>
        <v>4931.6630674753214</v>
      </c>
      <c r="AG358" s="222">
        <v>0</v>
      </c>
      <c r="AH358" s="221">
        <v>0</v>
      </c>
      <c r="AI358" s="222">
        <v>0</v>
      </c>
      <c r="AJ358" s="221">
        <v>0</v>
      </c>
      <c r="AK358" s="222">
        <v>0</v>
      </c>
      <c r="AL358" s="222">
        <v>0</v>
      </c>
      <c r="AM358" s="222">
        <v>0</v>
      </c>
      <c r="AN358" s="222"/>
      <c r="AO358" s="222">
        <v>0</v>
      </c>
    </row>
    <row r="359" spans="1:41" s="223" customFormat="1" ht="36" customHeight="1" x14ac:dyDescent="0.25">
      <c r="A359" s="223">
        <v>1</v>
      </c>
      <c r="B359" s="225">
        <f>SUBTOTAL(103,$A$16:A359)</f>
        <v>322</v>
      </c>
      <c r="C359" s="215" t="s">
        <v>113</v>
      </c>
      <c r="D359" s="217">
        <v>1969</v>
      </c>
      <c r="E359" s="217"/>
      <c r="F359" s="226" t="s">
        <v>267</v>
      </c>
      <c r="G359" s="217">
        <v>2</v>
      </c>
      <c r="H359" s="217" t="s">
        <v>303</v>
      </c>
      <c r="I359" s="190">
        <v>399.42</v>
      </c>
      <c r="J359" s="190">
        <v>370.5</v>
      </c>
      <c r="K359" s="190">
        <v>370.5</v>
      </c>
      <c r="L359" s="219">
        <v>15</v>
      </c>
      <c r="M359" s="217" t="s">
        <v>265</v>
      </c>
      <c r="N359" s="217" t="s">
        <v>269</v>
      </c>
      <c r="O359" s="220" t="s">
        <v>284</v>
      </c>
      <c r="P359" s="190">
        <v>1443898.48</v>
      </c>
      <c r="Q359" s="190">
        <v>0</v>
      </c>
      <c r="R359" s="190">
        <v>0</v>
      </c>
      <c r="S359" s="190">
        <f t="shared" si="38"/>
        <v>1443898.48</v>
      </c>
      <c r="T359" s="190">
        <f t="shared" si="35"/>
        <v>3614.9879325021279</v>
      </c>
      <c r="U359" s="190">
        <v>5546.0945370787631</v>
      </c>
      <c r="V359" s="221">
        <f t="shared" si="37"/>
        <v>1931.1066045766352</v>
      </c>
      <c r="W359" s="221">
        <f t="shared" si="39"/>
        <v>5310.7741224775918</v>
      </c>
      <c r="X359" s="221">
        <v>0</v>
      </c>
      <c r="Y359" s="222">
        <v>0</v>
      </c>
      <c r="Z359" s="222">
        <v>0</v>
      </c>
      <c r="AA359" s="222">
        <v>0</v>
      </c>
      <c r="AB359" s="222">
        <v>0</v>
      </c>
      <c r="AC359" s="222">
        <v>0</v>
      </c>
      <c r="AD359" s="222">
        <v>0</v>
      </c>
      <c r="AE359" s="222">
        <v>340</v>
      </c>
      <c r="AF359" s="221">
        <f>6238.91*AE359/I359</f>
        <v>5310.7741224775918</v>
      </c>
      <c r="AG359" s="222">
        <v>0</v>
      </c>
      <c r="AH359" s="221">
        <v>0</v>
      </c>
      <c r="AI359" s="222">
        <v>0</v>
      </c>
      <c r="AJ359" s="221">
        <v>0</v>
      </c>
      <c r="AK359" s="222">
        <v>0</v>
      </c>
      <c r="AL359" s="222">
        <v>0</v>
      </c>
      <c r="AM359" s="222">
        <v>0</v>
      </c>
      <c r="AN359" s="222"/>
      <c r="AO359" s="222">
        <v>0</v>
      </c>
    </row>
    <row r="360" spans="1:41" s="223" customFormat="1" ht="36" customHeight="1" x14ac:dyDescent="0.25">
      <c r="A360" s="223">
        <v>1</v>
      </c>
      <c r="B360" s="225">
        <f>SUBTOTAL(103,$A$16:A360)</f>
        <v>323</v>
      </c>
      <c r="C360" s="215" t="s">
        <v>115</v>
      </c>
      <c r="D360" s="217">
        <v>1972</v>
      </c>
      <c r="E360" s="217"/>
      <c r="F360" s="226" t="s">
        <v>287</v>
      </c>
      <c r="G360" s="217">
        <v>5</v>
      </c>
      <c r="H360" s="217" t="s">
        <v>351</v>
      </c>
      <c r="I360" s="190">
        <v>5806.44</v>
      </c>
      <c r="J360" s="190">
        <v>4487.95</v>
      </c>
      <c r="K360" s="190">
        <v>4487.95</v>
      </c>
      <c r="L360" s="219">
        <v>211</v>
      </c>
      <c r="M360" s="217" t="s">
        <v>265</v>
      </c>
      <c r="N360" s="217" t="s">
        <v>269</v>
      </c>
      <c r="O360" s="220" t="s">
        <v>285</v>
      </c>
      <c r="P360" s="190">
        <v>4557103.54</v>
      </c>
      <c r="Q360" s="190">
        <v>0</v>
      </c>
      <c r="R360" s="190">
        <v>0</v>
      </c>
      <c r="S360" s="190">
        <f t="shared" si="38"/>
        <v>4557103.54</v>
      </c>
      <c r="T360" s="190">
        <f t="shared" si="35"/>
        <v>784.83606822769207</v>
      </c>
      <c r="U360" s="190">
        <v>1384.7147908184706</v>
      </c>
      <c r="V360" s="221">
        <f t="shared" si="37"/>
        <v>599.87872259077858</v>
      </c>
      <c r="W360" s="221">
        <f t="shared" si="39"/>
        <v>1327.521390903893</v>
      </c>
      <c r="X360" s="221">
        <v>0</v>
      </c>
      <c r="Y360" s="222">
        <v>0</v>
      </c>
      <c r="Z360" s="222">
        <v>0</v>
      </c>
      <c r="AA360" s="222">
        <v>0</v>
      </c>
      <c r="AB360" s="222">
        <v>0</v>
      </c>
      <c r="AC360" s="222">
        <v>0</v>
      </c>
      <c r="AD360" s="222">
        <v>0</v>
      </c>
      <c r="AE360" s="222">
        <v>1235.5</v>
      </c>
      <c r="AF360" s="221">
        <f>6238.91*AE360/I360</f>
        <v>1327.521390903893</v>
      </c>
      <c r="AG360" s="222">
        <v>0</v>
      </c>
      <c r="AH360" s="221">
        <v>0</v>
      </c>
      <c r="AI360" s="222">
        <v>0</v>
      </c>
      <c r="AJ360" s="221">
        <v>0</v>
      </c>
      <c r="AK360" s="222">
        <v>0</v>
      </c>
      <c r="AL360" s="222">
        <v>0</v>
      </c>
      <c r="AM360" s="222">
        <v>0</v>
      </c>
      <c r="AN360" s="222"/>
      <c r="AO360" s="222">
        <v>0</v>
      </c>
    </row>
    <row r="361" spans="1:41" s="223" customFormat="1" ht="36" customHeight="1" x14ac:dyDescent="0.25">
      <c r="A361" s="223">
        <v>1</v>
      </c>
      <c r="B361" s="225">
        <f>SUBTOTAL(103,$A$16:A361)</f>
        <v>324</v>
      </c>
      <c r="C361" s="215" t="s">
        <v>116</v>
      </c>
      <c r="D361" s="217">
        <v>1973</v>
      </c>
      <c r="E361" s="217"/>
      <c r="F361" s="226" t="s">
        <v>287</v>
      </c>
      <c r="G361" s="217">
        <v>5</v>
      </c>
      <c r="H361" s="217" t="s">
        <v>371</v>
      </c>
      <c r="I361" s="190">
        <v>6042.57</v>
      </c>
      <c r="J361" s="190">
        <v>6042.57</v>
      </c>
      <c r="K361" s="190">
        <v>6042.57</v>
      </c>
      <c r="L361" s="219">
        <v>176</v>
      </c>
      <c r="M361" s="217" t="s">
        <v>265</v>
      </c>
      <c r="N361" s="217" t="s">
        <v>269</v>
      </c>
      <c r="O361" s="220" t="s">
        <v>285</v>
      </c>
      <c r="P361" s="190">
        <v>4223582.3699999992</v>
      </c>
      <c r="Q361" s="190">
        <v>0</v>
      </c>
      <c r="R361" s="190">
        <v>0</v>
      </c>
      <c r="S361" s="190">
        <f t="shared" si="38"/>
        <v>4223582.3699999992</v>
      </c>
      <c r="T361" s="190">
        <f t="shared" si="35"/>
        <v>698.97119437590288</v>
      </c>
      <c r="U361" s="190">
        <v>1194.5597131684035</v>
      </c>
      <c r="V361" s="221">
        <f t="shared" si="37"/>
        <v>495.58851879250062</v>
      </c>
      <c r="W361" s="221">
        <f t="shared" si="39"/>
        <v>1145.2203605088564</v>
      </c>
      <c r="X361" s="221">
        <v>0</v>
      </c>
      <c r="Y361" s="222">
        <v>0</v>
      </c>
      <c r="Z361" s="222">
        <v>0</v>
      </c>
      <c r="AA361" s="222">
        <v>0</v>
      </c>
      <c r="AB361" s="222">
        <v>0</v>
      </c>
      <c r="AC361" s="222">
        <v>0</v>
      </c>
      <c r="AD361" s="222">
        <v>0</v>
      </c>
      <c r="AE361" s="222">
        <v>1109.18</v>
      </c>
      <c r="AF361" s="221">
        <f>6238.91*AE361/I361</f>
        <v>1145.2203605088564</v>
      </c>
      <c r="AG361" s="222">
        <v>0</v>
      </c>
      <c r="AH361" s="221">
        <v>0</v>
      </c>
      <c r="AI361" s="222">
        <v>0</v>
      </c>
      <c r="AJ361" s="221">
        <v>0</v>
      </c>
      <c r="AK361" s="222">
        <v>0</v>
      </c>
      <c r="AL361" s="222">
        <v>0</v>
      </c>
      <c r="AM361" s="222">
        <v>0</v>
      </c>
      <c r="AN361" s="222"/>
      <c r="AO361" s="222">
        <v>0</v>
      </c>
    </row>
    <row r="362" spans="1:41" s="223" customFormat="1" ht="36" customHeight="1" x14ac:dyDescent="0.25">
      <c r="A362" s="223">
        <v>1</v>
      </c>
      <c r="B362" s="225">
        <f>SUBTOTAL(103,$A$16:A362)</f>
        <v>325</v>
      </c>
      <c r="C362" s="215" t="s">
        <v>118</v>
      </c>
      <c r="D362" s="217">
        <v>1973</v>
      </c>
      <c r="E362" s="217"/>
      <c r="F362" s="226" t="s">
        <v>267</v>
      </c>
      <c r="G362" s="217">
        <v>2</v>
      </c>
      <c r="H362" s="217" t="s">
        <v>303</v>
      </c>
      <c r="I362" s="190">
        <v>787.52</v>
      </c>
      <c r="J362" s="190">
        <v>787.52</v>
      </c>
      <c r="K362" s="190">
        <v>787.52</v>
      </c>
      <c r="L362" s="219">
        <v>30</v>
      </c>
      <c r="M362" s="217" t="s">
        <v>265</v>
      </c>
      <c r="N362" s="217" t="s">
        <v>269</v>
      </c>
      <c r="O362" s="220" t="s">
        <v>285</v>
      </c>
      <c r="P362" s="190">
        <v>3024337.71</v>
      </c>
      <c r="Q362" s="190">
        <v>0</v>
      </c>
      <c r="R362" s="190">
        <v>0</v>
      </c>
      <c r="S362" s="190">
        <f t="shared" si="38"/>
        <v>3024337.71</v>
      </c>
      <c r="T362" s="190">
        <f t="shared" si="35"/>
        <v>3840.3313058715971</v>
      </c>
      <c r="U362" s="190">
        <v>5277.8379126879317</v>
      </c>
      <c r="V362" s="221">
        <f t="shared" si="37"/>
        <v>1437.5066068163346</v>
      </c>
      <c r="W362" s="221">
        <f t="shared" si="39"/>
        <v>5030.612365400244</v>
      </c>
      <c r="X362" s="221">
        <v>0</v>
      </c>
      <c r="Y362" s="222">
        <v>0</v>
      </c>
      <c r="Z362" s="222">
        <v>0</v>
      </c>
      <c r="AA362" s="222">
        <v>0</v>
      </c>
      <c r="AB362" s="222">
        <v>0</v>
      </c>
      <c r="AC362" s="222">
        <v>0</v>
      </c>
      <c r="AD362" s="222">
        <v>0</v>
      </c>
      <c r="AE362" s="222">
        <v>635</v>
      </c>
      <c r="AF362" s="221">
        <f>6238.91*AE362/I362</f>
        <v>5030.612365400244</v>
      </c>
      <c r="AG362" s="222">
        <v>0</v>
      </c>
      <c r="AH362" s="221">
        <v>0</v>
      </c>
      <c r="AI362" s="222">
        <v>0</v>
      </c>
      <c r="AJ362" s="221">
        <v>0</v>
      </c>
      <c r="AK362" s="222">
        <v>0</v>
      </c>
      <c r="AL362" s="222">
        <v>0</v>
      </c>
      <c r="AM362" s="222">
        <v>0</v>
      </c>
      <c r="AN362" s="222"/>
      <c r="AO362" s="222">
        <v>0</v>
      </c>
    </row>
    <row r="363" spans="1:41" s="223" customFormat="1" ht="36" customHeight="1" x14ac:dyDescent="0.25">
      <c r="A363" s="223">
        <v>1</v>
      </c>
      <c r="B363" s="225">
        <f>SUBTOTAL(103,$A$16:A363)</f>
        <v>326</v>
      </c>
      <c r="C363" s="215" t="s">
        <v>1220</v>
      </c>
      <c r="D363" s="217" t="s">
        <v>309</v>
      </c>
      <c r="E363" s="217"/>
      <c r="F363" s="226" t="s">
        <v>267</v>
      </c>
      <c r="G363" s="217" t="s">
        <v>351</v>
      </c>
      <c r="H363" s="217" t="s">
        <v>371</v>
      </c>
      <c r="I363" s="190">
        <v>5104.3599999999997</v>
      </c>
      <c r="J363" s="190">
        <v>5104.3599999999997</v>
      </c>
      <c r="K363" s="190">
        <v>5104.3599999999997</v>
      </c>
      <c r="L363" s="219">
        <v>159</v>
      </c>
      <c r="M363" s="217" t="s">
        <v>265</v>
      </c>
      <c r="N363" s="217" t="s">
        <v>269</v>
      </c>
      <c r="O363" s="220" t="s">
        <v>1306</v>
      </c>
      <c r="P363" s="190">
        <v>5566366.3600000003</v>
      </c>
      <c r="Q363" s="190">
        <v>0</v>
      </c>
      <c r="R363" s="190">
        <v>0</v>
      </c>
      <c r="S363" s="190">
        <f t="shared" si="38"/>
        <v>5566366.3600000003</v>
      </c>
      <c r="T363" s="190">
        <f t="shared" si="35"/>
        <v>1090.5121033782884</v>
      </c>
      <c r="U363" s="190">
        <v>4134.3555078403569</v>
      </c>
      <c r="V363" s="221">
        <f t="shared" si="37"/>
        <v>3043.8434044620685</v>
      </c>
      <c r="W363" s="221">
        <f t="shared" si="39"/>
        <v>3546.19</v>
      </c>
      <c r="X363" s="221">
        <v>101.55</v>
      </c>
      <c r="Y363" s="222">
        <v>0</v>
      </c>
      <c r="Z363" s="222">
        <v>3259.66</v>
      </c>
      <c r="AA363" s="222">
        <v>184.98</v>
      </c>
      <c r="AB363" s="222">
        <v>0</v>
      </c>
      <c r="AC363" s="222">
        <v>0</v>
      </c>
      <c r="AD363" s="222">
        <v>0</v>
      </c>
      <c r="AE363" s="222">
        <v>0</v>
      </c>
      <c r="AF363" s="221">
        <v>0</v>
      </c>
      <c r="AG363" s="222">
        <v>0</v>
      </c>
      <c r="AH363" s="221">
        <v>0</v>
      </c>
      <c r="AI363" s="222">
        <v>0</v>
      </c>
      <c r="AJ363" s="221">
        <v>0</v>
      </c>
      <c r="AK363" s="222">
        <v>0</v>
      </c>
      <c r="AL363" s="222">
        <v>0</v>
      </c>
      <c r="AM363" s="222">
        <v>0</v>
      </c>
      <c r="AN363" s="222"/>
      <c r="AO363" s="222">
        <v>0</v>
      </c>
    </row>
    <row r="364" spans="1:41" s="223" customFormat="1" ht="36" customHeight="1" x14ac:dyDescent="0.25">
      <c r="A364" s="223">
        <v>1</v>
      </c>
      <c r="B364" s="225">
        <f>SUBTOTAL(103,$A$16:A364)</f>
        <v>327</v>
      </c>
      <c r="C364" s="215" t="s">
        <v>1221</v>
      </c>
      <c r="D364" s="217">
        <v>1973</v>
      </c>
      <c r="E364" s="217"/>
      <c r="F364" s="226" t="s">
        <v>318</v>
      </c>
      <c r="G364" s="217">
        <v>5</v>
      </c>
      <c r="H364" s="217" t="s">
        <v>371</v>
      </c>
      <c r="I364" s="190">
        <v>6039.17</v>
      </c>
      <c r="J364" s="190">
        <v>6039.17</v>
      </c>
      <c r="K364" s="190">
        <v>6039.17</v>
      </c>
      <c r="L364" s="219">
        <v>184</v>
      </c>
      <c r="M364" s="217" t="s">
        <v>265</v>
      </c>
      <c r="N364" s="217" t="s">
        <v>269</v>
      </c>
      <c r="O364" s="220" t="s">
        <v>1307</v>
      </c>
      <c r="P364" s="190">
        <v>4137160</v>
      </c>
      <c r="Q364" s="190">
        <v>0</v>
      </c>
      <c r="R364" s="190">
        <v>0</v>
      </c>
      <c r="S364" s="190">
        <f t="shared" si="38"/>
        <v>4137160</v>
      </c>
      <c r="T364" s="190">
        <f t="shared" si="35"/>
        <v>685.05440317129671</v>
      </c>
      <c r="U364" s="190">
        <v>1249.3160730696436</v>
      </c>
      <c r="V364" s="221">
        <f t="shared" si="37"/>
        <v>564.2616698983469</v>
      </c>
      <c r="W364" s="221">
        <f t="shared" si="39"/>
        <v>3494.3939117461509</v>
      </c>
      <c r="X364" s="221">
        <v>0</v>
      </c>
      <c r="Y364" s="222">
        <v>0</v>
      </c>
      <c r="Z364" s="222">
        <v>0</v>
      </c>
      <c r="AA364" s="222">
        <v>0</v>
      </c>
      <c r="AB364" s="222">
        <v>0</v>
      </c>
      <c r="AC364" s="222">
        <v>0</v>
      </c>
      <c r="AD364" s="222">
        <v>0</v>
      </c>
      <c r="AE364" s="222">
        <v>0</v>
      </c>
      <c r="AF364" s="221">
        <v>0</v>
      </c>
      <c r="AG364" s="222">
        <v>0</v>
      </c>
      <c r="AH364" s="221">
        <v>0</v>
      </c>
      <c r="AI364" s="222">
        <v>2836.8</v>
      </c>
      <c r="AJ364" s="221">
        <f>7439.1*AI364/I364</f>
        <v>3494.3939117461509</v>
      </c>
      <c r="AK364" s="222">
        <v>0</v>
      </c>
      <c r="AL364" s="222">
        <v>0</v>
      </c>
      <c r="AM364" s="222">
        <v>0</v>
      </c>
      <c r="AN364" s="222"/>
      <c r="AO364" s="222">
        <v>0</v>
      </c>
    </row>
    <row r="365" spans="1:41" s="223" customFormat="1" ht="36" customHeight="1" x14ac:dyDescent="0.25">
      <c r="A365" s="223">
        <v>1</v>
      </c>
      <c r="B365" s="225">
        <f>SUBTOTAL(103,$A$16:A365)</f>
        <v>328</v>
      </c>
      <c r="C365" s="215" t="s">
        <v>1222</v>
      </c>
      <c r="D365" s="217">
        <v>1974</v>
      </c>
      <c r="E365" s="217"/>
      <c r="F365" s="226" t="s">
        <v>287</v>
      </c>
      <c r="G365" s="217">
        <v>5</v>
      </c>
      <c r="H365" s="217" t="s">
        <v>308</v>
      </c>
      <c r="I365" s="190">
        <v>4571.8999999999996</v>
      </c>
      <c r="J365" s="190">
        <v>3098.1</v>
      </c>
      <c r="K365" s="190">
        <v>3098.1</v>
      </c>
      <c r="L365" s="219">
        <v>119</v>
      </c>
      <c r="M365" s="217" t="s">
        <v>265</v>
      </c>
      <c r="N365" s="217" t="s">
        <v>269</v>
      </c>
      <c r="O365" s="220" t="s">
        <v>1328</v>
      </c>
      <c r="P365" s="190">
        <v>2786718.1</v>
      </c>
      <c r="Q365" s="190">
        <v>0</v>
      </c>
      <c r="R365" s="190">
        <v>0</v>
      </c>
      <c r="S365" s="190">
        <f t="shared" si="38"/>
        <v>2786718.1</v>
      </c>
      <c r="T365" s="190">
        <f t="shared" si="35"/>
        <v>609.53172641571348</v>
      </c>
      <c r="U365" s="190">
        <v>1088.9106279664911</v>
      </c>
      <c r="V365" s="221">
        <f t="shared" si="37"/>
        <v>479.37890155077764</v>
      </c>
      <c r="W365" s="221">
        <f t="shared" si="39"/>
        <v>1582.1004586058311</v>
      </c>
      <c r="X365" s="221">
        <v>0</v>
      </c>
      <c r="Y365" s="222">
        <v>0</v>
      </c>
      <c r="Z365" s="222">
        <v>0</v>
      </c>
      <c r="AA365" s="222">
        <v>0</v>
      </c>
      <c r="AB365" s="222">
        <v>0</v>
      </c>
      <c r="AC365" s="222">
        <v>0</v>
      </c>
      <c r="AD365" s="222">
        <v>0</v>
      </c>
      <c r="AE365" s="222">
        <v>1159.3699999999999</v>
      </c>
      <c r="AF365" s="221">
        <f>6238.91*AE365/I365</f>
        <v>1582.1004586058311</v>
      </c>
      <c r="AG365" s="222">
        <v>0</v>
      </c>
      <c r="AH365" s="221">
        <v>0</v>
      </c>
      <c r="AI365" s="222">
        <v>0</v>
      </c>
      <c r="AJ365" s="221">
        <v>0</v>
      </c>
      <c r="AK365" s="222">
        <v>0</v>
      </c>
      <c r="AL365" s="222">
        <v>0</v>
      </c>
      <c r="AM365" s="222">
        <v>0</v>
      </c>
      <c r="AN365" s="222"/>
      <c r="AO365" s="222">
        <v>0</v>
      </c>
    </row>
    <row r="366" spans="1:41" s="223" customFormat="1" ht="36" customHeight="1" x14ac:dyDescent="0.25">
      <c r="A366" s="223">
        <v>1</v>
      </c>
      <c r="B366" s="225">
        <f>SUBTOTAL(103,$A$16:A366)</f>
        <v>329</v>
      </c>
      <c r="C366" s="215" t="s">
        <v>1223</v>
      </c>
      <c r="D366" s="217">
        <v>1966</v>
      </c>
      <c r="E366" s="217"/>
      <c r="F366" s="226" t="s">
        <v>287</v>
      </c>
      <c r="G366" s="217">
        <v>2</v>
      </c>
      <c r="H366" s="217" t="s">
        <v>312</v>
      </c>
      <c r="I366" s="190">
        <v>418.6</v>
      </c>
      <c r="J366" s="190">
        <v>418.6</v>
      </c>
      <c r="K366" s="190">
        <v>418.6</v>
      </c>
      <c r="L366" s="219">
        <v>29</v>
      </c>
      <c r="M366" s="217" t="s">
        <v>265</v>
      </c>
      <c r="N366" s="217" t="s">
        <v>269</v>
      </c>
      <c r="O366" s="220" t="s">
        <v>1328</v>
      </c>
      <c r="P366" s="190">
        <v>1749750.39</v>
      </c>
      <c r="Q366" s="190">
        <v>0</v>
      </c>
      <c r="R366" s="190">
        <v>0</v>
      </c>
      <c r="S366" s="190">
        <f t="shared" si="38"/>
        <v>1749750.39</v>
      </c>
      <c r="T366" s="190">
        <f t="shared" si="35"/>
        <v>4180.0057095078828</v>
      </c>
      <c r="U366" s="190">
        <v>7098.4611084567596</v>
      </c>
      <c r="V366" s="221">
        <f t="shared" si="37"/>
        <v>2918.4553989488768</v>
      </c>
      <c r="W366" s="221">
        <f t="shared" si="39"/>
        <v>11383.849636884854</v>
      </c>
      <c r="X366" s="221">
        <v>0</v>
      </c>
      <c r="Y366" s="222">
        <v>0</v>
      </c>
      <c r="Z366" s="222">
        <v>0</v>
      </c>
      <c r="AA366" s="222">
        <v>0</v>
      </c>
      <c r="AB366" s="222">
        <v>0</v>
      </c>
      <c r="AC366" s="222">
        <v>0</v>
      </c>
      <c r="AD366" s="222">
        <v>0</v>
      </c>
      <c r="AE366" s="222">
        <v>763.8</v>
      </c>
      <c r="AF366" s="221">
        <f>6238.91*AE366/I366</f>
        <v>11383.849636884854</v>
      </c>
      <c r="AG366" s="222">
        <v>0</v>
      </c>
      <c r="AH366" s="221">
        <v>0</v>
      </c>
      <c r="AI366" s="222">
        <v>0</v>
      </c>
      <c r="AJ366" s="221">
        <v>0</v>
      </c>
      <c r="AK366" s="222">
        <v>0</v>
      </c>
      <c r="AL366" s="222">
        <v>0</v>
      </c>
      <c r="AM366" s="222">
        <v>0</v>
      </c>
      <c r="AN366" s="222"/>
      <c r="AO366" s="222">
        <v>0</v>
      </c>
    </row>
    <row r="367" spans="1:41" s="223" customFormat="1" ht="36" customHeight="1" x14ac:dyDescent="0.25">
      <c r="A367" s="223">
        <v>1</v>
      </c>
      <c r="B367" s="225">
        <f>SUBTOTAL(103,$A$16:A367)</f>
        <v>330</v>
      </c>
      <c r="C367" s="215" t="s">
        <v>1224</v>
      </c>
      <c r="D367" s="217">
        <v>1987</v>
      </c>
      <c r="E367" s="217"/>
      <c r="F367" s="226" t="s">
        <v>267</v>
      </c>
      <c r="G367" s="217">
        <v>2</v>
      </c>
      <c r="H367" s="217" t="s">
        <v>312</v>
      </c>
      <c r="I367" s="190">
        <v>1448.2</v>
      </c>
      <c r="J367" s="190">
        <v>1448.2</v>
      </c>
      <c r="K367" s="190">
        <v>1448.2</v>
      </c>
      <c r="L367" s="219">
        <v>53</v>
      </c>
      <c r="M367" s="217" t="s">
        <v>265</v>
      </c>
      <c r="N367" s="217" t="s">
        <v>269</v>
      </c>
      <c r="O367" s="220" t="s">
        <v>1329</v>
      </c>
      <c r="P367" s="190">
        <v>119132.15</v>
      </c>
      <c r="Q367" s="190">
        <v>0</v>
      </c>
      <c r="R367" s="190">
        <v>0</v>
      </c>
      <c r="S367" s="190">
        <f t="shared" si="38"/>
        <v>119132.15</v>
      </c>
      <c r="T367" s="190">
        <f t="shared" si="35"/>
        <v>82.262222068775031</v>
      </c>
      <c r="U367" s="190">
        <v>113.09</v>
      </c>
      <c r="V367" s="221">
        <f t="shared" si="37"/>
        <v>30.827777931224972</v>
      </c>
      <c r="W367" s="221">
        <f t="shared" si="39"/>
        <v>1967.0531045435712</v>
      </c>
      <c r="X367" s="221">
        <v>0</v>
      </c>
      <c r="Y367" s="222">
        <v>0</v>
      </c>
      <c r="Z367" s="222">
        <v>0</v>
      </c>
      <c r="AA367" s="222">
        <v>0</v>
      </c>
      <c r="AB367" s="222">
        <v>0</v>
      </c>
      <c r="AC367" s="222">
        <v>0</v>
      </c>
      <c r="AD367" s="222">
        <v>0</v>
      </c>
      <c r="AE367" s="222">
        <v>456.6</v>
      </c>
      <c r="AF367" s="221">
        <f>6238.91*AE367/I367</f>
        <v>1967.0531045435712</v>
      </c>
      <c r="AG367" s="222">
        <v>0</v>
      </c>
      <c r="AH367" s="221">
        <v>0</v>
      </c>
      <c r="AI367" s="222">
        <v>0</v>
      </c>
      <c r="AJ367" s="221">
        <v>0</v>
      </c>
      <c r="AK367" s="222">
        <v>0</v>
      </c>
      <c r="AL367" s="222">
        <v>0</v>
      </c>
      <c r="AM367" s="222">
        <v>0</v>
      </c>
      <c r="AN367" s="222"/>
      <c r="AO367" s="222">
        <v>0</v>
      </c>
    </row>
    <row r="368" spans="1:41" s="223" customFormat="1" ht="36" customHeight="1" x14ac:dyDescent="0.25">
      <c r="A368" s="223">
        <v>1</v>
      </c>
      <c r="B368" s="225">
        <f>SUBTOTAL(103,$A$16:A368)</f>
        <v>331</v>
      </c>
      <c r="C368" s="215" t="s">
        <v>1225</v>
      </c>
      <c r="D368" s="217">
        <v>1978</v>
      </c>
      <c r="E368" s="217"/>
      <c r="F368" s="226" t="s">
        <v>318</v>
      </c>
      <c r="G368" s="217">
        <v>5</v>
      </c>
      <c r="H368" s="217" t="s">
        <v>2266</v>
      </c>
      <c r="I368" s="190">
        <v>7971.79</v>
      </c>
      <c r="J368" s="190">
        <v>7971.79</v>
      </c>
      <c r="K368" s="190">
        <v>7971.79</v>
      </c>
      <c r="L368" s="219">
        <v>264</v>
      </c>
      <c r="M368" s="217" t="s">
        <v>265</v>
      </c>
      <c r="N368" s="217" t="s">
        <v>269</v>
      </c>
      <c r="O368" s="220" t="s">
        <v>1329</v>
      </c>
      <c r="P368" s="190">
        <v>6270786.4399999995</v>
      </c>
      <c r="Q368" s="190">
        <v>0</v>
      </c>
      <c r="R368" s="190">
        <v>0</v>
      </c>
      <c r="S368" s="190">
        <f t="shared" si="38"/>
        <v>6270786.4399999995</v>
      </c>
      <c r="T368" s="190">
        <f t="shared" si="35"/>
        <v>786.6221312904629</v>
      </c>
      <c r="U368" s="190">
        <v>1251.1407317553521</v>
      </c>
      <c r="V368" s="221">
        <f t="shared" si="37"/>
        <v>464.51860046488923</v>
      </c>
      <c r="W368" s="221">
        <f t="shared" si="39"/>
        <v>3546.19</v>
      </c>
      <c r="X368" s="221">
        <v>101.55</v>
      </c>
      <c r="Y368" s="222">
        <v>0</v>
      </c>
      <c r="Z368" s="222">
        <v>3259.66</v>
      </c>
      <c r="AA368" s="222">
        <v>184.98</v>
      </c>
      <c r="AB368" s="222">
        <v>0</v>
      </c>
      <c r="AC368" s="222">
        <v>0</v>
      </c>
      <c r="AD368" s="222">
        <v>0</v>
      </c>
      <c r="AE368" s="222">
        <v>0</v>
      </c>
      <c r="AF368" s="221">
        <v>0</v>
      </c>
      <c r="AG368" s="222">
        <v>0</v>
      </c>
      <c r="AH368" s="221">
        <v>0</v>
      </c>
      <c r="AI368" s="222">
        <v>0</v>
      </c>
      <c r="AJ368" s="221">
        <v>0</v>
      </c>
      <c r="AK368" s="222">
        <v>0</v>
      </c>
      <c r="AL368" s="222">
        <v>0</v>
      </c>
      <c r="AM368" s="222">
        <v>0</v>
      </c>
      <c r="AN368" s="222"/>
      <c r="AO368" s="222">
        <v>0</v>
      </c>
    </row>
    <row r="369" spans="1:41" s="223" customFormat="1" ht="36" customHeight="1" x14ac:dyDescent="0.25">
      <c r="A369" s="223">
        <v>1</v>
      </c>
      <c r="B369" s="225">
        <f>SUBTOTAL(103,$A$16:A369)</f>
        <v>332</v>
      </c>
      <c r="C369" s="215" t="s">
        <v>1554</v>
      </c>
      <c r="D369" s="217">
        <v>1977</v>
      </c>
      <c r="E369" s="217"/>
      <c r="F369" s="226" t="s">
        <v>1571</v>
      </c>
      <c r="G369" s="217">
        <v>2</v>
      </c>
      <c r="H369" s="217" t="s">
        <v>312</v>
      </c>
      <c r="I369" s="190">
        <v>982.4</v>
      </c>
      <c r="J369" s="190">
        <v>564.1</v>
      </c>
      <c r="K369" s="190">
        <v>564.1</v>
      </c>
      <c r="L369" s="219">
        <v>46</v>
      </c>
      <c r="M369" s="217" t="s">
        <v>265</v>
      </c>
      <c r="N369" s="217" t="s">
        <v>269</v>
      </c>
      <c r="O369" s="220" t="s">
        <v>1578</v>
      </c>
      <c r="P369" s="190">
        <v>3749769.7199999997</v>
      </c>
      <c r="Q369" s="190">
        <v>0</v>
      </c>
      <c r="R369" s="190">
        <v>0</v>
      </c>
      <c r="S369" s="190">
        <f t="shared" si="38"/>
        <v>3749769.7199999997</v>
      </c>
      <c r="T369" s="190">
        <f t="shared" si="35"/>
        <v>3816.9480048859932</v>
      </c>
      <c r="U369" s="190">
        <v>6021.9410006107501</v>
      </c>
      <c r="V369" s="221">
        <f t="shared" si="37"/>
        <v>2204.9929957247568</v>
      </c>
      <c r="W369" s="221">
        <f t="shared" si="39"/>
        <v>9709.5577147801305</v>
      </c>
      <c r="X369" s="221">
        <v>0</v>
      </c>
      <c r="Y369" s="222">
        <v>0</v>
      </c>
      <c r="Z369" s="222">
        <v>0</v>
      </c>
      <c r="AA369" s="222">
        <v>0</v>
      </c>
      <c r="AB369" s="222">
        <v>0</v>
      </c>
      <c r="AC369" s="222">
        <v>0</v>
      </c>
      <c r="AD369" s="222">
        <v>0</v>
      </c>
      <c r="AE369" s="222">
        <v>1528.9</v>
      </c>
      <c r="AF369" s="221">
        <f>6238.91*AE369/I369</f>
        <v>9709.5577147801305</v>
      </c>
      <c r="AG369" s="222">
        <v>0</v>
      </c>
      <c r="AH369" s="221">
        <v>0</v>
      </c>
      <c r="AI369" s="222">
        <v>0</v>
      </c>
      <c r="AJ369" s="221">
        <v>0</v>
      </c>
      <c r="AK369" s="222">
        <v>0</v>
      </c>
      <c r="AL369" s="222">
        <v>0</v>
      </c>
      <c r="AM369" s="222">
        <v>0</v>
      </c>
      <c r="AN369" s="222"/>
      <c r="AO369" s="222">
        <v>0</v>
      </c>
    </row>
    <row r="370" spans="1:41" s="223" customFormat="1" ht="36" customHeight="1" x14ac:dyDescent="0.25">
      <c r="A370" s="223">
        <v>1</v>
      </c>
      <c r="B370" s="225">
        <f>SUBTOTAL(103,$A$16:A370)</f>
        <v>333</v>
      </c>
      <c r="C370" s="215" t="s">
        <v>135</v>
      </c>
      <c r="D370" s="217">
        <v>1976</v>
      </c>
      <c r="E370" s="217"/>
      <c r="F370" s="226" t="s">
        <v>287</v>
      </c>
      <c r="G370" s="217">
        <v>5</v>
      </c>
      <c r="H370" s="217" t="s">
        <v>371</v>
      </c>
      <c r="I370" s="190">
        <v>6117.57</v>
      </c>
      <c r="J370" s="190">
        <v>6117.57</v>
      </c>
      <c r="K370" s="190">
        <v>6117.57</v>
      </c>
      <c r="L370" s="219">
        <v>166</v>
      </c>
      <c r="M370" s="217" t="s">
        <v>265</v>
      </c>
      <c r="N370" s="217" t="s">
        <v>269</v>
      </c>
      <c r="O370" s="220" t="s">
        <v>285</v>
      </c>
      <c r="P370" s="190">
        <v>3929633.31</v>
      </c>
      <c r="Q370" s="190">
        <v>0</v>
      </c>
      <c r="R370" s="190">
        <v>0</v>
      </c>
      <c r="S370" s="190">
        <f>P370-R370-Q370</f>
        <v>3929633.31</v>
      </c>
      <c r="T370" s="190">
        <f t="shared" si="35"/>
        <v>642.35199760689295</v>
      </c>
      <c r="U370" s="190">
        <v>1181.2337634060584</v>
      </c>
      <c r="V370" s="221">
        <f t="shared" si="37"/>
        <v>538.88176579916546</v>
      </c>
      <c r="W370" s="221">
        <f t="shared" si="39"/>
        <v>887.25616543823776</v>
      </c>
      <c r="X370" s="221">
        <v>0</v>
      </c>
      <c r="Y370" s="222">
        <v>0</v>
      </c>
      <c r="Z370" s="222">
        <v>0</v>
      </c>
      <c r="AA370" s="222">
        <v>0</v>
      </c>
      <c r="AB370" s="222">
        <v>0</v>
      </c>
      <c r="AC370" s="222">
        <v>0</v>
      </c>
      <c r="AD370" s="222">
        <v>0</v>
      </c>
      <c r="AE370" s="222">
        <v>870</v>
      </c>
      <c r="AF370" s="221">
        <f>6238.91*AE370/I370</f>
        <v>887.25616543823776</v>
      </c>
      <c r="AG370" s="222">
        <v>0</v>
      </c>
      <c r="AH370" s="221">
        <v>0</v>
      </c>
      <c r="AI370" s="222">
        <v>0</v>
      </c>
      <c r="AJ370" s="221">
        <v>0</v>
      </c>
      <c r="AK370" s="222">
        <v>0</v>
      </c>
      <c r="AL370" s="222">
        <v>0</v>
      </c>
      <c r="AM370" s="222">
        <v>0</v>
      </c>
      <c r="AN370" s="222"/>
      <c r="AO370" s="222">
        <v>0</v>
      </c>
    </row>
    <row r="371" spans="1:41" s="223" customFormat="1" ht="36" customHeight="1" x14ac:dyDescent="0.25">
      <c r="A371" s="223">
        <v>1</v>
      </c>
      <c r="B371" s="225">
        <f>SUBTOTAL(103,$A371:A$552)</f>
        <v>136</v>
      </c>
      <c r="C371" s="215" t="s">
        <v>128</v>
      </c>
      <c r="D371" s="217">
        <v>1983</v>
      </c>
      <c r="E371" s="217"/>
      <c r="F371" s="226" t="s">
        <v>267</v>
      </c>
      <c r="G371" s="217">
        <v>2</v>
      </c>
      <c r="H371" s="217" t="s">
        <v>312</v>
      </c>
      <c r="I371" s="218">
        <v>1039.7</v>
      </c>
      <c r="J371" s="218">
        <v>968.1</v>
      </c>
      <c r="K371" s="218">
        <v>908.6</v>
      </c>
      <c r="L371" s="219">
        <v>39</v>
      </c>
      <c r="M371" s="217" t="s">
        <v>265</v>
      </c>
      <c r="N371" s="217" t="s">
        <v>269</v>
      </c>
      <c r="O371" s="220" t="s">
        <v>284</v>
      </c>
      <c r="P371" s="190">
        <v>108615.8</v>
      </c>
      <c r="Q371" s="190">
        <v>0</v>
      </c>
      <c r="R371" s="190">
        <v>0</v>
      </c>
      <c r="S371" s="190">
        <f t="shared" si="38"/>
        <v>108615.8</v>
      </c>
      <c r="T371" s="190">
        <f t="shared" si="35"/>
        <v>104.4684043474079</v>
      </c>
      <c r="U371" s="190">
        <v>104.4684043474079</v>
      </c>
      <c r="V371" s="221">
        <f t="shared" si="37"/>
        <v>0</v>
      </c>
      <c r="W371" s="221">
        <f>T371</f>
        <v>104.4684043474079</v>
      </c>
      <c r="X371" s="221">
        <v>0</v>
      </c>
      <c r="Y371" s="222">
        <v>0</v>
      </c>
      <c r="Z371" s="222">
        <v>0</v>
      </c>
      <c r="AA371" s="222">
        <v>0</v>
      </c>
      <c r="AB371" s="222">
        <v>0</v>
      </c>
      <c r="AC371" s="222">
        <v>0</v>
      </c>
      <c r="AD371" s="222">
        <v>0</v>
      </c>
      <c r="AE371" s="222">
        <v>0</v>
      </c>
      <c r="AF371" s="221">
        <v>0</v>
      </c>
      <c r="AG371" s="222">
        <v>0</v>
      </c>
      <c r="AH371" s="221">
        <v>0</v>
      </c>
      <c r="AI371" s="222">
        <v>0</v>
      </c>
      <c r="AJ371" s="221">
        <v>0</v>
      </c>
      <c r="AK371" s="222">
        <v>0</v>
      </c>
      <c r="AL371" s="222">
        <v>0</v>
      </c>
      <c r="AM371" s="222">
        <v>334.1</v>
      </c>
      <c r="AN371" s="222">
        <f>6984.52*AM371/I371</f>
        <v>2244.4244801385016</v>
      </c>
      <c r="AO371" s="222">
        <v>0</v>
      </c>
    </row>
    <row r="372" spans="1:41" s="223" customFormat="1" ht="36" customHeight="1" x14ac:dyDescent="0.25">
      <c r="A372" s="223">
        <v>1</v>
      </c>
      <c r="B372" s="225">
        <f>SUBTOTAL(103,$A372:A$552)</f>
        <v>135</v>
      </c>
      <c r="C372" s="215" t="s">
        <v>126</v>
      </c>
      <c r="D372" s="217">
        <v>1981</v>
      </c>
      <c r="E372" s="217"/>
      <c r="F372" s="226" t="s">
        <v>267</v>
      </c>
      <c r="G372" s="217">
        <v>2</v>
      </c>
      <c r="H372" s="217" t="s">
        <v>312</v>
      </c>
      <c r="I372" s="218">
        <v>1572.8</v>
      </c>
      <c r="J372" s="218">
        <v>986.3</v>
      </c>
      <c r="K372" s="218">
        <v>925.2</v>
      </c>
      <c r="L372" s="219">
        <v>49</v>
      </c>
      <c r="M372" s="217" t="s">
        <v>265</v>
      </c>
      <c r="N372" s="217" t="s">
        <v>269</v>
      </c>
      <c r="O372" s="220" t="s">
        <v>284</v>
      </c>
      <c r="P372" s="190">
        <v>108130.57</v>
      </c>
      <c r="Q372" s="190">
        <v>0</v>
      </c>
      <c r="R372" s="190">
        <v>0</v>
      </c>
      <c r="S372" s="190">
        <f t="shared" si="38"/>
        <v>108130.57</v>
      </c>
      <c r="T372" s="190">
        <f t="shared" si="35"/>
        <v>68.750362410986781</v>
      </c>
      <c r="U372" s="190">
        <v>68.750362410986781</v>
      </c>
      <c r="V372" s="221">
        <f t="shared" si="37"/>
        <v>0</v>
      </c>
      <c r="W372" s="221">
        <f t="shared" ref="W372:W373" si="40">X372+Y372+Z372+AA372+AB372+AD372+AF372+AH372+AJ372+AL372+AN372+AO372</f>
        <v>3514.5436546286878</v>
      </c>
      <c r="X372" s="221">
        <v>0</v>
      </c>
      <c r="Y372" s="222">
        <v>0</v>
      </c>
      <c r="Z372" s="222">
        <v>0</v>
      </c>
      <c r="AA372" s="222">
        <v>0</v>
      </c>
      <c r="AB372" s="222">
        <v>0</v>
      </c>
      <c r="AC372" s="222">
        <v>0</v>
      </c>
      <c r="AD372" s="222">
        <v>0</v>
      </c>
      <c r="AE372" s="222">
        <v>886</v>
      </c>
      <c r="AF372" s="221">
        <f t="shared" ref="AF372:AF373" si="41">6238.91*AE372/I372</f>
        <v>3514.5436546286878</v>
      </c>
      <c r="AG372" s="222">
        <v>0</v>
      </c>
      <c r="AH372" s="221">
        <v>0</v>
      </c>
      <c r="AI372" s="222">
        <v>0</v>
      </c>
      <c r="AJ372" s="221">
        <v>0</v>
      </c>
      <c r="AK372" s="222">
        <v>0</v>
      </c>
      <c r="AL372" s="222">
        <v>0</v>
      </c>
      <c r="AM372" s="222">
        <v>0</v>
      </c>
      <c r="AN372" s="222"/>
      <c r="AO372" s="222">
        <v>0</v>
      </c>
    </row>
    <row r="373" spans="1:41" s="223" customFormat="1" ht="36" customHeight="1" x14ac:dyDescent="0.25">
      <c r="A373" s="223">
        <v>1</v>
      </c>
      <c r="B373" s="225">
        <f>SUBTOTAL(103,$A373:A$552)</f>
        <v>134</v>
      </c>
      <c r="C373" s="215" t="s">
        <v>129</v>
      </c>
      <c r="D373" s="217">
        <v>1975</v>
      </c>
      <c r="E373" s="217"/>
      <c r="F373" s="226" t="s">
        <v>267</v>
      </c>
      <c r="G373" s="217">
        <v>2</v>
      </c>
      <c r="H373" s="217" t="s">
        <v>312</v>
      </c>
      <c r="I373" s="218">
        <v>786.44</v>
      </c>
      <c r="J373" s="218">
        <v>726.3</v>
      </c>
      <c r="K373" s="218">
        <v>726.3</v>
      </c>
      <c r="L373" s="219">
        <v>32</v>
      </c>
      <c r="M373" s="217" t="s">
        <v>265</v>
      </c>
      <c r="N373" s="217" t="s">
        <v>269</v>
      </c>
      <c r="O373" s="220" t="s">
        <v>284</v>
      </c>
      <c r="P373" s="190">
        <v>89167.88</v>
      </c>
      <c r="Q373" s="190">
        <v>0</v>
      </c>
      <c r="R373" s="190">
        <v>0</v>
      </c>
      <c r="S373" s="190">
        <f t="shared" si="38"/>
        <v>89167.88</v>
      </c>
      <c r="T373" s="190">
        <f t="shared" si="35"/>
        <v>113.38166929454249</v>
      </c>
      <c r="U373" s="190">
        <v>113.38166929454249</v>
      </c>
      <c r="V373" s="221">
        <f t="shared" si="37"/>
        <v>0</v>
      </c>
      <c r="W373" s="221">
        <f t="shared" si="40"/>
        <v>5315.1794161029438</v>
      </c>
      <c r="X373" s="221">
        <v>0</v>
      </c>
      <c r="Y373" s="222">
        <v>0</v>
      </c>
      <c r="Z373" s="222">
        <v>0</v>
      </c>
      <c r="AA373" s="222">
        <v>0</v>
      </c>
      <c r="AB373" s="222">
        <v>0</v>
      </c>
      <c r="AC373" s="222">
        <v>0</v>
      </c>
      <c r="AD373" s="222">
        <v>0</v>
      </c>
      <c r="AE373" s="222">
        <v>670</v>
      </c>
      <c r="AF373" s="221">
        <f t="shared" si="41"/>
        <v>5315.1794161029438</v>
      </c>
      <c r="AG373" s="222">
        <v>0</v>
      </c>
      <c r="AH373" s="221">
        <v>0</v>
      </c>
      <c r="AI373" s="222">
        <v>0</v>
      </c>
      <c r="AJ373" s="221">
        <v>0</v>
      </c>
      <c r="AK373" s="222">
        <v>0</v>
      </c>
      <c r="AL373" s="222">
        <v>0</v>
      </c>
      <c r="AM373" s="222">
        <v>0</v>
      </c>
      <c r="AN373" s="222"/>
      <c r="AO373" s="222">
        <v>0</v>
      </c>
    </row>
    <row r="374" spans="1:41" s="223" customFormat="1" ht="36" customHeight="1" x14ac:dyDescent="0.25">
      <c r="B374" s="215" t="s">
        <v>832</v>
      </c>
      <c r="C374" s="215"/>
      <c r="D374" s="217" t="s">
        <v>890</v>
      </c>
      <c r="E374" s="217" t="s">
        <v>890</v>
      </c>
      <c r="F374" s="217" t="s">
        <v>890</v>
      </c>
      <c r="G374" s="217" t="s">
        <v>890</v>
      </c>
      <c r="H374" s="217" t="s">
        <v>890</v>
      </c>
      <c r="I374" s="218">
        <f>SUM(I375:I376)</f>
        <v>2529.2999999999997</v>
      </c>
      <c r="J374" s="218">
        <f>SUM(J375:J376)</f>
        <v>2222.2999999999997</v>
      </c>
      <c r="K374" s="218">
        <f>SUM(K375:K376)</f>
        <v>2222.2999999999997</v>
      </c>
      <c r="L374" s="219">
        <f>SUM(L375:L376)</f>
        <v>106</v>
      </c>
      <c r="M374" s="217" t="s">
        <v>890</v>
      </c>
      <c r="N374" s="217" t="s">
        <v>890</v>
      </c>
      <c r="O374" s="220" t="s">
        <v>890</v>
      </c>
      <c r="P374" s="190">
        <v>2076549.34</v>
      </c>
      <c r="Q374" s="190">
        <f>SUM(Q375:Q376)</f>
        <v>0</v>
      </c>
      <c r="R374" s="190">
        <f>SUM(R375:R376)</f>
        <v>0</v>
      </c>
      <c r="S374" s="190">
        <f>SUM(S375:S376)</f>
        <v>2076549.34</v>
      </c>
      <c r="T374" s="190">
        <f t="shared" si="35"/>
        <v>820.99764361681105</v>
      </c>
      <c r="U374" s="190">
        <f>MAX(U375:U376)</f>
        <v>1658.5450994506534</v>
      </c>
      <c r="V374" s="221">
        <f t="shared" si="37"/>
        <v>837.54745583384238</v>
      </c>
      <c r="W374" s="221"/>
      <c r="X374" s="221"/>
      <c r="Y374" s="222"/>
      <c r="Z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</row>
    <row r="375" spans="1:41" s="223" customFormat="1" ht="36" customHeight="1" x14ac:dyDescent="0.25">
      <c r="A375" s="223">
        <v>1</v>
      </c>
      <c r="B375" s="225">
        <f>SUBTOTAL(103,$A$16:A375)</f>
        <v>337</v>
      </c>
      <c r="C375" s="215" t="s">
        <v>120</v>
      </c>
      <c r="D375" s="217">
        <v>1984</v>
      </c>
      <c r="E375" s="217"/>
      <c r="F375" s="226" t="s">
        <v>287</v>
      </c>
      <c r="G375" s="217">
        <v>5</v>
      </c>
      <c r="H375" s="217" t="s">
        <v>312</v>
      </c>
      <c r="I375" s="190">
        <v>2111.6</v>
      </c>
      <c r="J375" s="190">
        <v>1804.6</v>
      </c>
      <c r="K375" s="190">
        <v>1804.6</v>
      </c>
      <c r="L375" s="219">
        <v>84</v>
      </c>
      <c r="M375" s="217" t="s">
        <v>265</v>
      </c>
      <c r="N375" s="217" t="s">
        <v>269</v>
      </c>
      <c r="O375" s="220" t="s">
        <v>286</v>
      </c>
      <c r="P375" s="190">
        <v>1724251.6300000001</v>
      </c>
      <c r="Q375" s="190">
        <v>0</v>
      </c>
      <c r="R375" s="190">
        <v>0</v>
      </c>
      <c r="S375" s="190">
        <f>P375-Q375-R375</f>
        <v>1724251.6300000001</v>
      </c>
      <c r="T375" s="190">
        <f t="shared" si="35"/>
        <v>816.56167361242672</v>
      </c>
      <c r="U375" s="190">
        <v>1658.5450994506534</v>
      </c>
      <c r="V375" s="221">
        <f t="shared" si="37"/>
        <v>841.98342583822671</v>
      </c>
      <c r="W375" s="221">
        <f>X375+Y375+Z375+AA375+AB375+AD375+AF375+AH375+AJ375+AL375+AN375+AO375</f>
        <v>1598.7280739723433</v>
      </c>
      <c r="X375" s="221">
        <v>0</v>
      </c>
      <c r="Y375" s="222">
        <v>0</v>
      </c>
      <c r="Z375" s="222">
        <v>0</v>
      </c>
      <c r="AA375" s="222">
        <v>0</v>
      </c>
      <c r="AB375" s="222">
        <v>0</v>
      </c>
      <c r="AC375" s="222">
        <v>0</v>
      </c>
      <c r="AD375" s="222">
        <v>0</v>
      </c>
      <c r="AE375" s="222">
        <v>541.1</v>
      </c>
      <c r="AF375" s="221">
        <f>6238.91*AE375/I375</f>
        <v>1598.7280739723433</v>
      </c>
      <c r="AG375" s="222">
        <v>0</v>
      </c>
      <c r="AH375" s="221">
        <v>0</v>
      </c>
      <c r="AI375" s="222">
        <v>0</v>
      </c>
      <c r="AJ375" s="221">
        <v>0</v>
      </c>
      <c r="AK375" s="222">
        <v>0</v>
      </c>
      <c r="AL375" s="222">
        <v>0</v>
      </c>
      <c r="AM375" s="222">
        <v>0</v>
      </c>
      <c r="AN375" s="222"/>
      <c r="AO375" s="222">
        <v>0</v>
      </c>
    </row>
    <row r="376" spans="1:41" s="223" customFormat="1" ht="36" customHeight="1" x14ac:dyDescent="0.25">
      <c r="A376" s="223">
        <v>1</v>
      </c>
      <c r="B376" s="225">
        <f>SUBTOTAL(103,$A$16:A376)</f>
        <v>338</v>
      </c>
      <c r="C376" s="215" t="s">
        <v>1226</v>
      </c>
      <c r="D376" s="217">
        <v>1987</v>
      </c>
      <c r="E376" s="217"/>
      <c r="F376" s="226" t="s">
        <v>267</v>
      </c>
      <c r="G376" s="217">
        <v>2</v>
      </c>
      <c r="H376" s="217" t="s">
        <v>304</v>
      </c>
      <c r="I376" s="190">
        <v>417.7</v>
      </c>
      <c r="J376" s="190">
        <v>417.7</v>
      </c>
      <c r="K376" s="190">
        <v>417.7</v>
      </c>
      <c r="L376" s="219">
        <v>22</v>
      </c>
      <c r="M376" s="217" t="s">
        <v>265</v>
      </c>
      <c r="N376" s="217" t="s">
        <v>266</v>
      </c>
      <c r="O376" s="220" t="s">
        <v>268</v>
      </c>
      <c r="P376" s="190">
        <v>352297.70999999996</v>
      </c>
      <c r="Q376" s="190">
        <v>0</v>
      </c>
      <c r="R376" s="190">
        <v>0</v>
      </c>
      <c r="S376" s="190">
        <f>P376-Q376-R376</f>
        <v>352297.70999999996</v>
      </c>
      <c r="T376" s="190">
        <f t="shared" si="35"/>
        <v>843.4228154177639</v>
      </c>
      <c r="U376" s="190">
        <v>1278.1477615513529</v>
      </c>
      <c r="V376" s="221">
        <f t="shared" si="37"/>
        <v>434.72494613358901</v>
      </c>
      <c r="W376" s="221">
        <f>T376</f>
        <v>843.4228154177639</v>
      </c>
      <c r="X376" s="221">
        <v>113.09</v>
      </c>
      <c r="Y376" s="222">
        <v>0</v>
      </c>
      <c r="Z376" s="222">
        <v>0</v>
      </c>
      <c r="AA376" s="222">
        <v>184.98</v>
      </c>
      <c r="AB376" s="222">
        <v>795.31</v>
      </c>
      <c r="AC376" s="222">
        <v>0</v>
      </c>
      <c r="AD376" s="222">
        <v>0</v>
      </c>
      <c r="AE376" s="222">
        <v>0</v>
      </c>
      <c r="AF376" s="221">
        <v>0</v>
      </c>
      <c r="AG376" s="222">
        <v>0</v>
      </c>
      <c r="AH376" s="221">
        <v>0</v>
      </c>
      <c r="AI376" s="222">
        <v>0</v>
      </c>
      <c r="AJ376" s="221">
        <v>0</v>
      </c>
      <c r="AK376" s="222">
        <v>0</v>
      </c>
      <c r="AL376" s="222">
        <v>0</v>
      </c>
      <c r="AM376" s="222">
        <v>0</v>
      </c>
      <c r="AN376" s="222"/>
      <c r="AO376" s="222">
        <v>0</v>
      </c>
    </row>
    <row r="377" spans="1:41" s="223" customFormat="1" ht="36" customHeight="1" x14ac:dyDescent="0.25">
      <c r="B377" s="215" t="s">
        <v>891</v>
      </c>
      <c r="C377" s="215"/>
      <c r="D377" s="217" t="s">
        <v>890</v>
      </c>
      <c r="E377" s="217" t="s">
        <v>890</v>
      </c>
      <c r="F377" s="217" t="s">
        <v>890</v>
      </c>
      <c r="G377" s="217" t="s">
        <v>890</v>
      </c>
      <c r="H377" s="217" t="s">
        <v>890</v>
      </c>
      <c r="I377" s="218">
        <f>I378</f>
        <v>375</v>
      </c>
      <c r="J377" s="218">
        <f>J378</f>
        <v>310</v>
      </c>
      <c r="K377" s="218">
        <f>K378</f>
        <v>310</v>
      </c>
      <c r="L377" s="219">
        <f>L378</f>
        <v>21</v>
      </c>
      <c r="M377" s="217" t="s">
        <v>890</v>
      </c>
      <c r="N377" s="217" t="s">
        <v>890</v>
      </c>
      <c r="O377" s="220" t="s">
        <v>890</v>
      </c>
      <c r="P377" s="190">
        <v>2005046.9200000002</v>
      </c>
      <c r="Q377" s="190">
        <f>Q378</f>
        <v>0</v>
      </c>
      <c r="R377" s="190">
        <f>R378</f>
        <v>0</v>
      </c>
      <c r="S377" s="190">
        <f>S378</f>
        <v>2005046.9200000002</v>
      </c>
      <c r="T377" s="190">
        <f t="shared" si="35"/>
        <v>5346.7917866666667</v>
      </c>
      <c r="U377" s="190">
        <f>MAX(U378)</f>
        <v>12747.550706666667</v>
      </c>
      <c r="V377" s="221">
        <f t="shared" si="37"/>
        <v>7400.7589200000002</v>
      </c>
      <c r="W377" s="221"/>
      <c r="X377" s="221"/>
      <c r="Y377" s="222"/>
      <c r="Z377" s="222"/>
      <c r="AA377" s="222"/>
      <c r="AB377" s="222"/>
      <c r="AC377" s="222"/>
      <c r="AD377" s="222"/>
      <c r="AE377" s="222"/>
      <c r="AF377" s="222"/>
      <c r="AG377" s="222"/>
      <c r="AH377" s="222"/>
      <c r="AI377" s="222"/>
      <c r="AJ377" s="222"/>
      <c r="AK377" s="222"/>
      <c r="AL377" s="222"/>
      <c r="AM377" s="222"/>
      <c r="AN377" s="222"/>
      <c r="AO377" s="222"/>
    </row>
    <row r="378" spans="1:41" s="223" customFormat="1" ht="36" customHeight="1" x14ac:dyDescent="0.25">
      <c r="A378" s="223">
        <v>1</v>
      </c>
      <c r="B378" s="225">
        <f>SUBTOTAL(103,$A$16:A378)</f>
        <v>339</v>
      </c>
      <c r="C378" s="215" t="s">
        <v>121</v>
      </c>
      <c r="D378" s="217">
        <v>1967</v>
      </c>
      <c r="E378" s="217"/>
      <c r="F378" s="226" t="s">
        <v>267</v>
      </c>
      <c r="G378" s="217">
        <v>2</v>
      </c>
      <c r="H378" s="217" t="s">
        <v>304</v>
      </c>
      <c r="I378" s="190">
        <v>375</v>
      </c>
      <c r="J378" s="190">
        <v>310</v>
      </c>
      <c r="K378" s="190">
        <v>310</v>
      </c>
      <c r="L378" s="219">
        <v>21</v>
      </c>
      <c r="M378" s="217" t="s">
        <v>265</v>
      </c>
      <c r="N378" s="217" t="s">
        <v>266</v>
      </c>
      <c r="O378" s="220" t="s">
        <v>268</v>
      </c>
      <c r="P378" s="190">
        <v>2005046.9200000002</v>
      </c>
      <c r="Q378" s="190">
        <v>0</v>
      </c>
      <c r="R378" s="190">
        <v>0</v>
      </c>
      <c r="S378" s="190">
        <f>P378-Q378-R378</f>
        <v>2005046.9200000002</v>
      </c>
      <c r="T378" s="190">
        <f t="shared" si="35"/>
        <v>5346.7917866666667</v>
      </c>
      <c r="U378" s="190">
        <v>12747.550706666667</v>
      </c>
      <c r="V378" s="221">
        <f>U378-T378</f>
        <v>7400.7589200000002</v>
      </c>
      <c r="W378" s="221">
        <f>X378+Y378+Z378+AA378+AB378+AD378+AF378+AH378+AJ378+AL378+AN378+AO378</f>
        <v>13156.01648266667</v>
      </c>
      <c r="X378" s="221">
        <v>0</v>
      </c>
      <c r="Y378" s="222">
        <v>0</v>
      </c>
      <c r="Z378" s="222">
        <v>0</v>
      </c>
      <c r="AA378" s="222">
        <v>0</v>
      </c>
      <c r="AB378" s="222">
        <v>0</v>
      </c>
      <c r="AC378" s="222">
        <v>0</v>
      </c>
      <c r="AD378" s="222">
        <v>0</v>
      </c>
      <c r="AE378" s="222">
        <v>313.10000000000002</v>
      </c>
      <c r="AF378" s="221">
        <f>6238.91*AE378/I378</f>
        <v>5209.0739226666674</v>
      </c>
      <c r="AG378" s="222">
        <v>0</v>
      </c>
      <c r="AH378" s="221">
        <v>0</v>
      </c>
      <c r="AI378" s="222">
        <v>400.6</v>
      </c>
      <c r="AJ378" s="221">
        <f>7439.1*AI378/I378</f>
        <v>7946.9425600000013</v>
      </c>
      <c r="AK378" s="222">
        <v>0</v>
      </c>
      <c r="AL378" s="222">
        <v>0</v>
      </c>
      <c r="AM378" s="222">
        <v>0</v>
      </c>
      <c r="AN378" s="222"/>
      <c r="AO378" s="222">
        <v>0</v>
      </c>
    </row>
    <row r="379" spans="1:41" s="223" customFormat="1" ht="36" customHeight="1" x14ac:dyDescent="0.25">
      <c r="B379" s="215" t="s">
        <v>833</v>
      </c>
      <c r="C379" s="215"/>
      <c r="D379" s="217" t="s">
        <v>890</v>
      </c>
      <c r="E379" s="217" t="s">
        <v>890</v>
      </c>
      <c r="F379" s="217" t="s">
        <v>890</v>
      </c>
      <c r="G379" s="217" t="s">
        <v>890</v>
      </c>
      <c r="H379" s="217" t="s">
        <v>890</v>
      </c>
      <c r="I379" s="218">
        <f>I380</f>
        <v>1156.21</v>
      </c>
      <c r="J379" s="218">
        <f>J380</f>
        <v>880.01</v>
      </c>
      <c r="K379" s="218">
        <f>K380</f>
        <v>880.01</v>
      </c>
      <c r="L379" s="219">
        <f>L380</f>
        <v>44</v>
      </c>
      <c r="M379" s="217" t="s">
        <v>890</v>
      </c>
      <c r="N379" s="217" t="s">
        <v>890</v>
      </c>
      <c r="O379" s="220" t="s">
        <v>890</v>
      </c>
      <c r="P379" s="190">
        <v>3716503.4299999997</v>
      </c>
      <c r="Q379" s="190">
        <f>Q380</f>
        <v>0</v>
      </c>
      <c r="R379" s="190">
        <f>R380</f>
        <v>0</v>
      </c>
      <c r="S379" s="190">
        <f>S380</f>
        <v>3716503.4299999997</v>
      </c>
      <c r="T379" s="190">
        <f t="shared" si="35"/>
        <v>3214.3844370832285</v>
      </c>
      <c r="U379" s="190">
        <f>MAX(U380)</f>
        <v>4708.7828508661923</v>
      </c>
      <c r="V379" s="221">
        <f t="shared" si="37"/>
        <v>1494.3984137829639</v>
      </c>
      <c r="W379" s="221"/>
      <c r="X379" s="221"/>
      <c r="Y379" s="222"/>
      <c r="Z379" s="222"/>
      <c r="AA379" s="222"/>
      <c r="AB379" s="222"/>
      <c r="AC379" s="222"/>
      <c r="AD379" s="222"/>
      <c r="AE379" s="222"/>
      <c r="AF379" s="222"/>
      <c r="AG379" s="222"/>
      <c r="AH379" s="222"/>
      <c r="AI379" s="222"/>
      <c r="AJ379" s="222"/>
      <c r="AK379" s="222"/>
      <c r="AL379" s="222"/>
      <c r="AM379" s="222"/>
      <c r="AN379" s="222"/>
      <c r="AO379" s="222"/>
    </row>
    <row r="380" spans="1:41" s="223" customFormat="1" ht="36" customHeight="1" x14ac:dyDescent="0.25">
      <c r="A380" s="223">
        <v>1</v>
      </c>
      <c r="B380" s="225">
        <f>SUBTOTAL(103,$A$16:A380)</f>
        <v>340</v>
      </c>
      <c r="C380" s="215" t="s">
        <v>122</v>
      </c>
      <c r="D380" s="217">
        <v>1990</v>
      </c>
      <c r="E380" s="217"/>
      <c r="F380" s="226" t="s">
        <v>267</v>
      </c>
      <c r="G380" s="217">
        <v>2</v>
      </c>
      <c r="H380" s="217" t="s">
        <v>312</v>
      </c>
      <c r="I380" s="190">
        <v>1156.21</v>
      </c>
      <c r="J380" s="190">
        <v>880.01</v>
      </c>
      <c r="K380" s="190">
        <v>880.01</v>
      </c>
      <c r="L380" s="219">
        <v>44</v>
      </c>
      <c r="M380" s="217" t="s">
        <v>265</v>
      </c>
      <c r="N380" s="217" t="s">
        <v>266</v>
      </c>
      <c r="O380" s="220" t="s">
        <v>268</v>
      </c>
      <c r="P380" s="190">
        <v>3716503.4299999997</v>
      </c>
      <c r="Q380" s="190">
        <v>0</v>
      </c>
      <c r="R380" s="190">
        <v>0</v>
      </c>
      <c r="S380" s="190">
        <f>P380-Q380-R380</f>
        <v>3716503.4299999997</v>
      </c>
      <c r="T380" s="190">
        <f t="shared" si="35"/>
        <v>3214.3844370832285</v>
      </c>
      <c r="U380" s="190">
        <v>4708.7828508661923</v>
      </c>
      <c r="V380" s="221">
        <f>U380-T380</f>
        <v>1494.3984137829639</v>
      </c>
      <c r="W380" s="221">
        <f>X380+Y380+Z380+AA380+AB380+AD380+AF380+AH380+AJ380+AL380+AN380+AO380</f>
        <v>4357.0547466290727</v>
      </c>
      <c r="X380" s="221">
        <v>0</v>
      </c>
      <c r="Y380" s="222">
        <v>0</v>
      </c>
      <c r="Z380" s="222">
        <v>0</v>
      </c>
      <c r="AA380" s="222">
        <v>0</v>
      </c>
      <c r="AB380" s="222">
        <v>0</v>
      </c>
      <c r="AC380" s="222">
        <v>0</v>
      </c>
      <c r="AD380" s="222">
        <v>0</v>
      </c>
      <c r="AE380" s="222">
        <v>807.46</v>
      </c>
      <c r="AF380" s="221">
        <f>6238.91*AE380/I380</f>
        <v>4357.0547466290727</v>
      </c>
      <c r="AG380" s="222">
        <v>0</v>
      </c>
      <c r="AH380" s="221">
        <v>0</v>
      </c>
      <c r="AI380" s="222">
        <v>0</v>
      </c>
      <c r="AJ380" s="221">
        <v>0</v>
      </c>
      <c r="AK380" s="222">
        <v>0</v>
      </c>
      <c r="AL380" s="222">
        <v>0</v>
      </c>
      <c r="AM380" s="222">
        <v>0</v>
      </c>
      <c r="AN380" s="222"/>
      <c r="AO380" s="222">
        <v>0</v>
      </c>
    </row>
    <row r="381" spans="1:41" s="223" customFormat="1" ht="36" customHeight="1" x14ac:dyDescent="0.25">
      <c r="B381" s="215" t="s">
        <v>834</v>
      </c>
      <c r="C381" s="227"/>
      <c r="D381" s="217" t="s">
        <v>890</v>
      </c>
      <c r="E381" s="217" t="s">
        <v>890</v>
      </c>
      <c r="F381" s="217" t="s">
        <v>890</v>
      </c>
      <c r="G381" s="217" t="s">
        <v>890</v>
      </c>
      <c r="H381" s="217" t="s">
        <v>890</v>
      </c>
      <c r="I381" s="218">
        <f>SUM(I382:I385)</f>
        <v>2624.2</v>
      </c>
      <c r="J381" s="218">
        <f>SUM(J382:J385)</f>
        <v>2293.7000000000003</v>
      </c>
      <c r="K381" s="218">
        <f>SUM(K382:K385)</f>
        <v>2293.7000000000003</v>
      </c>
      <c r="L381" s="219">
        <f>SUM(L382:L385)</f>
        <v>125</v>
      </c>
      <c r="M381" s="217" t="s">
        <v>890</v>
      </c>
      <c r="N381" s="217" t="s">
        <v>890</v>
      </c>
      <c r="O381" s="220" t="s">
        <v>890</v>
      </c>
      <c r="P381" s="218">
        <v>4283070.8099999996</v>
      </c>
      <c r="Q381" s="218">
        <f>SUM(Q382:Q385)</f>
        <v>0</v>
      </c>
      <c r="R381" s="218">
        <f>SUM(R382:R385)</f>
        <v>0</v>
      </c>
      <c r="S381" s="218">
        <f>SUM(S382:S385)</f>
        <v>4283070.8099999996</v>
      </c>
      <c r="T381" s="190">
        <f t="shared" si="35"/>
        <v>1632.1434380001524</v>
      </c>
      <c r="U381" s="190">
        <f>MAX(U382:U385)</f>
        <v>9712.3472287707482</v>
      </c>
      <c r="V381" s="221">
        <f t="shared" si="37"/>
        <v>8080.2037907705962</v>
      </c>
      <c r="W381" s="221"/>
      <c r="X381" s="221"/>
      <c r="Y381" s="222"/>
      <c r="Z381" s="222"/>
      <c r="AA381" s="222"/>
      <c r="AB381" s="222"/>
      <c r="AC381" s="222"/>
      <c r="AD381" s="222"/>
      <c r="AE381" s="222"/>
      <c r="AF381" s="222"/>
      <c r="AG381" s="222"/>
      <c r="AH381" s="222"/>
      <c r="AI381" s="222"/>
      <c r="AJ381" s="222"/>
      <c r="AK381" s="222"/>
      <c r="AL381" s="222"/>
      <c r="AM381" s="222"/>
      <c r="AN381" s="222"/>
      <c r="AO381" s="222"/>
    </row>
    <row r="382" spans="1:41" s="223" customFormat="1" ht="36" customHeight="1" x14ac:dyDescent="0.25">
      <c r="A382" s="223">
        <v>1</v>
      </c>
      <c r="B382" s="225">
        <f>SUBTOTAL(103,$A$16:A382)</f>
        <v>341</v>
      </c>
      <c r="C382" s="215" t="s">
        <v>170</v>
      </c>
      <c r="D382" s="217">
        <v>1957</v>
      </c>
      <c r="E382" s="217"/>
      <c r="F382" s="226" t="s">
        <v>267</v>
      </c>
      <c r="G382" s="217">
        <v>2</v>
      </c>
      <c r="H382" s="217" t="s">
        <v>303</v>
      </c>
      <c r="I382" s="190">
        <v>765.1</v>
      </c>
      <c r="J382" s="190">
        <v>686.7</v>
      </c>
      <c r="K382" s="190">
        <v>686.7</v>
      </c>
      <c r="L382" s="219">
        <v>31</v>
      </c>
      <c r="M382" s="217" t="s">
        <v>265</v>
      </c>
      <c r="N382" s="217" t="s">
        <v>337</v>
      </c>
      <c r="O382" s="220" t="s">
        <v>999</v>
      </c>
      <c r="P382" s="190">
        <v>2321700.09</v>
      </c>
      <c r="Q382" s="190">
        <v>0</v>
      </c>
      <c r="R382" s="190">
        <v>0</v>
      </c>
      <c r="S382" s="190">
        <f>P382-Q382-R382</f>
        <v>2321700.09</v>
      </c>
      <c r="T382" s="190">
        <f t="shared" si="35"/>
        <v>3034.5054110573778</v>
      </c>
      <c r="U382" s="190">
        <v>5769.4064958828903</v>
      </c>
      <c r="V382" s="221">
        <f t="shared" si="37"/>
        <v>2734.9010848255125</v>
      </c>
      <c r="W382" s="221">
        <f>X382+Y382+Z382+AA382+AB382+AD382+AF382+AH382+AJ382+AL382+AN382+AO382</f>
        <v>5531.1105123513262</v>
      </c>
      <c r="X382" s="221">
        <v>0</v>
      </c>
      <c r="Y382" s="222">
        <v>0</v>
      </c>
      <c r="Z382" s="222">
        <v>0</v>
      </c>
      <c r="AA382" s="222">
        <v>0</v>
      </c>
      <c r="AB382" s="222">
        <v>0</v>
      </c>
      <c r="AC382" s="222">
        <v>0</v>
      </c>
      <c r="AD382" s="222">
        <v>0</v>
      </c>
      <c r="AE382" s="222">
        <v>678.3</v>
      </c>
      <c r="AF382" s="221">
        <f>6238.91*AE382/I382</f>
        <v>5531.1105123513262</v>
      </c>
      <c r="AG382" s="222">
        <v>0</v>
      </c>
      <c r="AH382" s="221">
        <v>0</v>
      </c>
      <c r="AI382" s="222">
        <v>0</v>
      </c>
      <c r="AJ382" s="221">
        <v>0</v>
      </c>
      <c r="AK382" s="222">
        <v>0</v>
      </c>
      <c r="AL382" s="222">
        <v>0</v>
      </c>
      <c r="AM382" s="222">
        <v>0</v>
      </c>
      <c r="AN382" s="222"/>
      <c r="AO382" s="222">
        <v>0</v>
      </c>
    </row>
    <row r="383" spans="1:41" s="223" customFormat="1" ht="36" customHeight="1" x14ac:dyDescent="0.25">
      <c r="A383" s="223">
        <v>1</v>
      </c>
      <c r="B383" s="225">
        <f>SUBTOTAL(103,$A$16:A383)</f>
        <v>342</v>
      </c>
      <c r="C383" s="215" t="s">
        <v>171</v>
      </c>
      <c r="D383" s="217">
        <v>1957</v>
      </c>
      <c r="E383" s="217"/>
      <c r="F383" s="226" t="s">
        <v>267</v>
      </c>
      <c r="G383" s="217">
        <v>2</v>
      </c>
      <c r="H383" s="217" t="s">
        <v>303</v>
      </c>
      <c r="I383" s="190">
        <v>415.7</v>
      </c>
      <c r="J383" s="190">
        <v>368.1</v>
      </c>
      <c r="K383" s="190">
        <v>368.1</v>
      </c>
      <c r="L383" s="219">
        <v>26</v>
      </c>
      <c r="M383" s="217" t="s">
        <v>265</v>
      </c>
      <c r="N383" s="217" t="s">
        <v>337</v>
      </c>
      <c r="O383" s="220" t="s">
        <v>810</v>
      </c>
      <c r="P383" s="190">
        <v>1808703.59</v>
      </c>
      <c r="Q383" s="190">
        <v>0</v>
      </c>
      <c r="R383" s="190">
        <v>0</v>
      </c>
      <c r="S383" s="190">
        <f>P383-Q383-R383</f>
        <v>1808703.59</v>
      </c>
      <c r="T383" s="190">
        <f t="shared" si="35"/>
        <v>4350.9828963194614</v>
      </c>
      <c r="U383" s="190">
        <v>9712.3472287707482</v>
      </c>
      <c r="V383" s="221">
        <f t="shared" si="37"/>
        <v>5361.3643324512868</v>
      </c>
      <c r="W383" s="221">
        <f>X383+Y383+Z383+AA383+AB383+AD383+AF383+AH383+AJ383+AL383+AN383+AO383</f>
        <v>10179.952913158528</v>
      </c>
      <c r="X383" s="221">
        <v>0</v>
      </c>
      <c r="Y383" s="222">
        <v>0</v>
      </c>
      <c r="Z383" s="222">
        <v>0</v>
      </c>
      <c r="AA383" s="222">
        <v>0</v>
      </c>
      <c r="AB383" s="222">
        <v>0</v>
      </c>
      <c r="AC383" s="222">
        <v>0</v>
      </c>
      <c r="AD383" s="222">
        <v>0</v>
      </c>
      <c r="AE383" s="222">
        <v>0</v>
      </c>
      <c r="AF383" s="221">
        <v>0</v>
      </c>
      <c r="AG383" s="222">
        <v>0</v>
      </c>
      <c r="AH383" s="221">
        <v>0</v>
      </c>
      <c r="AI383" s="222">
        <v>568.86</v>
      </c>
      <c r="AJ383" s="221">
        <f>7439.1*AI383/I383</f>
        <v>10179.952913158528</v>
      </c>
      <c r="AK383" s="222">
        <v>0</v>
      </c>
      <c r="AL383" s="222">
        <v>0</v>
      </c>
      <c r="AM383" s="222">
        <v>0</v>
      </c>
      <c r="AN383" s="222"/>
      <c r="AO383" s="222">
        <v>0</v>
      </c>
    </row>
    <row r="384" spans="1:41" s="223" customFormat="1" ht="36" customHeight="1" x14ac:dyDescent="0.25">
      <c r="A384" s="223">
        <v>1</v>
      </c>
      <c r="B384" s="225">
        <f>SUBTOTAL(103,$A$16:A384)</f>
        <v>343</v>
      </c>
      <c r="C384" s="215" t="s">
        <v>169</v>
      </c>
      <c r="D384" s="217">
        <v>1983</v>
      </c>
      <c r="E384" s="217"/>
      <c r="F384" s="226" t="s">
        <v>267</v>
      </c>
      <c r="G384" s="217">
        <v>2</v>
      </c>
      <c r="H384" s="217" t="s">
        <v>312</v>
      </c>
      <c r="I384" s="190">
        <v>1044.4000000000001</v>
      </c>
      <c r="J384" s="190">
        <v>943.9</v>
      </c>
      <c r="K384" s="190">
        <v>943.9</v>
      </c>
      <c r="L384" s="219">
        <v>47</v>
      </c>
      <c r="M384" s="217" t="s">
        <v>265</v>
      </c>
      <c r="N384" s="217" t="s">
        <v>337</v>
      </c>
      <c r="O384" s="220" t="s">
        <v>810</v>
      </c>
      <c r="P384" s="190">
        <v>104027.61</v>
      </c>
      <c r="Q384" s="190">
        <v>0</v>
      </c>
      <c r="R384" s="190">
        <v>0</v>
      </c>
      <c r="S384" s="190">
        <f>P384-Q384-R384</f>
        <v>104027.61</v>
      </c>
      <c r="T384" s="190">
        <f t="shared" si="35"/>
        <v>99.605141708157788</v>
      </c>
      <c r="U384" s="190">
        <v>99.605141708157788</v>
      </c>
      <c r="V384" s="221">
        <f t="shared" si="37"/>
        <v>0</v>
      </c>
      <c r="W384" s="221">
        <f>T384</f>
        <v>99.605141708157788</v>
      </c>
      <c r="X384" s="221">
        <v>0</v>
      </c>
      <c r="Y384" s="222">
        <v>0</v>
      </c>
      <c r="Z384" s="222">
        <v>0</v>
      </c>
      <c r="AA384" s="222">
        <v>0</v>
      </c>
      <c r="AB384" s="222">
        <v>0</v>
      </c>
      <c r="AC384" s="222">
        <v>0</v>
      </c>
      <c r="AD384" s="222">
        <v>0</v>
      </c>
      <c r="AE384" s="222">
        <v>0</v>
      </c>
      <c r="AF384" s="221">
        <v>0</v>
      </c>
      <c r="AG384" s="222">
        <v>0</v>
      </c>
      <c r="AH384" s="221">
        <v>0</v>
      </c>
      <c r="AI384" s="222">
        <v>0</v>
      </c>
      <c r="AJ384" s="221">
        <v>0</v>
      </c>
      <c r="AK384" s="222">
        <v>0</v>
      </c>
      <c r="AL384" s="222">
        <v>0</v>
      </c>
      <c r="AM384" s="222">
        <v>690</v>
      </c>
      <c r="AN384" s="222">
        <f>6984.52*AM384/I384</f>
        <v>4614.4377633090771</v>
      </c>
      <c r="AO384" s="222">
        <v>0</v>
      </c>
    </row>
    <row r="385" spans="1:41" s="223" customFormat="1" ht="36" customHeight="1" x14ac:dyDescent="0.25">
      <c r="A385" s="223">
        <v>1</v>
      </c>
      <c r="B385" s="225">
        <f>SUBTOTAL(103,$A$16:A385)</f>
        <v>344</v>
      </c>
      <c r="C385" s="215" t="s">
        <v>1569</v>
      </c>
      <c r="D385" s="217">
        <v>1967</v>
      </c>
      <c r="E385" s="217"/>
      <c r="F385" s="226" t="s">
        <v>1571</v>
      </c>
      <c r="G385" s="217">
        <v>2</v>
      </c>
      <c r="H385" s="217" t="s">
        <v>304</v>
      </c>
      <c r="I385" s="190">
        <v>399</v>
      </c>
      <c r="J385" s="190">
        <v>295</v>
      </c>
      <c r="K385" s="190">
        <v>295</v>
      </c>
      <c r="L385" s="219">
        <v>21</v>
      </c>
      <c r="M385" s="217" t="s">
        <v>265</v>
      </c>
      <c r="N385" s="217" t="s">
        <v>337</v>
      </c>
      <c r="O385" s="220" t="s">
        <v>810</v>
      </c>
      <c r="P385" s="190">
        <v>48639.519999999997</v>
      </c>
      <c r="Q385" s="190">
        <v>0</v>
      </c>
      <c r="R385" s="190">
        <v>0</v>
      </c>
      <c r="S385" s="190">
        <f>P385-R385-Q385</f>
        <v>48639.519999999997</v>
      </c>
      <c r="T385" s="190">
        <f t="shared" si="35"/>
        <v>121.9035588972431</v>
      </c>
      <c r="U385" s="190">
        <v>121.9035588972431</v>
      </c>
      <c r="V385" s="221">
        <f t="shared" si="37"/>
        <v>0</v>
      </c>
      <c r="W385" s="221">
        <f>T385</f>
        <v>121.9035588972431</v>
      </c>
      <c r="X385" s="221">
        <v>0</v>
      </c>
      <c r="Y385" s="222">
        <v>0</v>
      </c>
      <c r="Z385" s="222">
        <v>0</v>
      </c>
      <c r="AA385" s="222">
        <v>0</v>
      </c>
      <c r="AB385" s="222">
        <v>0</v>
      </c>
      <c r="AC385" s="222">
        <v>0</v>
      </c>
      <c r="AD385" s="222">
        <v>0</v>
      </c>
      <c r="AE385" s="222">
        <v>172</v>
      </c>
      <c r="AF385" s="221">
        <f>6436.53*AE385/I385</f>
        <v>2774.6445112781953</v>
      </c>
      <c r="AG385" s="222">
        <v>0</v>
      </c>
      <c r="AH385" s="221">
        <v>0</v>
      </c>
      <c r="AI385" s="222">
        <v>0</v>
      </c>
      <c r="AJ385" s="221">
        <v>0</v>
      </c>
      <c r="AK385" s="222">
        <v>0</v>
      </c>
      <c r="AL385" s="222">
        <v>0</v>
      </c>
      <c r="AM385" s="222">
        <v>0</v>
      </c>
      <c r="AN385" s="222"/>
      <c r="AO385" s="222">
        <v>0</v>
      </c>
    </row>
    <row r="386" spans="1:41" s="223" customFormat="1" ht="36" customHeight="1" x14ac:dyDescent="0.25">
      <c r="B386" s="215" t="s">
        <v>835</v>
      </c>
      <c r="C386" s="215"/>
      <c r="D386" s="217" t="s">
        <v>890</v>
      </c>
      <c r="E386" s="217" t="s">
        <v>890</v>
      </c>
      <c r="F386" s="217" t="s">
        <v>890</v>
      </c>
      <c r="G386" s="217" t="s">
        <v>890</v>
      </c>
      <c r="H386" s="217" t="s">
        <v>890</v>
      </c>
      <c r="I386" s="218">
        <f>SUM(I387:I388)</f>
        <v>1157</v>
      </c>
      <c r="J386" s="218">
        <f>SUM(J387:J388)</f>
        <v>1036</v>
      </c>
      <c r="K386" s="218">
        <f>SUM(K387:K388)</f>
        <v>1036</v>
      </c>
      <c r="L386" s="219">
        <f>SUM(L387:L388)</f>
        <v>40</v>
      </c>
      <c r="M386" s="217" t="s">
        <v>890</v>
      </c>
      <c r="N386" s="217" t="s">
        <v>890</v>
      </c>
      <c r="O386" s="220" t="s">
        <v>890</v>
      </c>
      <c r="P386" s="190">
        <v>3114731.1799999997</v>
      </c>
      <c r="Q386" s="190">
        <f>SUM(Q387:Q388)</f>
        <v>0</v>
      </c>
      <c r="R386" s="190">
        <f>SUM(R387:R388)</f>
        <v>0</v>
      </c>
      <c r="S386" s="190">
        <f>SUM(S387:S388)</f>
        <v>3114731.1799999997</v>
      </c>
      <c r="T386" s="190">
        <f t="shared" si="35"/>
        <v>2692.0753500432152</v>
      </c>
      <c r="U386" s="190">
        <f>MAX(U387:U388)</f>
        <v>5729.0594035087715</v>
      </c>
      <c r="V386" s="221">
        <f t="shared" si="37"/>
        <v>3036.9840534655564</v>
      </c>
      <c r="W386" s="221"/>
      <c r="X386" s="221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</row>
    <row r="387" spans="1:41" s="223" customFormat="1" ht="36" customHeight="1" x14ac:dyDescent="0.25">
      <c r="A387" s="223">
        <v>1</v>
      </c>
      <c r="B387" s="225">
        <f>SUBTOTAL(103,$A$16:A387)</f>
        <v>345</v>
      </c>
      <c r="C387" s="215" t="s">
        <v>168</v>
      </c>
      <c r="D387" s="217">
        <v>1956</v>
      </c>
      <c r="E387" s="217"/>
      <c r="F387" s="226" t="s">
        <v>267</v>
      </c>
      <c r="G387" s="217">
        <v>2</v>
      </c>
      <c r="H387" s="217" t="s">
        <v>303</v>
      </c>
      <c r="I387" s="190">
        <v>456</v>
      </c>
      <c r="J387" s="190">
        <v>399</v>
      </c>
      <c r="K387" s="190">
        <v>399</v>
      </c>
      <c r="L387" s="219">
        <v>14</v>
      </c>
      <c r="M387" s="217" t="s">
        <v>265</v>
      </c>
      <c r="N387" s="217" t="s">
        <v>337</v>
      </c>
      <c r="O387" s="220" t="s">
        <v>1000</v>
      </c>
      <c r="P387" s="190">
        <v>1327902.99</v>
      </c>
      <c r="Q387" s="190">
        <v>0</v>
      </c>
      <c r="R387" s="190">
        <v>0</v>
      </c>
      <c r="S387" s="190">
        <f>P387-Q387-R387</f>
        <v>1327902.99</v>
      </c>
      <c r="T387" s="190">
        <f t="shared" si="35"/>
        <v>2912.0679605263158</v>
      </c>
      <c r="U387" s="190">
        <v>5729.0594035087715</v>
      </c>
      <c r="V387" s="221">
        <f t="shared" si="37"/>
        <v>2816.9914429824557</v>
      </c>
      <c r="W387" s="221">
        <f>X387+Y387+Z387+AA387+AB387+AD387+AF387+AH387+AJ387+AL387+AN387+AO387</f>
        <v>5648.129004824561</v>
      </c>
      <c r="X387" s="221">
        <v>0</v>
      </c>
      <c r="Y387" s="222">
        <v>0</v>
      </c>
      <c r="Z387" s="222">
        <v>0</v>
      </c>
      <c r="AA387" s="222">
        <v>0</v>
      </c>
      <c r="AB387" s="222">
        <v>0</v>
      </c>
      <c r="AC387" s="222">
        <v>0</v>
      </c>
      <c r="AD387" s="222">
        <v>0</v>
      </c>
      <c r="AE387" s="222">
        <v>412.82</v>
      </c>
      <c r="AF387" s="221">
        <f>6238.91*AE387/I387</f>
        <v>5648.129004824561</v>
      </c>
      <c r="AG387" s="222">
        <v>0</v>
      </c>
      <c r="AH387" s="221">
        <v>0</v>
      </c>
      <c r="AI387" s="222">
        <v>0</v>
      </c>
      <c r="AJ387" s="221">
        <v>0</v>
      </c>
      <c r="AK387" s="222">
        <v>0</v>
      </c>
      <c r="AL387" s="222">
        <v>0</v>
      </c>
      <c r="AM387" s="222">
        <v>0</v>
      </c>
      <c r="AN387" s="222"/>
      <c r="AO387" s="222">
        <v>0</v>
      </c>
    </row>
    <row r="388" spans="1:41" s="223" customFormat="1" ht="36" customHeight="1" x14ac:dyDescent="0.25">
      <c r="A388" s="223">
        <v>1</v>
      </c>
      <c r="B388" s="225">
        <f>SUBTOTAL(103,$A$16:A388)</f>
        <v>346</v>
      </c>
      <c r="C388" s="215" t="s">
        <v>1229</v>
      </c>
      <c r="D388" s="217">
        <v>1960</v>
      </c>
      <c r="E388" s="217"/>
      <c r="F388" s="226" t="s">
        <v>267</v>
      </c>
      <c r="G388" s="217">
        <v>2</v>
      </c>
      <c r="H388" s="217" t="s">
        <v>303</v>
      </c>
      <c r="I388" s="190">
        <v>701</v>
      </c>
      <c r="J388" s="190">
        <v>637</v>
      </c>
      <c r="K388" s="190">
        <v>637</v>
      </c>
      <c r="L388" s="219">
        <v>26</v>
      </c>
      <c r="M388" s="217" t="s">
        <v>265</v>
      </c>
      <c r="N388" s="217" t="s">
        <v>269</v>
      </c>
      <c r="O388" s="220" t="s">
        <v>1000</v>
      </c>
      <c r="P388" s="190">
        <v>1786828.19</v>
      </c>
      <c r="Q388" s="190">
        <v>0</v>
      </c>
      <c r="R388" s="190">
        <v>0</v>
      </c>
      <c r="S388" s="190">
        <f>P388-Q388-R388</f>
        <v>1786828.19</v>
      </c>
      <c r="T388" s="190">
        <f t="shared" si="35"/>
        <v>2548.9703138373752</v>
      </c>
      <c r="U388" s="190">
        <v>4550.5200000000004</v>
      </c>
      <c r="V388" s="221">
        <f t="shared" si="37"/>
        <v>2001.5496861626252</v>
      </c>
      <c r="W388" s="221">
        <f>X388+Y388+Z388+AA388+AB388+AD388+AF388+AH388+AJ388+AL388+AN388+AO388</f>
        <v>4156.5200000000004</v>
      </c>
      <c r="X388" s="221">
        <v>101.55</v>
      </c>
      <c r="Y388" s="222">
        <v>0</v>
      </c>
      <c r="Z388" s="222">
        <v>3259.66</v>
      </c>
      <c r="AA388" s="222">
        <v>0</v>
      </c>
      <c r="AB388" s="222">
        <v>795.31</v>
      </c>
      <c r="AC388" s="222">
        <v>0</v>
      </c>
      <c r="AD388" s="222">
        <v>0</v>
      </c>
      <c r="AE388" s="222">
        <v>0</v>
      </c>
      <c r="AF388" s="221">
        <v>0</v>
      </c>
      <c r="AG388" s="222">
        <v>0</v>
      </c>
      <c r="AH388" s="221">
        <v>0</v>
      </c>
      <c r="AI388" s="222">
        <v>0</v>
      </c>
      <c r="AJ388" s="221">
        <v>0</v>
      </c>
      <c r="AK388" s="222">
        <v>0</v>
      </c>
      <c r="AL388" s="222">
        <v>0</v>
      </c>
      <c r="AM388" s="222">
        <v>0</v>
      </c>
      <c r="AN388" s="222"/>
      <c r="AO388" s="222">
        <v>0</v>
      </c>
    </row>
    <row r="389" spans="1:41" s="223" customFormat="1" ht="36" customHeight="1" x14ac:dyDescent="0.25">
      <c r="B389" s="215" t="s">
        <v>837</v>
      </c>
      <c r="C389" s="215"/>
      <c r="D389" s="217" t="s">
        <v>890</v>
      </c>
      <c r="E389" s="217" t="s">
        <v>890</v>
      </c>
      <c r="F389" s="217" t="s">
        <v>890</v>
      </c>
      <c r="G389" s="217" t="s">
        <v>890</v>
      </c>
      <c r="H389" s="217" t="s">
        <v>890</v>
      </c>
      <c r="I389" s="218">
        <f>I390</f>
        <v>407.9</v>
      </c>
      <c r="J389" s="218">
        <f>J390</f>
        <v>352.3</v>
      </c>
      <c r="K389" s="218">
        <f>K390</f>
        <v>352.3</v>
      </c>
      <c r="L389" s="219">
        <f>L390</f>
        <v>21</v>
      </c>
      <c r="M389" s="217" t="s">
        <v>890</v>
      </c>
      <c r="N389" s="217" t="s">
        <v>890</v>
      </c>
      <c r="O389" s="220" t="s">
        <v>890</v>
      </c>
      <c r="P389" s="190">
        <v>43566.44</v>
      </c>
      <c r="Q389" s="190">
        <f>Q390</f>
        <v>0</v>
      </c>
      <c r="R389" s="190">
        <f>R390</f>
        <v>0</v>
      </c>
      <c r="S389" s="190">
        <f>S390</f>
        <v>43566.44</v>
      </c>
      <c r="T389" s="190">
        <f t="shared" si="35"/>
        <v>106.80666830105419</v>
      </c>
      <c r="U389" s="190">
        <f>MAX(U390)</f>
        <v>106.80666830105419</v>
      </c>
      <c r="V389" s="221">
        <f t="shared" si="37"/>
        <v>0</v>
      </c>
      <c r="W389" s="221"/>
      <c r="X389" s="221"/>
      <c r="Y389" s="222"/>
      <c r="Z389" s="222"/>
      <c r="AA389" s="222"/>
      <c r="AB389" s="222"/>
      <c r="AC389" s="222"/>
      <c r="AD389" s="222"/>
      <c r="AE389" s="222"/>
      <c r="AF389" s="222"/>
      <c r="AG389" s="222"/>
      <c r="AH389" s="222"/>
      <c r="AI389" s="222"/>
      <c r="AJ389" s="222"/>
      <c r="AK389" s="222"/>
      <c r="AL389" s="222"/>
      <c r="AM389" s="222"/>
      <c r="AN389" s="222"/>
      <c r="AO389" s="222"/>
    </row>
    <row r="390" spans="1:41" s="223" customFormat="1" ht="36" customHeight="1" x14ac:dyDescent="0.25">
      <c r="A390" s="223">
        <v>1</v>
      </c>
      <c r="B390" s="225">
        <f>SUBTOTAL(103,$A$16:A390)</f>
        <v>347</v>
      </c>
      <c r="C390" s="215" t="s">
        <v>167</v>
      </c>
      <c r="D390" s="217">
        <v>1954</v>
      </c>
      <c r="E390" s="217"/>
      <c r="F390" s="226" t="s">
        <v>267</v>
      </c>
      <c r="G390" s="217">
        <v>2</v>
      </c>
      <c r="H390" s="217" t="s">
        <v>304</v>
      </c>
      <c r="I390" s="190">
        <v>407.9</v>
      </c>
      <c r="J390" s="190">
        <v>352.3</v>
      </c>
      <c r="K390" s="190">
        <v>352.3</v>
      </c>
      <c r="L390" s="219">
        <v>21</v>
      </c>
      <c r="M390" s="217" t="s">
        <v>265</v>
      </c>
      <c r="N390" s="217" t="s">
        <v>266</v>
      </c>
      <c r="O390" s="220" t="s">
        <v>268</v>
      </c>
      <c r="P390" s="190">
        <v>43566.44</v>
      </c>
      <c r="Q390" s="190">
        <v>0</v>
      </c>
      <c r="R390" s="190">
        <v>0</v>
      </c>
      <c r="S390" s="190">
        <f>P390-Q390-R390</f>
        <v>43566.44</v>
      </c>
      <c r="T390" s="190">
        <f t="shared" si="35"/>
        <v>106.80666830105419</v>
      </c>
      <c r="U390" s="190">
        <v>106.80666830105419</v>
      </c>
      <c r="V390" s="221">
        <f>U390-T390</f>
        <v>0</v>
      </c>
      <c r="W390" s="221">
        <f>X390+Y390+Z390+AA390+AB390+AD390+AF390+AH390+AJ390+AL390+AN390+AO390</f>
        <v>5141.3268139249822</v>
      </c>
      <c r="X390" s="221">
        <v>0</v>
      </c>
      <c r="Y390" s="222">
        <v>0</v>
      </c>
      <c r="Z390" s="222">
        <v>0</v>
      </c>
      <c r="AA390" s="222">
        <v>0</v>
      </c>
      <c r="AB390" s="222">
        <v>0</v>
      </c>
      <c r="AC390" s="222">
        <v>0</v>
      </c>
      <c r="AD390" s="222">
        <v>0</v>
      </c>
      <c r="AE390" s="222">
        <v>336.14</v>
      </c>
      <c r="AF390" s="221">
        <f>6238.91*AE390/I390</f>
        <v>5141.3268139249822</v>
      </c>
      <c r="AG390" s="222">
        <v>0</v>
      </c>
      <c r="AH390" s="221">
        <v>0</v>
      </c>
      <c r="AI390" s="222">
        <v>0</v>
      </c>
      <c r="AJ390" s="221">
        <v>0</v>
      </c>
      <c r="AK390" s="222">
        <v>0</v>
      </c>
      <c r="AL390" s="222">
        <v>0</v>
      </c>
      <c r="AM390" s="222">
        <v>0</v>
      </c>
      <c r="AN390" s="222"/>
      <c r="AO390" s="222">
        <v>0</v>
      </c>
    </row>
    <row r="391" spans="1:41" s="223" customFormat="1" ht="36" customHeight="1" x14ac:dyDescent="0.25">
      <c r="B391" s="215" t="s">
        <v>836</v>
      </c>
      <c r="C391" s="215"/>
      <c r="D391" s="217" t="s">
        <v>890</v>
      </c>
      <c r="E391" s="217" t="s">
        <v>890</v>
      </c>
      <c r="F391" s="217" t="s">
        <v>890</v>
      </c>
      <c r="G391" s="217" t="s">
        <v>890</v>
      </c>
      <c r="H391" s="217" t="s">
        <v>890</v>
      </c>
      <c r="I391" s="218">
        <f>SUM(I392:I395)</f>
        <v>2253.2999999999997</v>
      </c>
      <c r="J391" s="218">
        <f>SUM(J392:J395)</f>
        <v>1874.1</v>
      </c>
      <c r="K391" s="218">
        <f>SUM(K392:K395)</f>
        <v>1874.1</v>
      </c>
      <c r="L391" s="219">
        <f>SUM(L392:L395)</f>
        <v>108</v>
      </c>
      <c r="M391" s="217" t="s">
        <v>890</v>
      </c>
      <c r="N391" s="217" t="s">
        <v>890</v>
      </c>
      <c r="O391" s="220" t="s">
        <v>890</v>
      </c>
      <c r="P391" s="218">
        <v>4166442.5</v>
      </c>
      <c r="Q391" s="218">
        <f>SUM(Q392:Q395)</f>
        <v>0</v>
      </c>
      <c r="R391" s="218">
        <f>SUM(R392:R395)</f>
        <v>0</v>
      </c>
      <c r="S391" s="218">
        <f>SUM(S392:S395)</f>
        <v>4166442.5</v>
      </c>
      <c r="T391" s="190">
        <f t="shared" si="35"/>
        <v>1849.0402964540897</v>
      </c>
      <c r="U391" s="190">
        <f>MAX(U392:U395)</f>
        <v>6169.8696682464451</v>
      </c>
      <c r="V391" s="221">
        <f t="shared" si="37"/>
        <v>4320.8293717923552</v>
      </c>
      <c r="W391" s="221"/>
      <c r="X391" s="221"/>
      <c r="Y391" s="222"/>
      <c r="Z391" s="222"/>
      <c r="AA391" s="222"/>
      <c r="AB391" s="222"/>
      <c r="AC391" s="222"/>
      <c r="AD391" s="222"/>
      <c r="AE391" s="222"/>
      <c r="AF391" s="222"/>
      <c r="AG391" s="222"/>
      <c r="AH391" s="222"/>
      <c r="AI391" s="222"/>
      <c r="AJ391" s="222"/>
      <c r="AK391" s="222"/>
      <c r="AL391" s="222"/>
      <c r="AM391" s="222"/>
      <c r="AN391" s="222"/>
      <c r="AO391" s="222"/>
    </row>
    <row r="392" spans="1:41" s="223" customFormat="1" ht="36" customHeight="1" x14ac:dyDescent="0.25">
      <c r="A392" s="223">
        <v>1</v>
      </c>
      <c r="B392" s="225">
        <f>SUBTOTAL(103,$A$16:A392)</f>
        <v>348</v>
      </c>
      <c r="C392" s="215" t="s">
        <v>181</v>
      </c>
      <c r="D392" s="217">
        <v>1955</v>
      </c>
      <c r="E392" s="217"/>
      <c r="F392" s="226" t="s">
        <v>267</v>
      </c>
      <c r="G392" s="217">
        <v>2</v>
      </c>
      <c r="H392" s="217" t="s">
        <v>304</v>
      </c>
      <c r="I392" s="190">
        <v>545.6</v>
      </c>
      <c r="J392" s="190">
        <v>501.6</v>
      </c>
      <c r="K392" s="190">
        <v>501.6</v>
      </c>
      <c r="L392" s="219">
        <v>27</v>
      </c>
      <c r="M392" s="217" t="s">
        <v>265</v>
      </c>
      <c r="N392" s="217" t="s">
        <v>266</v>
      </c>
      <c r="O392" s="220" t="s">
        <v>268</v>
      </c>
      <c r="P392" s="190">
        <v>71741.72</v>
      </c>
      <c r="Q392" s="190">
        <v>0</v>
      </c>
      <c r="R392" s="190">
        <v>0</v>
      </c>
      <c r="S392" s="190">
        <f>P392-Q392-R392</f>
        <v>71741.72</v>
      </c>
      <c r="T392" s="190">
        <f t="shared" si="35"/>
        <v>131.49142228739004</v>
      </c>
      <c r="U392" s="190">
        <v>131.49142228739004</v>
      </c>
      <c r="V392" s="221">
        <f t="shared" si="37"/>
        <v>0</v>
      </c>
      <c r="W392" s="221">
        <f>X392+Y392+Z392+AA392+AB392+AD392+AF392+AH392+AJ392+AL392+AN392+AO392</f>
        <v>5497.5167155425215</v>
      </c>
      <c r="X392" s="221">
        <v>0</v>
      </c>
      <c r="Y392" s="222">
        <v>0</v>
      </c>
      <c r="Z392" s="222">
        <v>0</v>
      </c>
      <c r="AA392" s="222">
        <v>0</v>
      </c>
      <c r="AB392" s="222">
        <v>0</v>
      </c>
      <c r="AC392" s="222">
        <v>0</v>
      </c>
      <c r="AD392" s="222">
        <v>0</v>
      </c>
      <c r="AE392" s="222">
        <v>0</v>
      </c>
      <c r="AF392" s="221">
        <v>0</v>
      </c>
      <c r="AG392" s="222">
        <v>0</v>
      </c>
      <c r="AH392" s="221">
        <v>0</v>
      </c>
      <c r="AI392" s="222">
        <v>403.2</v>
      </c>
      <c r="AJ392" s="221">
        <f>7439.1*AI392/I392</f>
        <v>5497.5167155425215</v>
      </c>
      <c r="AK392" s="222">
        <v>0</v>
      </c>
      <c r="AL392" s="222">
        <v>0</v>
      </c>
      <c r="AM392" s="222">
        <v>0</v>
      </c>
      <c r="AN392" s="222"/>
      <c r="AO392" s="222">
        <v>0</v>
      </c>
    </row>
    <row r="393" spans="1:41" s="223" customFormat="1" ht="36" customHeight="1" x14ac:dyDescent="0.25">
      <c r="A393" s="223">
        <v>1</v>
      </c>
      <c r="B393" s="225">
        <f>SUBTOTAL(103,$A$16:A393)</f>
        <v>349</v>
      </c>
      <c r="C393" s="215" t="s">
        <v>1227</v>
      </c>
      <c r="D393" s="217">
        <v>1965</v>
      </c>
      <c r="E393" s="217"/>
      <c r="F393" s="226" t="s">
        <v>267</v>
      </c>
      <c r="G393" s="217">
        <v>2</v>
      </c>
      <c r="H393" s="217" t="s">
        <v>303</v>
      </c>
      <c r="I393" s="190">
        <v>527.5</v>
      </c>
      <c r="J393" s="190">
        <v>390.5</v>
      </c>
      <c r="K393" s="190">
        <v>390.5</v>
      </c>
      <c r="L393" s="219">
        <v>21</v>
      </c>
      <c r="M393" s="217" t="s">
        <v>265</v>
      </c>
      <c r="N393" s="217" t="s">
        <v>269</v>
      </c>
      <c r="O393" s="220" t="s">
        <v>1331</v>
      </c>
      <c r="P393" s="190">
        <v>1831950.75</v>
      </c>
      <c r="Q393" s="190">
        <v>0</v>
      </c>
      <c r="R393" s="190">
        <v>0</v>
      </c>
      <c r="S393" s="190">
        <f>P393-Q393-R393</f>
        <v>1831950.75</v>
      </c>
      <c r="T393" s="190">
        <f t="shared" si="35"/>
        <v>3472.8924170616115</v>
      </c>
      <c r="U393" s="190">
        <v>6169.8696682464451</v>
      </c>
      <c r="V393" s="221">
        <f t="shared" si="37"/>
        <v>2696.9772511848337</v>
      </c>
      <c r="W393" s="221">
        <f>X393+Y393+Z393+AA393+AB393+AD393+AF393+AH393+AJ393+AL393+AN393+AO393</f>
        <v>6169.8696682464451</v>
      </c>
      <c r="X393" s="221">
        <v>0</v>
      </c>
      <c r="Y393" s="222">
        <v>0</v>
      </c>
      <c r="Z393" s="222">
        <v>0</v>
      </c>
      <c r="AA393" s="222">
        <v>0</v>
      </c>
      <c r="AB393" s="222">
        <v>0</v>
      </c>
      <c r="AC393" s="222">
        <v>0</v>
      </c>
      <c r="AD393" s="222">
        <v>0</v>
      </c>
      <c r="AE393" s="222">
        <v>0</v>
      </c>
      <c r="AF393" s="221">
        <v>0</v>
      </c>
      <c r="AG393" s="222">
        <v>0</v>
      </c>
      <c r="AH393" s="221">
        <v>0</v>
      </c>
      <c r="AI393" s="222">
        <v>437.5</v>
      </c>
      <c r="AJ393" s="221">
        <f>7439.1*AI393/I393</f>
        <v>6169.8696682464451</v>
      </c>
      <c r="AK393" s="222">
        <v>0</v>
      </c>
      <c r="AL393" s="222">
        <v>0</v>
      </c>
      <c r="AM393" s="222">
        <v>0</v>
      </c>
      <c r="AN393" s="222"/>
      <c r="AO393" s="222">
        <v>0</v>
      </c>
    </row>
    <row r="394" spans="1:41" s="223" customFormat="1" ht="36" customHeight="1" x14ac:dyDescent="0.25">
      <c r="A394" s="223">
        <v>1</v>
      </c>
      <c r="B394" s="225">
        <f>SUBTOTAL(103,$A$16:A394)</f>
        <v>350</v>
      </c>
      <c r="C394" s="215" t="s">
        <v>1228</v>
      </c>
      <c r="D394" s="217">
        <v>1963</v>
      </c>
      <c r="E394" s="217"/>
      <c r="F394" s="226" t="s">
        <v>267</v>
      </c>
      <c r="G394" s="217">
        <v>2</v>
      </c>
      <c r="H394" s="217" t="s">
        <v>303</v>
      </c>
      <c r="I394" s="190">
        <v>663.1</v>
      </c>
      <c r="J394" s="190">
        <v>609.9</v>
      </c>
      <c r="K394" s="190">
        <v>609.9</v>
      </c>
      <c r="L394" s="219">
        <v>42</v>
      </c>
      <c r="M394" s="217" t="s">
        <v>265</v>
      </c>
      <c r="N394" s="217" t="s">
        <v>269</v>
      </c>
      <c r="O394" s="220" t="s">
        <v>1331</v>
      </c>
      <c r="P394" s="190">
        <v>2207932.36</v>
      </c>
      <c r="Q394" s="190">
        <v>0</v>
      </c>
      <c r="R394" s="190">
        <v>0</v>
      </c>
      <c r="S394" s="190">
        <f>P394-Q394-R394</f>
        <v>2207932.36</v>
      </c>
      <c r="T394" s="190">
        <f t="shared" si="35"/>
        <v>3329.7125018850847</v>
      </c>
      <c r="U394" s="190">
        <v>5325.6951922786902</v>
      </c>
      <c r="V394" s="221">
        <f t="shared" si="37"/>
        <v>1995.9826903936055</v>
      </c>
      <c r="W394" s="221">
        <f>X394+Y394+Z394+AA394+AB394+AD394+AF394+AH394+AJ394+AL394+AN394+AO394</f>
        <v>5105.7259849193179</v>
      </c>
      <c r="X394" s="221">
        <v>0</v>
      </c>
      <c r="Y394" s="222">
        <v>0</v>
      </c>
      <c r="Z394" s="222">
        <v>0</v>
      </c>
      <c r="AA394" s="222">
        <v>0</v>
      </c>
      <c r="AB394" s="222">
        <v>0</v>
      </c>
      <c r="AC394" s="222">
        <v>0</v>
      </c>
      <c r="AD394" s="222">
        <v>0</v>
      </c>
      <c r="AE394" s="222">
        <v>542.66</v>
      </c>
      <c r="AF394" s="221">
        <f>6238.91*AE394/I394</f>
        <v>5105.7259849193179</v>
      </c>
      <c r="AG394" s="222">
        <v>0</v>
      </c>
      <c r="AH394" s="221">
        <v>0</v>
      </c>
      <c r="AI394" s="222">
        <v>0</v>
      </c>
      <c r="AJ394" s="221">
        <v>0</v>
      </c>
      <c r="AK394" s="222">
        <v>0</v>
      </c>
      <c r="AL394" s="222">
        <v>0</v>
      </c>
      <c r="AM394" s="222">
        <v>0</v>
      </c>
      <c r="AN394" s="222"/>
      <c r="AO394" s="222">
        <v>0</v>
      </c>
    </row>
    <row r="395" spans="1:41" s="223" customFormat="1" ht="36" customHeight="1" x14ac:dyDescent="0.25">
      <c r="A395" s="223">
        <v>1</v>
      </c>
      <c r="B395" s="225">
        <f>SUBTOTAL(103,$A$16:A395)</f>
        <v>351</v>
      </c>
      <c r="C395" s="215" t="s">
        <v>1568</v>
      </c>
      <c r="D395" s="217">
        <v>1976</v>
      </c>
      <c r="E395" s="217"/>
      <c r="F395" s="226" t="s">
        <v>1571</v>
      </c>
      <c r="G395" s="217">
        <v>2</v>
      </c>
      <c r="H395" s="217" t="s">
        <v>304</v>
      </c>
      <c r="I395" s="190">
        <v>517.1</v>
      </c>
      <c r="J395" s="190">
        <v>372.1</v>
      </c>
      <c r="K395" s="190">
        <v>372.1</v>
      </c>
      <c r="L395" s="219">
        <v>18</v>
      </c>
      <c r="M395" s="217" t="s">
        <v>265</v>
      </c>
      <c r="N395" s="217" t="s">
        <v>266</v>
      </c>
      <c r="O395" s="220" t="s">
        <v>268</v>
      </c>
      <c r="P395" s="190">
        <v>54817.67</v>
      </c>
      <c r="Q395" s="190">
        <v>0</v>
      </c>
      <c r="R395" s="190">
        <v>0</v>
      </c>
      <c r="S395" s="190">
        <f>P395-R395-Q395</f>
        <v>54817.67</v>
      </c>
      <c r="T395" s="190">
        <f t="shared" si="35"/>
        <v>106.00980467994584</v>
      </c>
      <c r="U395" s="190">
        <v>106.00980467994584</v>
      </c>
      <c r="V395" s="221">
        <f t="shared" si="37"/>
        <v>0</v>
      </c>
      <c r="W395" s="221">
        <f>T395</f>
        <v>106.00980467994584</v>
      </c>
      <c r="X395" s="221">
        <v>0</v>
      </c>
      <c r="Y395" s="222">
        <v>0</v>
      </c>
      <c r="Z395" s="222">
        <v>0</v>
      </c>
      <c r="AA395" s="222">
        <v>0</v>
      </c>
      <c r="AB395" s="222">
        <v>0</v>
      </c>
      <c r="AC395" s="222">
        <v>0</v>
      </c>
      <c r="AD395" s="222">
        <v>0</v>
      </c>
      <c r="AE395" s="222">
        <v>0</v>
      </c>
      <c r="AF395" s="221">
        <v>0</v>
      </c>
      <c r="AG395" s="222">
        <v>0</v>
      </c>
      <c r="AH395" s="221">
        <v>0</v>
      </c>
      <c r="AI395" s="222">
        <v>0</v>
      </c>
      <c r="AJ395" s="221">
        <v>0</v>
      </c>
      <c r="AK395" s="222">
        <v>0</v>
      </c>
      <c r="AL395" s="222">
        <v>0</v>
      </c>
      <c r="AM395" s="222">
        <v>211.2</v>
      </c>
      <c r="AN395" s="222">
        <f>6984.52*AM395/I395</f>
        <v>2852.6989441113906</v>
      </c>
      <c r="AO395" s="222">
        <v>0</v>
      </c>
    </row>
    <row r="396" spans="1:41" s="223" customFormat="1" ht="36" customHeight="1" x14ac:dyDescent="0.25">
      <c r="B396" s="215" t="s">
        <v>871</v>
      </c>
      <c r="C396" s="215"/>
      <c r="D396" s="217" t="s">
        <v>890</v>
      </c>
      <c r="E396" s="217" t="s">
        <v>890</v>
      </c>
      <c r="F396" s="217" t="s">
        <v>890</v>
      </c>
      <c r="G396" s="217" t="s">
        <v>890</v>
      </c>
      <c r="H396" s="217" t="s">
        <v>890</v>
      </c>
      <c r="I396" s="218">
        <f>I397</f>
        <v>829.4</v>
      </c>
      <c r="J396" s="218">
        <f>J397</f>
        <v>758.4</v>
      </c>
      <c r="K396" s="218">
        <f>K397</f>
        <v>758.4</v>
      </c>
      <c r="L396" s="219">
        <f>L397</f>
        <v>42</v>
      </c>
      <c r="M396" s="217" t="s">
        <v>890</v>
      </c>
      <c r="N396" s="217" t="s">
        <v>890</v>
      </c>
      <c r="O396" s="220" t="s">
        <v>890</v>
      </c>
      <c r="P396" s="190">
        <v>2786770.47</v>
      </c>
      <c r="Q396" s="190">
        <f>Q397</f>
        <v>0</v>
      </c>
      <c r="R396" s="190">
        <f>R397</f>
        <v>0</v>
      </c>
      <c r="S396" s="190">
        <f>S397</f>
        <v>2786770.47</v>
      </c>
      <c r="T396" s="190">
        <f t="shared" si="35"/>
        <v>3359.9836870026529</v>
      </c>
      <c r="U396" s="190">
        <f>MAX(U397)</f>
        <v>7340.5278888353032</v>
      </c>
      <c r="V396" s="221">
        <f t="shared" si="37"/>
        <v>3980.5442018326503</v>
      </c>
      <c r="W396" s="221"/>
      <c r="X396" s="221"/>
      <c r="Y396" s="222"/>
      <c r="Z396" s="222"/>
      <c r="AA396" s="222"/>
      <c r="AB396" s="222"/>
      <c r="AC396" s="222"/>
      <c r="AD396" s="222"/>
      <c r="AE396" s="222"/>
      <c r="AF396" s="222"/>
      <c r="AG396" s="222"/>
      <c r="AH396" s="222"/>
      <c r="AI396" s="222"/>
      <c r="AJ396" s="222"/>
      <c r="AK396" s="222"/>
      <c r="AL396" s="222"/>
      <c r="AM396" s="222"/>
      <c r="AN396" s="222"/>
      <c r="AO396" s="222"/>
    </row>
    <row r="397" spans="1:41" s="223" customFormat="1" ht="36" customHeight="1" x14ac:dyDescent="0.25">
      <c r="A397" s="223">
        <v>1</v>
      </c>
      <c r="B397" s="225">
        <f>SUBTOTAL(103,$A$16:A397)</f>
        <v>352</v>
      </c>
      <c r="C397" s="215" t="s">
        <v>1230</v>
      </c>
      <c r="D397" s="217">
        <v>1972</v>
      </c>
      <c r="E397" s="217">
        <v>2010</v>
      </c>
      <c r="F397" s="226" t="s">
        <v>267</v>
      </c>
      <c r="G397" s="217">
        <v>2</v>
      </c>
      <c r="H397" s="217" t="s">
        <v>303</v>
      </c>
      <c r="I397" s="190">
        <v>829.4</v>
      </c>
      <c r="J397" s="190">
        <v>758.4</v>
      </c>
      <c r="K397" s="190">
        <v>758.4</v>
      </c>
      <c r="L397" s="219">
        <v>42</v>
      </c>
      <c r="M397" s="217" t="s">
        <v>265</v>
      </c>
      <c r="N397" s="217" t="s">
        <v>269</v>
      </c>
      <c r="O397" s="220" t="s">
        <v>810</v>
      </c>
      <c r="P397" s="190">
        <v>2786770.47</v>
      </c>
      <c r="Q397" s="190">
        <v>0</v>
      </c>
      <c r="R397" s="190">
        <v>0</v>
      </c>
      <c r="S397" s="190">
        <f>P397-Q397-R397</f>
        <v>2786770.47</v>
      </c>
      <c r="T397" s="190">
        <f t="shared" ref="T397:T460" si="42">P397/I397</f>
        <v>3359.9836870026529</v>
      </c>
      <c r="U397" s="190">
        <v>7340.5278888353032</v>
      </c>
      <c r="V397" s="221">
        <f>U397-T397</f>
        <v>3980.5442018326503</v>
      </c>
      <c r="W397" s="221">
        <f>X397+Y397+Z397+AA397+AB397+AD397+AF397+AH397+AJ397+AL397+AN397+AO397</f>
        <v>6301.439710634193</v>
      </c>
      <c r="X397" s="221">
        <v>0</v>
      </c>
      <c r="Y397" s="222">
        <v>0</v>
      </c>
      <c r="Z397" s="222">
        <v>0</v>
      </c>
      <c r="AA397" s="222">
        <v>0</v>
      </c>
      <c r="AB397" s="222">
        <v>0</v>
      </c>
      <c r="AC397" s="222">
        <v>0</v>
      </c>
      <c r="AD397" s="222">
        <v>0</v>
      </c>
      <c r="AE397" s="222">
        <v>0</v>
      </c>
      <c r="AF397" s="221">
        <v>0</v>
      </c>
      <c r="AG397" s="222">
        <v>0</v>
      </c>
      <c r="AH397" s="221">
        <v>0</v>
      </c>
      <c r="AI397" s="222">
        <v>702.56</v>
      </c>
      <c r="AJ397" s="221">
        <f>7439.1*AI397/I397</f>
        <v>6301.439710634193</v>
      </c>
      <c r="AK397" s="222">
        <v>0</v>
      </c>
      <c r="AL397" s="222">
        <v>0</v>
      </c>
      <c r="AM397" s="222">
        <v>0</v>
      </c>
      <c r="AN397" s="222"/>
      <c r="AO397" s="222">
        <v>0</v>
      </c>
    </row>
    <row r="398" spans="1:41" s="223" customFormat="1" ht="36" customHeight="1" x14ac:dyDescent="0.25">
      <c r="B398" s="215" t="s">
        <v>838</v>
      </c>
      <c r="C398" s="227"/>
      <c r="D398" s="217" t="s">
        <v>890</v>
      </c>
      <c r="E398" s="217" t="s">
        <v>890</v>
      </c>
      <c r="F398" s="217" t="s">
        <v>890</v>
      </c>
      <c r="G398" s="217" t="s">
        <v>890</v>
      </c>
      <c r="H398" s="217" t="s">
        <v>890</v>
      </c>
      <c r="I398" s="218">
        <f>SUM(I399:I405)</f>
        <v>10312.24</v>
      </c>
      <c r="J398" s="218">
        <f>SUM(J399:J405)</f>
        <v>9429.44</v>
      </c>
      <c r="K398" s="218">
        <f>SUM(K399:K405)</f>
        <v>8532.14</v>
      </c>
      <c r="L398" s="219">
        <f>SUM(L399:L405)</f>
        <v>425</v>
      </c>
      <c r="M398" s="217" t="s">
        <v>890</v>
      </c>
      <c r="N398" s="217" t="s">
        <v>890</v>
      </c>
      <c r="O398" s="220" t="s">
        <v>890</v>
      </c>
      <c r="P398" s="190">
        <v>8480737.0799999982</v>
      </c>
      <c r="Q398" s="190">
        <f>SUM(Q399:Q405)</f>
        <v>0</v>
      </c>
      <c r="R398" s="190">
        <f>SUM(R399:R405)</f>
        <v>0</v>
      </c>
      <c r="S398" s="190">
        <f>SUM(S399:S405)</f>
        <v>8480737.0799999982</v>
      </c>
      <c r="T398" s="190">
        <f t="shared" si="42"/>
        <v>822.39523905572389</v>
      </c>
      <c r="U398" s="190">
        <f>MAX(U399:U405)</f>
        <v>4797.49056381222</v>
      </c>
      <c r="V398" s="221">
        <f t="shared" si="37"/>
        <v>3975.0953247564962</v>
      </c>
      <c r="W398" s="221"/>
      <c r="X398" s="221"/>
      <c r="Y398" s="222"/>
      <c r="Z398" s="222"/>
      <c r="AA398" s="222"/>
      <c r="AB398" s="222"/>
      <c r="AC398" s="222"/>
      <c r="AD398" s="222"/>
      <c r="AE398" s="222"/>
      <c r="AF398" s="222"/>
      <c r="AG398" s="222"/>
      <c r="AH398" s="222"/>
      <c r="AI398" s="222"/>
      <c r="AJ398" s="222"/>
      <c r="AK398" s="222"/>
      <c r="AL398" s="222"/>
      <c r="AM398" s="222"/>
      <c r="AN398" s="222"/>
      <c r="AO398" s="222"/>
    </row>
    <row r="399" spans="1:41" s="223" customFormat="1" ht="36" customHeight="1" x14ac:dyDescent="0.25">
      <c r="A399" s="223">
        <v>1</v>
      </c>
      <c r="B399" s="225">
        <f>SUBTOTAL(103,$A$16:A399)</f>
        <v>353</v>
      </c>
      <c r="C399" s="215" t="s">
        <v>75</v>
      </c>
      <c r="D399" s="217">
        <v>1950</v>
      </c>
      <c r="E399" s="217"/>
      <c r="F399" s="226" t="s">
        <v>267</v>
      </c>
      <c r="G399" s="217">
        <v>3</v>
      </c>
      <c r="H399" s="217" t="s">
        <v>303</v>
      </c>
      <c r="I399" s="190">
        <v>847.8</v>
      </c>
      <c r="J399" s="190">
        <v>766.9</v>
      </c>
      <c r="K399" s="190">
        <v>663.2</v>
      </c>
      <c r="L399" s="219">
        <v>20</v>
      </c>
      <c r="M399" s="217" t="s">
        <v>265</v>
      </c>
      <c r="N399" s="217" t="s">
        <v>269</v>
      </c>
      <c r="O399" s="220" t="s">
        <v>276</v>
      </c>
      <c r="P399" s="190">
        <v>2519278.3999999994</v>
      </c>
      <c r="Q399" s="190">
        <v>0</v>
      </c>
      <c r="R399" s="190">
        <v>0</v>
      </c>
      <c r="S399" s="190">
        <f t="shared" ref="S399:S405" si="43">P399-Q399-R399</f>
        <v>2519278.3999999994</v>
      </c>
      <c r="T399" s="190">
        <f t="shared" si="42"/>
        <v>2971.548006605331</v>
      </c>
      <c r="U399" s="190">
        <v>4797.49056381222</v>
      </c>
      <c r="V399" s="221">
        <f t="shared" si="37"/>
        <v>1825.942557206889</v>
      </c>
      <c r="W399" s="221">
        <f t="shared" ref="W399:W405" si="44">X399+Y399+Z399+AA399+AB399+AD399+AF399+AH399+AJ399+AL399+AN399+AO399</f>
        <v>4599.33799245105</v>
      </c>
      <c r="X399" s="221">
        <v>0</v>
      </c>
      <c r="Y399" s="222">
        <v>0</v>
      </c>
      <c r="Z399" s="222">
        <v>0</v>
      </c>
      <c r="AA399" s="222">
        <v>0</v>
      </c>
      <c r="AB399" s="222">
        <v>0</v>
      </c>
      <c r="AC399" s="222">
        <v>0</v>
      </c>
      <c r="AD399" s="222">
        <v>0</v>
      </c>
      <c r="AE399" s="222">
        <v>625</v>
      </c>
      <c r="AF399" s="221">
        <f t="shared" ref="AF399:AF405" si="45">6238.91*AE399/I399</f>
        <v>4599.33799245105</v>
      </c>
      <c r="AG399" s="222">
        <v>0</v>
      </c>
      <c r="AH399" s="221">
        <v>0</v>
      </c>
      <c r="AI399" s="222">
        <v>0</v>
      </c>
      <c r="AJ399" s="221">
        <v>0</v>
      </c>
      <c r="AK399" s="222">
        <v>0</v>
      </c>
      <c r="AL399" s="222">
        <v>0</v>
      </c>
      <c r="AM399" s="222">
        <v>0</v>
      </c>
      <c r="AN399" s="222"/>
      <c r="AO399" s="222">
        <v>0</v>
      </c>
    </row>
    <row r="400" spans="1:41" s="223" customFormat="1" ht="36" customHeight="1" x14ac:dyDescent="0.25">
      <c r="A400" s="223">
        <v>1</v>
      </c>
      <c r="B400" s="225">
        <f>SUBTOTAL(103,$A$16:A400)</f>
        <v>354</v>
      </c>
      <c r="C400" s="215" t="s">
        <v>74</v>
      </c>
      <c r="D400" s="217">
        <v>1963</v>
      </c>
      <c r="E400" s="217"/>
      <c r="F400" s="226" t="s">
        <v>267</v>
      </c>
      <c r="G400" s="217">
        <v>4</v>
      </c>
      <c r="H400" s="217" t="s">
        <v>303</v>
      </c>
      <c r="I400" s="190">
        <v>1600.4</v>
      </c>
      <c r="J400" s="190">
        <v>1253</v>
      </c>
      <c r="K400" s="190">
        <v>1210.5999999999999</v>
      </c>
      <c r="L400" s="219">
        <v>54</v>
      </c>
      <c r="M400" s="217" t="s">
        <v>265</v>
      </c>
      <c r="N400" s="217" t="s">
        <v>269</v>
      </c>
      <c r="O400" s="220" t="s">
        <v>277</v>
      </c>
      <c r="P400" s="190">
        <v>2316768.9099999997</v>
      </c>
      <c r="Q400" s="190">
        <v>0</v>
      </c>
      <c r="R400" s="190">
        <v>0</v>
      </c>
      <c r="S400" s="190">
        <f t="shared" si="43"/>
        <v>2316768.9099999997</v>
      </c>
      <c r="T400" s="190">
        <f t="shared" si="42"/>
        <v>1447.6186640839787</v>
      </c>
      <c r="U400" s="190">
        <v>2001.8374843789052</v>
      </c>
      <c r="V400" s="221">
        <f t="shared" ref="V400:V463" si="46">U400-T400</f>
        <v>554.21882029492645</v>
      </c>
      <c r="W400" s="221">
        <f t="shared" si="44"/>
        <v>1964.7654586353412</v>
      </c>
      <c r="X400" s="221">
        <v>0</v>
      </c>
      <c r="Y400" s="222">
        <v>0</v>
      </c>
      <c r="Z400" s="222">
        <v>0</v>
      </c>
      <c r="AA400" s="222">
        <v>0</v>
      </c>
      <c r="AB400" s="222">
        <v>0</v>
      </c>
      <c r="AC400" s="222">
        <v>0</v>
      </c>
      <c r="AD400" s="222">
        <v>0</v>
      </c>
      <c r="AE400" s="222">
        <v>504</v>
      </c>
      <c r="AF400" s="221">
        <f t="shared" si="45"/>
        <v>1964.7654586353412</v>
      </c>
      <c r="AG400" s="222">
        <v>0</v>
      </c>
      <c r="AH400" s="221">
        <v>0</v>
      </c>
      <c r="AI400" s="222">
        <v>0</v>
      </c>
      <c r="AJ400" s="221">
        <v>0</v>
      </c>
      <c r="AK400" s="222">
        <v>0</v>
      </c>
      <c r="AL400" s="222">
        <v>0</v>
      </c>
      <c r="AM400" s="222">
        <v>0</v>
      </c>
      <c r="AN400" s="222"/>
      <c r="AO400" s="222">
        <v>0</v>
      </c>
    </row>
    <row r="401" spans="1:41" s="223" customFormat="1" ht="36" customHeight="1" x14ac:dyDescent="0.25">
      <c r="A401" s="223">
        <v>1</v>
      </c>
      <c r="B401" s="225">
        <f>SUBTOTAL(103,$A$16:A401)</f>
        <v>355</v>
      </c>
      <c r="C401" s="215" t="s">
        <v>76</v>
      </c>
      <c r="D401" s="217">
        <v>1948</v>
      </c>
      <c r="E401" s="217"/>
      <c r="F401" s="226" t="s">
        <v>267</v>
      </c>
      <c r="G401" s="217">
        <v>4</v>
      </c>
      <c r="H401" s="217" t="s">
        <v>312</v>
      </c>
      <c r="I401" s="190">
        <v>1954.5</v>
      </c>
      <c r="J401" s="190">
        <v>1781</v>
      </c>
      <c r="K401" s="190">
        <v>1514.3</v>
      </c>
      <c r="L401" s="219">
        <v>58</v>
      </c>
      <c r="M401" s="217" t="s">
        <v>265</v>
      </c>
      <c r="N401" s="217" t="s">
        <v>269</v>
      </c>
      <c r="O401" s="220" t="s">
        <v>278</v>
      </c>
      <c r="P401" s="190">
        <v>132502.74</v>
      </c>
      <c r="Q401" s="190">
        <v>0</v>
      </c>
      <c r="R401" s="190">
        <v>0</v>
      </c>
      <c r="S401" s="190">
        <f t="shared" si="43"/>
        <v>132502.74</v>
      </c>
      <c r="T401" s="190">
        <f t="shared" si="42"/>
        <v>67.793676132003071</v>
      </c>
      <c r="U401" s="190">
        <v>67.793676132003071</v>
      </c>
      <c r="V401" s="221">
        <f>U401-T401</f>
        <v>0</v>
      </c>
      <c r="W401" s="221">
        <f>X401+Y401+Z401+AA401+AB401+AD401+AF401+AH401+AJ401+AL401+AN401+AO401</f>
        <v>3045.23926323868</v>
      </c>
      <c r="X401" s="221">
        <v>0</v>
      </c>
      <c r="Y401" s="222">
        <v>0</v>
      </c>
      <c r="Z401" s="222">
        <v>0</v>
      </c>
      <c r="AA401" s="222">
        <v>0</v>
      </c>
      <c r="AB401" s="222">
        <v>0</v>
      </c>
      <c r="AC401" s="222">
        <v>0</v>
      </c>
      <c r="AD401" s="222">
        <v>0</v>
      </c>
      <c r="AE401" s="222">
        <v>954</v>
      </c>
      <c r="AF401" s="221">
        <f t="shared" si="45"/>
        <v>3045.23926323868</v>
      </c>
      <c r="AG401" s="222">
        <v>0</v>
      </c>
      <c r="AH401" s="221">
        <v>0</v>
      </c>
      <c r="AI401" s="222">
        <v>0</v>
      </c>
      <c r="AJ401" s="221">
        <v>0</v>
      </c>
      <c r="AK401" s="222">
        <v>0</v>
      </c>
      <c r="AL401" s="222">
        <v>0</v>
      </c>
      <c r="AM401" s="222">
        <v>0</v>
      </c>
      <c r="AN401" s="222"/>
      <c r="AO401" s="222">
        <v>0</v>
      </c>
    </row>
    <row r="402" spans="1:41" s="223" customFormat="1" ht="36" customHeight="1" x14ac:dyDescent="0.25">
      <c r="A402" s="223">
        <v>1</v>
      </c>
      <c r="B402" s="225">
        <f>SUBTOTAL(103,$A$16:A402)</f>
        <v>356</v>
      </c>
      <c r="C402" s="215" t="s">
        <v>1231</v>
      </c>
      <c r="D402" s="217">
        <v>1974</v>
      </c>
      <c r="E402" s="217"/>
      <c r="F402" s="226" t="s">
        <v>267</v>
      </c>
      <c r="G402" s="217">
        <v>5</v>
      </c>
      <c r="H402" s="217" t="s">
        <v>303</v>
      </c>
      <c r="I402" s="190">
        <v>3906.04</v>
      </c>
      <c r="J402" s="190">
        <v>3790.94</v>
      </c>
      <c r="K402" s="190">
        <v>3406.44</v>
      </c>
      <c r="L402" s="219">
        <v>200</v>
      </c>
      <c r="M402" s="217" t="s">
        <v>265</v>
      </c>
      <c r="N402" s="217" t="s">
        <v>269</v>
      </c>
      <c r="O402" s="220" t="s">
        <v>1330</v>
      </c>
      <c r="P402" s="190">
        <v>3299628.9099999997</v>
      </c>
      <c r="Q402" s="190">
        <v>0</v>
      </c>
      <c r="R402" s="190">
        <v>0</v>
      </c>
      <c r="S402" s="190">
        <f t="shared" si="43"/>
        <v>3299628.9099999997</v>
      </c>
      <c r="T402" s="190">
        <f t="shared" si="42"/>
        <v>844.75041474229647</v>
      </c>
      <c r="U402" s="190">
        <v>1624.6758179639737</v>
      </c>
      <c r="V402" s="221">
        <f>U402-T402</f>
        <v>779.92540322167724</v>
      </c>
      <c r="W402" s="221">
        <f>X402+Y402+Z402+AA402+AB402+AD402+AF402+AH402+AJ402+AL402+AN402+AO402</f>
        <v>1557.6351066553339</v>
      </c>
      <c r="X402" s="221">
        <v>0</v>
      </c>
      <c r="Y402" s="222">
        <v>0</v>
      </c>
      <c r="Z402" s="222">
        <v>0</v>
      </c>
      <c r="AA402" s="222">
        <v>0</v>
      </c>
      <c r="AB402" s="222">
        <v>0</v>
      </c>
      <c r="AC402" s="222">
        <v>0</v>
      </c>
      <c r="AD402" s="222">
        <v>0</v>
      </c>
      <c r="AE402" s="222">
        <v>975.2</v>
      </c>
      <c r="AF402" s="221">
        <f t="shared" si="45"/>
        <v>1557.6351066553339</v>
      </c>
      <c r="AG402" s="222">
        <v>0</v>
      </c>
      <c r="AH402" s="221">
        <v>0</v>
      </c>
      <c r="AI402" s="222">
        <v>0</v>
      </c>
      <c r="AJ402" s="221">
        <v>0</v>
      </c>
      <c r="AK402" s="222">
        <v>0</v>
      </c>
      <c r="AL402" s="222">
        <v>0</v>
      </c>
      <c r="AM402" s="222">
        <v>0</v>
      </c>
      <c r="AN402" s="222"/>
      <c r="AO402" s="222">
        <v>0</v>
      </c>
    </row>
    <row r="403" spans="1:41" s="223" customFormat="1" ht="36" customHeight="1" x14ac:dyDescent="0.25">
      <c r="A403" s="223">
        <v>1</v>
      </c>
      <c r="B403" s="225">
        <f>SUBTOTAL(103,$A$16:A403)</f>
        <v>357</v>
      </c>
      <c r="C403" s="215" t="s">
        <v>79</v>
      </c>
      <c r="D403" s="217">
        <v>1962</v>
      </c>
      <c r="E403" s="217"/>
      <c r="F403" s="226" t="s">
        <v>267</v>
      </c>
      <c r="G403" s="217">
        <v>2</v>
      </c>
      <c r="H403" s="217" t="s">
        <v>303</v>
      </c>
      <c r="I403" s="190">
        <v>355.8</v>
      </c>
      <c r="J403" s="190">
        <v>326.10000000000002</v>
      </c>
      <c r="K403" s="190">
        <v>326.10000000000002</v>
      </c>
      <c r="L403" s="219">
        <v>21</v>
      </c>
      <c r="M403" s="217" t="s">
        <v>265</v>
      </c>
      <c r="N403" s="217" t="s">
        <v>266</v>
      </c>
      <c r="O403" s="220" t="s">
        <v>268</v>
      </c>
      <c r="P403" s="190">
        <v>60672.79</v>
      </c>
      <c r="Q403" s="190">
        <v>0</v>
      </c>
      <c r="R403" s="190">
        <v>0</v>
      </c>
      <c r="S403" s="190">
        <f t="shared" si="43"/>
        <v>60672.79</v>
      </c>
      <c r="T403" s="190">
        <f t="shared" si="42"/>
        <v>170.52498594716133</v>
      </c>
      <c r="U403" s="190">
        <v>170.52498594716133</v>
      </c>
      <c r="V403" s="221">
        <f t="shared" si="46"/>
        <v>0</v>
      </c>
      <c r="W403" s="221">
        <f t="shared" si="44"/>
        <v>16728.274704890388</v>
      </c>
      <c r="X403" s="221">
        <v>0</v>
      </c>
      <c r="Y403" s="222">
        <v>0</v>
      </c>
      <c r="Z403" s="222">
        <v>0</v>
      </c>
      <c r="AA403" s="222">
        <v>0</v>
      </c>
      <c r="AB403" s="222">
        <v>0</v>
      </c>
      <c r="AC403" s="222">
        <v>0</v>
      </c>
      <c r="AD403" s="222">
        <v>0</v>
      </c>
      <c r="AE403" s="222">
        <v>954</v>
      </c>
      <c r="AF403" s="221">
        <f t="shared" si="45"/>
        <v>16728.274704890388</v>
      </c>
      <c r="AG403" s="222">
        <v>0</v>
      </c>
      <c r="AH403" s="221">
        <v>0</v>
      </c>
      <c r="AI403" s="222">
        <v>0</v>
      </c>
      <c r="AJ403" s="221">
        <v>0</v>
      </c>
      <c r="AK403" s="222">
        <v>0</v>
      </c>
      <c r="AL403" s="222">
        <v>0</v>
      </c>
      <c r="AM403" s="222">
        <v>0</v>
      </c>
      <c r="AN403" s="222"/>
      <c r="AO403" s="222">
        <v>0</v>
      </c>
    </row>
    <row r="404" spans="1:41" s="223" customFormat="1" ht="36" customHeight="1" x14ac:dyDescent="0.25">
      <c r="A404" s="223">
        <v>1</v>
      </c>
      <c r="B404" s="225">
        <f>SUBTOTAL(103,$A$16:A404)</f>
        <v>358</v>
      </c>
      <c r="C404" s="215" t="s">
        <v>80</v>
      </c>
      <c r="D404" s="217">
        <v>1964</v>
      </c>
      <c r="E404" s="217"/>
      <c r="F404" s="226" t="s">
        <v>267</v>
      </c>
      <c r="G404" s="217">
        <v>2</v>
      </c>
      <c r="H404" s="217" t="s">
        <v>303</v>
      </c>
      <c r="I404" s="190">
        <v>651.6</v>
      </c>
      <c r="J404" s="190">
        <v>628.9</v>
      </c>
      <c r="K404" s="190">
        <v>628.9</v>
      </c>
      <c r="L404" s="219">
        <v>42</v>
      </c>
      <c r="M404" s="217" t="s">
        <v>265</v>
      </c>
      <c r="N404" s="217" t="s">
        <v>266</v>
      </c>
      <c r="O404" s="220" t="s">
        <v>268</v>
      </c>
      <c r="P404" s="190">
        <v>60672.79</v>
      </c>
      <c r="Q404" s="190">
        <v>0</v>
      </c>
      <c r="R404" s="190">
        <v>0</v>
      </c>
      <c r="S404" s="190">
        <f t="shared" si="43"/>
        <v>60672.79</v>
      </c>
      <c r="T404" s="190">
        <f t="shared" si="42"/>
        <v>93.113551258440765</v>
      </c>
      <c r="U404" s="190">
        <v>93.113551258440765</v>
      </c>
      <c r="V404" s="221">
        <f t="shared" si="46"/>
        <v>0</v>
      </c>
      <c r="W404" s="221">
        <f t="shared" si="44"/>
        <v>9337.3005402087183</v>
      </c>
      <c r="X404" s="221">
        <v>0</v>
      </c>
      <c r="Y404" s="222">
        <v>0</v>
      </c>
      <c r="Z404" s="222">
        <v>0</v>
      </c>
      <c r="AA404" s="222">
        <v>0</v>
      </c>
      <c r="AB404" s="222">
        <v>0</v>
      </c>
      <c r="AC404" s="222">
        <v>0</v>
      </c>
      <c r="AD404" s="222">
        <v>0</v>
      </c>
      <c r="AE404" s="222">
        <v>975.2</v>
      </c>
      <c r="AF404" s="221">
        <f t="shared" si="45"/>
        <v>9337.3005402087183</v>
      </c>
      <c r="AG404" s="222">
        <v>0</v>
      </c>
      <c r="AH404" s="221">
        <v>0</v>
      </c>
      <c r="AI404" s="222">
        <v>0</v>
      </c>
      <c r="AJ404" s="221">
        <v>0</v>
      </c>
      <c r="AK404" s="222">
        <v>0</v>
      </c>
      <c r="AL404" s="222">
        <v>0</v>
      </c>
      <c r="AM404" s="222">
        <v>0</v>
      </c>
      <c r="AN404" s="222"/>
      <c r="AO404" s="222">
        <v>0</v>
      </c>
    </row>
    <row r="405" spans="1:41" s="223" customFormat="1" ht="36" customHeight="1" x14ac:dyDescent="0.25">
      <c r="A405" s="223">
        <v>1</v>
      </c>
      <c r="B405" s="225">
        <f>SUBTOTAL(103,$A$16:A405)</f>
        <v>359</v>
      </c>
      <c r="C405" s="215" t="s">
        <v>1675</v>
      </c>
      <c r="D405" s="217">
        <v>1953</v>
      </c>
      <c r="E405" s="217"/>
      <c r="F405" s="226" t="s">
        <v>267</v>
      </c>
      <c r="G405" s="217">
        <v>2</v>
      </c>
      <c r="H405" s="217" t="s">
        <v>312</v>
      </c>
      <c r="I405" s="190">
        <v>996.1</v>
      </c>
      <c r="J405" s="190">
        <v>882.6</v>
      </c>
      <c r="K405" s="190">
        <v>782.6</v>
      </c>
      <c r="L405" s="219">
        <v>30</v>
      </c>
      <c r="M405" s="217" t="s">
        <v>265</v>
      </c>
      <c r="N405" s="217" t="s">
        <v>266</v>
      </c>
      <c r="O405" s="220" t="s">
        <v>268</v>
      </c>
      <c r="P405" s="190">
        <v>91212.54</v>
      </c>
      <c r="Q405" s="190">
        <v>0</v>
      </c>
      <c r="R405" s="190">
        <v>0</v>
      </c>
      <c r="S405" s="190">
        <f t="shared" si="43"/>
        <v>91212.54</v>
      </c>
      <c r="T405" s="190">
        <f t="shared" si="42"/>
        <v>91.569661680554148</v>
      </c>
      <c r="U405" s="190">
        <v>91.569661680554148</v>
      </c>
      <c r="V405" s="221">
        <f t="shared" si="46"/>
        <v>0</v>
      </c>
      <c r="W405" s="221">
        <f t="shared" si="44"/>
        <v>3758.0022086135928</v>
      </c>
      <c r="X405" s="221">
        <v>0</v>
      </c>
      <c r="Y405" s="222">
        <v>0</v>
      </c>
      <c r="Z405" s="222">
        <v>0</v>
      </c>
      <c r="AA405" s="222">
        <v>0</v>
      </c>
      <c r="AB405" s="222">
        <v>0</v>
      </c>
      <c r="AC405" s="222">
        <v>0</v>
      </c>
      <c r="AD405" s="222">
        <v>0</v>
      </c>
      <c r="AE405" s="222">
        <v>600</v>
      </c>
      <c r="AF405" s="221">
        <f t="shared" si="45"/>
        <v>3758.0022086135928</v>
      </c>
      <c r="AG405" s="222">
        <v>0</v>
      </c>
      <c r="AH405" s="221">
        <v>0</v>
      </c>
      <c r="AI405" s="222">
        <v>0</v>
      </c>
      <c r="AJ405" s="221">
        <v>0</v>
      </c>
      <c r="AK405" s="222">
        <v>0</v>
      </c>
      <c r="AL405" s="222">
        <v>0</v>
      </c>
      <c r="AM405" s="222">
        <v>0</v>
      </c>
      <c r="AN405" s="222"/>
      <c r="AO405" s="222">
        <v>0</v>
      </c>
    </row>
    <row r="406" spans="1:41" s="223" customFormat="1" ht="36" customHeight="1" x14ac:dyDescent="0.25">
      <c r="B406" s="215" t="s">
        <v>839</v>
      </c>
      <c r="C406" s="215"/>
      <c r="D406" s="217" t="s">
        <v>890</v>
      </c>
      <c r="E406" s="217" t="s">
        <v>890</v>
      </c>
      <c r="F406" s="217" t="s">
        <v>890</v>
      </c>
      <c r="G406" s="217" t="s">
        <v>890</v>
      </c>
      <c r="H406" s="217" t="s">
        <v>890</v>
      </c>
      <c r="I406" s="218">
        <f>I407</f>
        <v>613</v>
      </c>
      <c r="J406" s="218">
        <f>J407</f>
        <v>386</v>
      </c>
      <c r="K406" s="218">
        <f>K407</f>
        <v>386</v>
      </c>
      <c r="L406" s="219">
        <f>L407</f>
        <v>32</v>
      </c>
      <c r="M406" s="217" t="s">
        <v>890</v>
      </c>
      <c r="N406" s="217" t="s">
        <v>890</v>
      </c>
      <c r="O406" s="220" t="s">
        <v>890</v>
      </c>
      <c r="P406" s="190">
        <v>2358530.46</v>
      </c>
      <c r="Q406" s="190">
        <f>Q407</f>
        <v>0</v>
      </c>
      <c r="R406" s="190">
        <f>R407</f>
        <v>0</v>
      </c>
      <c r="S406" s="190">
        <f>S407</f>
        <v>2358530.46</v>
      </c>
      <c r="T406" s="190">
        <f t="shared" si="42"/>
        <v>3847.521141924959</v>
      </c>
      <c r="U406" s="190">
        <f>MAX(U407)</f>
        <v>5735.3750815660678</v>
      </c>
      <c r="V406" s="221">
        <f t="shared" si="46"/>
        <v>1887.8539396411088</v>
      </c>
      <c r="W406" s="221"/>
      <c r="X406" s="221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</row>
    <row r="407" spans="1:41" s="223" customFormat="1" ht="36" customHeight="1" x14ac:dyDescent="0.25">
      <c r="A407" s="223">
        <v>1</v>
      </c>
      <c r="B407" s="225">
        <f>SUBTOTAL(103,$A$16:A407)</f>
        <v>360</v>
      </c>
      <c r="C407" s="215" t="s">
        <v>77</v>
      </c>
      <c r="D407" s="217">
        <v>1966</v>
      </c>
      <c r="E407" s="217"/>
      <c r="F407" s="226" t="s">
        <v>267</v>
      </c>
      <c r="G407" s="217">
        <v>2</v>
      </c>
      <c r="H407" s="217" t="s">
        <v>303</v>
      </c>
      <c r="I407" s="190">
        <v>613</v>
      </c>
      <c r="J407" s="190">
        <v>386</v>
      </c>
      <c r="K407" s="190">
        <v>386</v>
      </c>
      <c r="L407" s="219">
        <v>32</v>
      </c>
      <c r="M407" s="217" t="s">
        <v>265</v>
      </c>
      <c r="N407" s="217" t="s">
        <v>266</v>
      </c>
      <c r="O407" s="220" t="s">
        <v>268</v>
      </c>
      <c r="P407" s="190">
        <v>2358530.46</v>
      </c>
      <c r="Q407" s="190">
        <v>0</v>
      </c>
      <c r="R407" s="190">
        <v>0</v>
      </c>
      <c r="S407" s="190">
        <f>P407-Q407-R407</f>
        <v>2358530.46</v>
      </c>
      <c r="T407" s="190">
        <f t="shared" si="42"/>
        <v>3847.521141924959</v>
      </c>
      <c r="U407" s="190">
        <v>5735.3750815660678</v>
      </c>
      <c r="V407" s="221">
        <f>U407-T407</f>
        <v>1887.8539396411088</v>
      </c>
      <c r="W407" s="221">
        <f>X407+Y407+Z407+AA407+AB407+AD407+AF407+AH407+AJ407+AL407+AN407+AO407</f>
        <v>6086.2449918433931</v>
      </c>
      <c r="X407" s="221">
        <v>0</v>
      </c>
      <c r="Y407" s="222">
        <v>0</v>
      </c>
      <c r="Z407" s="222">
        <v>0</v>
      </c>
      <c r="AA407" s="222">
        <v>0</v>
      </c>
      <c r="AB407" s="222">
        <v>0</v>
      </c>
      <c r="AC407" s="222">
        <v>0</v>
      </c>
      <c r="AD407" s="222">
        <v>0</v>
      </c>
      <c r="AE407" s="222">
        <v>598</v>
      </c>
      <c r="AF407" s="221">
        <f>6238.91*AE407/I407</f>
        <v>6086.2449918433931</v>
      </c>
      <c r="AG407" s="222">
        <v>0</v>
      </c>
      <c r="AH407" s="221">
        <v>0</v>
      </c>
      <c r="AI407" s="222">
        <v>0</v>
      </c>
      <c r="AJ407" s="221">
        <v>0</v>
      </c>
      <c r="AK407" s="222">
        <v>0</v>
      </c>
      <c r="AL407" s="222">
        <v>0</v>
      </c>
      <c r="AM407" s="222">
        <v>0</v>
      </c>
      <c r="AN407" s="222"/>
      <c r="AO407" s="222">
        <v>0</v>
      </c>
    </row>
    <row r="408" spans="1:41" s="223" customFormat="1" ht="36" customHeight="1" x14ac:dyDescent="0.25">
      <c r="B408" s="215" t="s">
        <v>872</v>
      </c>
      <c r="C408" s="215"/>
      <c r="D408" s="217" t="s">
        <v>890</v>
      </c>
      <c r="E408" s="217" t="s">
        <v>890</v>
      </c>
      <c r="F408" s="217" t="s">
        <v>890</v>
      </c>
      <c r="G408" s="217" t="s">
        <v>890</v>
      </c>
      <c r="H408" s="217" t="s">
        <v>890</v>
      </c>
      <c r="I408" s="218">
        <f>SUM(I409:I411)</f>
        <v>866.6</v>
      </c>
      <c r="J408" s="218">
        <f>SUM(J409:J411)</f>
        <v>817.90000000000009</v>
      </c>
      <c r="K408" s="218">
        <f>SUM(K409:K411)</f>
        <v>794.40000000000009</v>
      </c>
      <c r="L408" s="219">
        <f>SUM(L409:L411)</f>
        <v>34</v>
      </c>
      <c r="M408" s="217" t="s">
        <v>890</v>
      </c>
      <c r="N408" s="217" t="s">
        <v>890</v>
      </c>
      <c r="O408" s="220" t="s">
        <v>890</v>
      </c>
      <c r="P408" s="190">
        <v>178408.21000000002</v>
      </c>
      <c r="Q408" s="190">
        <f>SUM(Q409:Q411)</f>
        <v>0</v>
      </c>
      <c r="R408" s="190">
        <f>SUM(R409:R411)</f>
        <v>0</v>
      </c>
      <c r="S408" s="190">
        <f>SUM(S409:S411)</f>
        <v>178408.21000000002</v>
      </c>
      <c r="T408" s="190">
        <f t="shared" si="42"/>
        <v>205.87146318947615</v>
      </c>
      <c r="U408" s="190">
        <f>MAX(U409:U411)</f>
        <v>282.33215434083604</v>
      </c>
      <c r="V408" s="221">
        <f t="shared" si="46"/>
        <v>76.460691151359896</v>
      </c>
      <c r="W408" s="221"/>
      <c r="X408" s="221"/>
      <c r="Y408" s="222"/>
      <c r="Z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  <c r="AL408" s="222"/>
      <c r="AM408" s="222"/>
      <c r="AN408" s="222"/>
      <c r="AO408" s="222"/>
    </row>
    <row r="409" spans="1:41" s="223" customFormat="1" ht="36" customHeight="1" x14ac:dyDescent="0.25">
      <c r="A409" s="223">
        <v>1</v>
      </c>
      <c r="B409" s="225">
        <f>SUBTOTAL(103,$A$16:A409)</f>
        <v>361</v>
      </c>
      <c r="C409" s="215" t="s">
        <v>1233</v>
      </c>
      <c r="D409" s="217">
        <v>1962</v>
      </c>
      <c r="E409" s="217"/>
      <c r="F409" s="226" t="s">
        <v>267</v>
      </c>
      <c r="G409" s="217">
        <v>2</v>
      </c>
      <c r="H409" s="217" t="s">
        <v>304</v>
      </c>
      <c r="I409" s="190">
        <v>311</v>
      </c>
      <c r="J409" s="190">
        <v>311</v>
      </c>
      <c r="K409" s="190">
        <v>287.5</v>
      </c>
      <c r="L409" s="219">
        <v>10</v>
      </c>
      <c r="M409" s="217" t="s">
        <v>265</v>
      </c>
      <c r="N409" s="217" t="s">
        <v>269</v>
      </c>
      <c r="O409" s="220" t="s">
        <v>1304</v>
      </c>
      <c r="P409" s="190">
        <v>87805.3</v>
      </c>
      <c r="Q409" s="190">
        <v>0</v>
      </c>
      <c r="R409" s="190">
        <v>0</v>
      </c>
      <c r="S409" s="190">
        <f>P409-Q409-R409</f>
        <v>87805.3</v>
      </c>
      <c r="T409" s="190">
        <f t="shared" si="42"/>
        <v>282.33215434083604</v>
      </c>
      <c r="U409" s="190">
        <v>282.33215434083604</v>
      </c>
      <c r="V409" s="221">
        <f>U409-T409</f>
        <v>0</v>
      </c>
      <c r="W409" s="221">
        <f>T409</f>
        <v>282.33215434083604</v>
      </c>
      <c r="X409" s="221">
        <v>0</v>
      </c>
      <c r="Y409" s="222">
        <v>0</v>
      </c>
      <c r="Z409" s="222">
        <v>0</v>
      </c>
      <c r="AA409" s="222">
        <v>184.98</v>
      </c>
      <c r="AB409" s="222">
        <v>0</v>
      </c>
      <c r="AC409" s="222">
        <v>0</v>
      </c>
      <c r="AD409" s="222">
        <v>0</v>
      </c>
      <c r="AE409" s="222">
        <v>0</v>
      </c>
      <c r="AF409" s="221">
        <v>0</v>
      </c>
      <c r="AG409" s="222">
        <v>0</v>
      </c>
      <c r="AH409" s="221">
        <v>0</v>
      </c>
      <c r="AI409" s="222">
        <v>0</v>
      </c>
      <c r="AJ409" s="221">
        <v>0</v>
      </c>
      <c r="AK409" s="222">
        <v>0</v>
      </c>
      <c r="AL409" s="222">
        <v>0</v>
      </c>
      <c r="AM409" s="222">
        <v>0</v>
      </c>
      <c r="AN409" s="222"/>
      <c r="AO409" s="222">
        <v>0</v>
      </c>
    </row>
    <row r="410" spans="1:41" s="223" customFormat="1" ht="36" customHeight="1" x14ac:dyDescent="0.25">
      <c r="A410" s="223">
        <v>1</v>
      </c>
      <c r="B410" s="225">
        <f>SUBTOTAL(103,$A$16:A410)</f>
        <v>362</v>
      </c>
      <c r="C410" s="215" t="s">
        <v>81</v>
      </c>
      <c r="D410" s="217">
        <v>1931</v>
      </c>
      <c r="E410" s="217"/>
      <c r="F410" s="226" t="s">
        <v>267</v>
      </c>
      <c r="G410" s="217">
        <v>2</v>
      </c>
      <c r="H410" s="217" t="s">
        <v>304</v>
      </c>
      <c r="I410" s="190">
        <v>345.1</v>
      </c>
      <c r="J410" s="190">
        <v>319.60000000000002</v>
      </c>
      <c r="K410" s="190">
        <v>319.60000000000002</v>
      </c>
      <c r="L410" s="219">
        <v>9</v>
      </c>
      <c r="M410" s="217" t="s">
        <v>265</v>
      </c>
      <c r="N410" s="217" t="s">
        <v>266</v>
      </c>
      <c r="O410" s="220" t="s">
        <v>268</v>
      </c>
      <c r="P410" s="190">
        <v>50003.71</v>
      </c>
      <c r="Q410" s="190">
        <v>0</v>
      </c>
      <c r="R410" s="190">
        <v>0</v>
      </c>
      <c r="S410" s="190">
        <f>P410-Q410-R410</f>
        <v>50003.71</v>
      </c>
      <c r="T410" s="190">
        <f t="shared" si="42"/>
        <v>144.89629093016515</v>
      </c>
      <c r="U410" s="190">
        <v>144.89629093016515</v>
      </c>
      <c r="V410" s="221">
        <f>U410-T410</f>
        <v>0</v>
      </c>
      <c r="W410" s="221">
        <f>T410</f>
        <v>144.89629093016515</v>
      </c>
      <c r="X410" s="221">
        <v>0</v>
      </c>
      <c r="Y410" s="222">
        <v>0</v>
      </c>
      <c r="Z410" s="222">
        <v>0</v>
      </c>
      <c r="AA410" s="222">
        <v>184.98</v>
      </c>
      <c r="AB410" s="222">
        <v>0</v>
      </c>
      <c r="AC410" s="222">
        <v>0</v>
      </c>
      <c r="AD410" s="222">
        <v>0</v>
      </c>
      <c r="AE410" s="222">
        <v>0</v>
      </c>
      <c r="AF410" s="221">
        <v>0</v>
      </c>
      <c r="AG410" s="222">
        <v>0</v>
      </c>
      <c r="AH410" s="221">
        <v>0</v>
      </c>
      <c r="AI410" s="222">
        <v>0</v>
      </c>
      <c r="AJ410" s="221">
        <v>0</v>
      </c>
      <c r="AK410" s="222">
        <v>0</v>
      </c>
      <c r="AL410" s="222">
        <v>0</v>
      </c>
      <c r="AM410" s="222">
        <v>0</v>
      </c>
      <c r="AN410" s="222"/>
      <c r="AO410" s="222">
        <v>0</v>
      </c>
    </row>
    <row r="411" spans="1:41" s="223" customFormat="1" ht="36" customHeight="1" x14ac:dyDescent="0.25">
      <c r="A411" s="223">
        <v>1</v>
      </c>
      <c r="B411" s="225">
        <f>SUBTOTAL(103,$A$16:A411)</f>
        <v>363</v>
      </c>
      <c r="C411" s="215" t="s">
        <v>82</v>
      </c>
      <c r="D411" s="217">
        <v>1965</v>
      </c>
      <c r="E411" s="217"/>
      <c r="F411" s="226" t="s">
        <v>267</v>
      </c>
      <c r="G411" s="217">
        <v>2</v>
      </c>
      <c r="H411" s="217" t="s">
        <v>304</v>
      </c>
      <c r="I411" s="190">
        <v>210.5</v>
      </c>
      <c r="J411" s="190">
        <v>187.3</v>
      </c>
      <c r="K411" s="190">
        <v>187.3</v>
      </c>
      <c r="L411" s="219">
        <v>15</v>
      </c>
      <c r="M411" s="217" t="s">
        <v>265</v>
      </c>
      <c r="N411" s="217" t="s">
        <v>269</v>
      </c>
      <c r="O411" s="220" t="s">
        <v>279</v>
      </c>
      <c r="P411" s="190">
        <v>40599.199999999997</v>
      </c>
      <c r="Q411" s="190">
        <v>0</v>
      </c>
      <c r="R411" s="190">
        <v>0</v>
      </c>
      <c r="S411" s="190">
        <f>P411-Q411-R411</f>
        <v>40599.199999999997</v>
      </c>
      <c r="T411" s="190">
        <f t="shared" si="42"/>
        <v>192.87030878859855</v>
      </c>
      <c r="U411" s="190">
        <v>192.87030878859855</v>
      </c>
      <c r="V411" s="221">
        <f>U411-T411</f>
        <v>0</v>
      </c>
      <c r="W411" s="221">
        <f>T411</f>
        <v>192.87030878859855</v>
      </c>
      <c r="X411" s="221">
        <v>0</v>
      </c>
      <c r="Y411" s="222">
        <v>0</v>
      </c>
      <c r="Z411" s="222">
        <v>0</v>
      </c>
      <c r="AA411" s="222">
        <v>184.98</v>
      </c>
      <c r="AB411" s="222">
        <v>0</v>
      </c>
      <c r="AC411" s="222">
        <v>0</v>
      </c>
      <c r="AD411" s="222">
        <v>0</v>
      </c>
      <c r="AE411" s="222">
        <v>0</v>
      </c>
      <c r="AF411" s="221">
        <v>0</v>
      </c>
      <c r="AG411" s="222">
        <v>0</v>
      </c>
      <c r="AH411" s="221">
        <v>0</v>
      </c>
      <c r="AI411" s="222">
        <v>0</v>
      </c>
      <c r="AJ411" s="221">
        <v>0</v>
      </c>
      <c r="AK411" s="222">
        <v>0</v>
      </c>
      <c r="AL411" s="222">
        <v>0</v>
      </c>
      <c r="AM411" s="222">
        <v>0</v>
      </c>
      <c r="AN411" s="222"/>
      <c r="AO411" s="222">
        <v>0</v>
      </c>
    </row>
    <row r="412" spans="1:41" s="223" customFormat="1" ht="36" customHeight="1" x14ac:dyDescent="0.25">
      <c r="B412" s="215" t="s">
        <v>840</v>
      </c>
      <c r="C412" s="227"/>
      <c r="D412" s="217" t="s">
        <v>890</v>
      </c>
      <c r="E412" s="217" t="s">
        <v>890</v>
      </c>
      <c r="F412" s="217" t="s">
        <v>890</v>
      </c>
      <c r="G412" s="217" t="s">
        <v>890</v>
      </c>
      <c r="H412" s="217" t="s">
        <v>890</v>
      </c>
      <c r="I412" s="218">
        <f>SUM(I413:I415)</f>
        <v>3663.2799999999997</v>
      </c>
      <c r="J412" s="218">
        <f>SUM(J413:J415)</f>
        <v>2787.65</v>
      </c>
      <c r="K412" s="218">
        <f>SUM(K413:K415)</f>
        <v>2473.65</v>
      </c>
      <c r="L412" s="219">
        <f>SUM(L413:L415)</f>
        <v>115</v>
      </c>
      <c r="M412" s="217" t="s">
        <v>890</v>
      </c>
      <c r="N412" s="217" t="s">
        <v>890</v>
      </c>
      <c r="O412" s="220" t="s">
        <v>890</v>
      </c>
      <c r="P412" s="218">
        <v>8700170.3300000001</v>
      </c>
      <c r="Q412" s="218">
        <f>SUM(Q413:Q415)</f>
        <v>0</v>
      </c>
      <c r="R412" s="218">
        <f>SUM(R413:R415)</f>
        <v>0</v>
      </c>
      <c r="S412" s="218">
        <f>SUM(S413:S415)</f>
        <v>8700170.3300000001</v>
      </c>
      <c r="T412" s="190">
        <f t="shared" si="42"/>
        <v>2374.9673325544322</v>
      </c>
      <c r="U412" s="190">
        <f>MAX(U413:U415)</f>
        <v>5752.3124668609562</v>
      </c>
      <c r="V412" s="221">
        <f t="shared" si="46"/>
        <v>3377.345134306524</v>
      </c>
      <c r="W412" s="221"/>
      <c r="X412" s="221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</row>
    <row r="413" spans="1:41" s="223" customFormat="1" ht="36" customHeight="1" x14ac:dyDescent="0.25">
      <c r="A413" s="223">
        <v>1</v>
      </c>
      <c r="B413" s="225">
        <f>SUBTOTAL(103,$A$16:A413)</f>
        <v>364</v>
      </c>
      <c r="C413" s="215" t="s">
        <v>107</v>
      </c>
      <c r="D413" s="217">
        <v>1961</v>
      </c>
      <c r="E413" s="217"/>
      <c r="F413" s="226" t="s">
        <v>267</v>
      </c>
      <c r="G413" s="217">
        <v>3</v>
      </c>
      <c r="H413" s="217" t="s">
        <v>303</v>
      </c>
      <c r="I413" s="190">
        <v>1048.3800000000001</v>
      </c>
      <c r="J413" s="190">
        <v>975.35</v>
      </c>
      <c r="K413" s="190">
        <v>975.35</v>
      </c>
      <c r="L413" s="219">
        <v>49</v>
      </c>
      <c r="M413" s="217" t="s">
        <v>265</v>
      </c>
      <c r="N413" s="217" t="s">
        <v>269</v>
      </c>
      <c r="O413" s="220" t="s">
        <v>1080</v>
      </c>
      <c r="P413" s="190">
        <v>1877560.0999999999</v>
      </c>
      <c r="Q413" s="190">
        <v>0</v>
      </c>
      <c r="R413" s="190">
        <v>0</v>
      </c>
      <c r="S413" s="190">
        <f>P413-Q413-R413</f>
        <v>1877560.0999999999</v>
      </c>
      <c r="T413" s="190">
        <f t="shared" si="42"/>
        <v>1790.9156031210055</v>
      </c>
      <c r="U413" s="190">
        <v>3409.9036999942764</v>
      </c>
      <c r="V413" s="221">
        <f t="shared" si="46"/>
        <v>1618.9880968732709</v>
      </c>
      <c r="W413" s="221">
        <f>X413+Y413+Z413+AA413+AB413+AD413+AF413+AH413+AJ413+AL413+AN413+AO413</f>
        <v>3269.0631548675096</v>
      </c>
      <c r="X413" s="221">
        <v>0</v>
      </c>
      <c r="Y413" s="222">
        <v>0</v>
      </c>
      <c r="Z413" s="222">
        <v>0</v>
      </c>
      <c r="AA413" s="222">
        <v>0</v>
      </c>
      <c r="AB413" s="222">
        <v>0</v>
      </c>
      <c r="AC413" s="222">
        <v>0</v>
      </c>
      <c r="AD413" s="222">
        <v>0</v>
      </c>
      <c r="AE413" s="222">
        <v>549.33000000000004</v>
      </c>
      <c r="AF413" s="221">
        <f>6238.91*AE413/I413</f>
        <v>3269.0631548675096</v>
      </c>
      <c r="AG413" s="222">
        <v>0</v>
      </c>
      <c r="AH413" s="221">
        <v>0</v>
      </c>
      <c r="AI413" s="222">
        <v>0</v>
      </c>
      <c r="AJ413" s="221">
        <v>0</v>
      </c>
      <c r="AK413" s="222">
        <v>0</v>
      </c>
      <c r="AL413" s="222">
        <v>0</v>
      </c>
      <c r="AM413" s="222">
        <v>0</v>
      </c>
      <c r="AN413" s="222"/>
      <c r="AO413" s="222">
        <v>0</v>
      </c>
    </row>
    <row r="414" spans="1:41" s="223" customFormat="1" ht="36" customHeight="1" x14ac:dyDescent="0.25">
      <c r="A414" s="223">
        <v>1</v>
      </c>
      <c r="B414" s="225">
        <f>SUBTOTAL(103,$A$16:A414)</f>
        <v>365</v>
      </c>
      <c r="C414" s="215" t="s">
        <v>109</v>
      </c>
      <c r="D414" s="217">
        <v>1977</v>
      </c>
      <c r="E414" s="217"/>
      <c r="F414" s="226" t="s">
        <v>267</v>
      </c>
      <c r="G414" s="217">
        <v>2</v>
      </c>
      <c r="H414" s="217" t="s">
        <v>312</v>
      </c>
      <c r="I414" s="190">
        <v>1063.7</v>
      </c>
      <c r="J414" s="190">
        <v>938.3</v>
      </c>
      <c r="K414" s="190">
        <v>938.3</v>
      </c>
      <c r="L414" s="219">
        <v>34</v>
      </c>
      <c r="M414" s="217" t="s">
        <v>265</v>
      </c>
      <c r="N414" s="217" t="s">
        <v>266</v>
      </c>
      <c r="O414" s="220" t="s">
        <v>268</v>
      </c>
      <c r="P414" s="190">
        <v>3555061.2899999996</v>
      </c>
      <c r="Q414" s="190">
        <v>0</v>
      </c>
      <c r="R414" s="190">
        <v>0</v>
      </c>
      <c r="S414" s="190">
        <f>P414-Q414-R414</f>
        <v>3555061.2899999996</v>
      </c>
      <c r="T414" s="190">
        <f t="shared" si="42"/>
        <v>3342.1653567735257</v>
      </c>
      <c r="U414" s="190">
        <v>5752.3124668609562</v>
      </c>
      <c r="V414" s="221">
        <f t="shared" si="46"/>
        <v>2410.1471100874305</v>
      </c>
      <c r="W414" s="221">
        <f>X414+Y414+Z414+AA414+AB414+AD414+AF414+AH414+AJ414+AL414+AN414+AO414</f>
        <v>5514.7225244899873</v>
      </c>
      <c r="X414" s="221">
        <v>0</v>
      </c>
      <c r="Y414" s="222">
        <v>0</v>
      </c>
      <c r="Z414" s="222">
        <v>0</v>
      </c>
      <c r="AA414" s="222">
        <v>0</v>
      </c>
      <c r="AB414" s="222">
        <v>0</v>
      </c>
      <c r="AC414" s="222">
        <v>0</v>
      </c>
      <c r="AD414" s="222">
        <v>0</v>
      </c>
      <c r="AE414" s="222">
        <v>940.23</v>
      </c>
      <c r="AF414" s="221">
        <f>6238.91*AE414/I414</f>
        <v>5514.7225244899873</v>
      </c>
      <c r="AG414" s="222">
        <v>0</v>
      </c>
      <c r="AH414" s="221">
        <v>0</v>
      </c>
      <c r="AI414" s="222">
        <v>0</v>
      </c>
      <c r="AJ414" s="221">
        <v>0</v>
      </c>
      <c r="AK414" s="222">
        <v>0</v>
      </c>
      <c r="AL414" s="222">
        <v>0</v>
      </c>
      <c r="AM414" s="222">
        <v>0</v>
      </c>
      <c r="AN414" s="222"/>
      <c r="AO414" s="222">
        <v>0</v>
      </c>
    </row>
    <row r="415" spans="1:41" s="223" customFormat="1" ht="36" customHeight="1" x14ac:dyDescent="0.25">
      <c r="A415" s="223">
        <v>1</v>
      </c>
      <c r="B415" s="225">
        <f>SUBTOTAL(103,$A$16:A415)</f>
        <v>366</v>
      </c>
      <c r="C415" s="215" t="s">
        <v>1234</v>
      </c>
      <c r="D415" s="217">
        <v>1934</v>
      </c>
      <c r="E415" s="217"/>
      <c r="F415" s="226" t="s">
        <v>267</v>
      </c>
      <c r="G415" s="217">
        <v>2</v>
      </c>
      <c r="H415" s="217" t="s">
        <v>312</v>
      </c>
      <c r="I415" s="190">
        <v>1551.2</v>
      </c>
      <c r="J415" s="190">
        <v>874</v>
      </c>
      <c r="K415" s="190">
        <v>560</v>
      </c>
      <c r="L415" s="219">
        <v>32</v>
      </c>
      <c r="M415" s="217" t="s">
        <v>265</v>
      </c>
      <c r="N415" s="217" t="s">
        <v>266</v>
      </c>
      <c r="O415" s="220" t="s">
        <v>268</v>
      </c>
      <c r="P415" s="190">
        <v>3267548.94</v>
      </c>
      <c r="Q415" s="190">
        <v>0</v>
      </c>
      <c r="R415" s="190">
        <v>0</v>
      </c>
      <c r="S415" s="190">
        <f>P415-Q415-R415</f>
        <v>3267548.94</v>
      </c>
      <c r="T415" s="190">
        <f t="shared" si="42"/>
        <v>2106.465278494069</v>
      </c>
      <c r="U415" s="190">
        <v>3387.2595281072713</v>
      </c>
      <c r="V415" s="221">
        <f t="shared" si="46"/>
        <v>1280.7942496132023</v>
      </c>
      <c r="W415" s="221">
        <f>T415</f>
        <v>2106.465278494069</v>
      </c>
      <c r="X415" s="221">
        <v>0</v>
      </c>
      <c r="Y415" s="222">
        <v>0</v>
      </c>
      <c r="Z415" s="222">
        <v>0</v>
      </c>
      <c r="AA415" s="222">
        <v>0</v>
      </c>
      <c r="AB415" s="222">
        <v>0</v>
      </c>
      <c r="AC415" s="222">
        <v>0</v>
      </c>
      <c r="AD415" s="222">
        <v>0</v>
      </c>
      <c r="AE415" s="222">
        <v>0</v>
      </c>
      <c r="AF415" s="221">
        <v>0</v>
      </c>
      <c r="AG415" s="222">
        <v>0</v>
      </c>
      <c r="AH415" s="221">
        <v>0</v>
      </c>
      <c r="AI415" s="222">
        <v>0</v>
      </c>
      <c r="AJ415" s="221">
        <v>0</v>
      </c>
      <c r="AK415" s="222">
        <v>0</v>
      </c>
      <c r="AL415" s="222">
        <v>0</v>
      </c>
      <c r="AM415" s="222">
        <v>763.84</v>
      </c>
      <c r="AN415" s="222">
        <f>6984.52*AM415/I415</f>
        <v>3439.3087653429607</v>
      </c>
      <c r="AO415" s="222">
        <v>0</v>
      </c>
    </row>
    <row r="416" spans="1:41" s="223" customFormat="1" ht="36" customHeight="1" x14ac:dyDescent="0.25">
      <c r="B416" s="215" t="s">
        <v>841</v>
      </c>
      <c r="C416" s="227"/>
      <c r="D416" s="217" t="s">
        <v>890</v>
      </c>
      <c r="E416" s="217" t="s">
        <v>890</v>
      </c>
      <c r="F416" s="217" t="s">
        <v>890</v>
      </c>
      <c r="G416" s="217" t="s">
        <v>890</v>
      </c>
      <c r="H416" s="217" t="s">
        <v>890</v>
      </c>
      <c r="I416" s="218">
        <f>I417</f>
        <v>2767.4</v>
      </c>
      <c r="J416" s="218">
        <f>J417</f>
        <v>2688.9</v>
      </c>
      <c r="K416" s="218">
        <f>K417</f>
        <v>2688.9</v>
      </c>
      <c r="L416" s="219">
        <f>L417</f>
        <v>31</v>
      </c>
      <c r="M416" s="217" t="s">
        <v>890</v>
      </c>
      <c r="N416" s="217" t="s">
        <v>890</v>
      </c>
      <c r="O416" s="220" t="s">
        <v>890</v>
      </c>
      <c r="P416" s="190">
        <v>4281723.32</v>
      </c>
      <c r="Q416" s="190">
        <f>Q417</f>
        <v>0</v>
      </c>
      <c r="R416" s="190">
        <f>R417</f>
        <v>2908349.77</v>
      </c>
      <c r="S416" s="190">
        <f>S417</f>
        <v>1373373.5500000003</v>
      </c>
      <c r="T416" s="190">
        <f t="shared" si="42"/>
        <v>1547.2007371540074</v>
      </c>
      <c r="U416" s="190">
        <f>MAX(U417)</f>
        <v>2271.0165769314153</v>
      </c>
      <c r="V416" s="221">
        <f t="shared" si="46"/>
        <v>723.81583977740797</v>
      </c>
      <c r="W416" s="221"/>
      <c r="X416" s="221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</row>
    <row r="417" spans="1:41" s="223" customFormat="1" ht="36" customHeight="1" x14ac:dyDescent="0.25">
      <c r="A417" s="223">
        <v>1</v>
      </c>
      <c r="B417" s="225">
        <f>SUBTOTAL(103,$A$16:A417)</f>
        <v>367</v>
      </c>
      <c r="C417" s="215" t="s">
        <v>40</v>
      </c>
      <c r="D417" s="217">
        <v>1979</v>
      </c>
      <c r="E417" s="217"/>
      <c r="F417" s="226" t="s">
        <v>267</v>
      </c>
      <c r="G417" s="217">
        <v>5</v>
      </c>
      <c r="H417" s="217" t="s">
        <v>308</v>
      </c>
      <c r="I417" s="190">
        <v>2767.4</v>
      </c>
      <c r="J417" s="190">
        <v>2688.9</v>
      </c>
      <c r="K417" s="190">
        <v>2688.9</v>
      </c>
      <c r="L417" s="219">
        <v>31</v>
      </c>
      <c r="M417" s="217" t="s">
        <v>265</v>
      </c>
      <c r="N417" s="217" t="s">
        <v>266</v>
      </c>
      <c r="O417" s="220" t="s">
        <v>268</v>
      </c>
      <c r="P417" s="190">
        <v>4281723.32</v>
      </c>
      <c r="Q417" s="190">
        <v>0</v>
      </c>
      <c r="R417" s="190">
        <v>2908349.77</v>
      </c>
      <c r="S417" s="190">
        <f>P417-R417</f>
        <v>1373373.5500000003</v>
      </c>
      <c r="T417" s="190">
        <f t="shared" si="42"/>
        <v>1547.2007371540074</v>
      </c>
      <c r="U417" s="190">
        <v>2271.0165769314153</v>
      </c>
      <c r="V417" s="221">
        <f>U417-T417</f>
        <v>723.81583977740797</v>
      </c>
      <c r="W417" s="221">
        <f>X417+Y417+Z417+AA417+AB417+AD417+AF417+AH417+AJ417+AL417+AN417+AO417</f>
        <v>2502.4174676591742</v>
      </c>
      <c r="X417" s="221">
        <v>0</v>
      </c>
      <c r="Y417" s="222">
        <v>0</v>
      </c>
      <c r="Z417" s="222">
        <v>0</v>
      </c>
      <c r="AA417" s="222">
        <v>0</v>
      </c>
      <c r="AB417" s="222">
        <v>0</v>
      </c>
      <c r="AC417" s="222">
        <v>0</v>
      </c>
      <c r="AD417" s="222">
        <v>0</v>
      </c>
      <c r="AE417" s="222">
        <v>1110</v>
      </c>
      <c r="AF417" s="221">
        <f>6238.91*AE417/I417</f>
        <v>2502.4174676591742</v>
      </c>
      <c r="AG417" s="222">
        <v>0</v>
      </c>
      <c r="AH417" s="221">
        <v>0</v>
      </c>
      <c r="AI417" s="222">
        <v>0</v>
      </c>
      <c r="AJ417" s="221">
        <v>0</v>
      </c>
      <c r="AK417" s="222">
        <v>0</v>
      </c>
      <c r="AL417" s="222">
        <v>0</v>
      </c>
      <c r="AM417" s="222">
        <v>0</v>
      </c>
      <c r="AN417" s="222"/>
      <c r="AO417" s="222">
        <v>0</v>
      </c>
    </row>
    <row r="418" spans="1:41" s="223" customFormat="1" ht="36" customHeight="1" x14ac:dyDescent="0.25">
      <c r="B418" s="215" t="s">
        <v>842</v>
      </c>
      <c r="C418" s="215"/>
      <c r="D418" s="217" t="s">
        <v>890</v>
      </c>
      <c r="E418" s="217" t="s">
        <v>890</v>
      </c>
      <c r="F418" s="217" t="s">
        <v>890</v>
      </c>
      <c r="G418" s="217" t="s">
        <v>890</v>
      </c>
      <c r="H418" s="217" t="s">
        <v>890</v>
      </c>
      <c r="I418" s="218">
        <f>SUM(I419:I421)</f>
        <v>15666.63</v>
      </c>
      <c r="J418" s="218">
        <f>SUM(J419:J421)</f>
        <v>12577.22</v>
      </c>
      <c r="K418" s="218">
        <f>SUM(K419:K421)</f>
        <v>12577.22</v>
      </c>
      <c r="L418" s="219">
        <f>SUM(L419:L421)</f>
        <v>545</v>
      </c>
      <c r="M418" s="217" t="s">
        <v>890</v>
      </c>
      <c r="N418" s="217" t="s">
        <v>890</v>
      </c>
      <c r="O418" s="220" t="s">
        <v>890</v>
      </c>
      <c r="P418" s="218">
        <v>2434186.5799999996</v>
      </c>
      <c r="Q418" s="218">
        <f>SUM(Q419:Q421)</f>
        <v>0</v>
      </c>
      <c r="R418" s="218">
        <f>SUM(R419:R421)</f>
        <v>0</v>
      </c>
      <c r="S418" s="218">
        <f>SUM(S419:S421)</f>
        <v>2434186.5799999996</v>
      </c>
      <c r="T418" s="190">
        <f t="shared" si="42"/>
        <v>155.37397513058008</v>
      </c>
      <c r="U418" s="190">
        <f>MAX(U419:U421)</f>
        <v>4187.79</v>
      </c>
      <c r="V418" s="221">
        <f t="shared" si="46"/>
        <v>4032.4160248694197</v>
      </c>
      <c r="W418" s="221"/>
      <c r="X418" s="221"/>
      <c r="Y418" s="222"/>
      <c r="Z418" s="222"/>
      <c r="AA418" s="222"/>
      <c r="AB418" s="222"/>
      <c r="AC418" s="222"/>
      <c r="AD418" s="222"/>
      <c r="AE418" s="222"/>
      <c r="AF418" s="222"/>
      <c r="AG418" s="222"/>
      <c r="AH418" s="222"/>
      <c r="AI418" s="222"/>
      <c r="AJ418" s="222"/>
      <c r="AK418" s="222"/>
      <c r="AL418" s="222"/>
      <c r="AM418" s="222"/>
      <c r="AN418" s="222"/>
      <c r="AO418" s="222"/>
    </row>
    <row r="419" spans="1:41" s="223" customFormat="1" ht="36" customHeight="1" x14ac:dyDescent="0.25">
      <c r="A419" s="223">
        <v>1</v>
      </c>
      <c r="B419" s="225">
        <f>SUBTOTAL(103,$A$16:A419)</f>
        <v>368</v>
      </c>
      <c r="C419" s="215" t="s">
        <v>63</v>
      </c>
      <c r="D419" s="217">
        <v>1976</v>
      </c>
      <c r="E419" s="217"/>
      <c r="F419" s="226" t="s">
        <v>267</v>
      </c>
      <c r="G419" s="217">
        <v>5</v>
      </c>
      <c r="H419" s="217" t="s">
        <v>371</v>
      </c>
      <c r="I419" s="190">
        <v>4783.1499999999996</v>
      </c>
      <c r="J419" s="190">
        <v>4417.7</v>
      </c>
      <c r="K419" s="190">
        <v>4417.7</v>
      </c>
      <c r="L419" s="219">
        <v>190</v>
      </c>
      <c r="M419" s="217" t="s">
        <v>265</v>
      </c>
      <c r="N419" s="217" t="s">
        <v>269</v>
      </c>
      <c r="O419" s="220" t="s">
        <v>270</v>
      </c>
      <c r="P419" s="190">
        <v>158769.03</v>
      </c>
      <c r="Q419" s="190">
        <v>0</v>
      </c>
      <c r="R419" s="190">
        <v>0</v>
      </c>
      <c r="S419" s="190">
        <f>P419-Q419-R419</f>
        <v>158769.03</v>
      </c>
      <c r="T419" s="190">
        <f t="shared" si="42"/>
        <v>33.193403928373563</v>
      </c>
      <c r="U419" s="190">
        <v>33.193403928373563</v>
      </c>
      <c r="V419" s="221">
        <f t="shared" si="46"/>
        <v>0</v>
      </c>
      <c r="W419" s="221">
        <f>X419+Y419+Z419+AA419+AB419+AD419+AF419+AH419+AJ419+AL419+AN419+AO419</f>
        <v>1852.1794633243783</v>
      </c>
      <c r="X419" s="221">
        <v>0</v>
      </c>
      <c r="Y419" s="222">
        <v>0</v>
      </c>
      <c r="Z419" s="222">
        <v>0</v>
      </c>
      <c r="AA419" s="222">
        <v>0</v>
      </c>
      <c r="AB419" s="222">
        <v>0</v>
      </c>
      <c r="AC419" s="222">
        <v>0</v>
      </c>
      <c r="AD419" s="222">
        <v>0</v>
      </c>
      <c r="AE419" s="222">
        <v>1420</v>
      </c>
      <c r="AF419" s="221">
        <f>6238.91*AE419/I419</f>
        <v>1852.1794633243783</v>
      </c>
      <c r="AG419" s="222">
        <v>0</v>
      </c>
      <c r="AH419" s="221">
        <v>0</v>
      </c>
      <c r="AI419" s="222">
        <v>0</v>
      </c>
      <c r="AJ419" s="221">
        <v>0</v>
      </c>
      <c r="AK419" s="222">
        <v>0</v>
      </c>
      <c r="AL419" s="222">
        <v>0</v>
      </c>
      <c r="AM419" s="222">
        <v>0</v>
      </c>
      <c r="AN419" s="222"/>
      <c r="AO419" s="222">
        <v>0</v>
      </c>
    </row>
    <row r="420" spans="1:41" s="223" customFormat="1" ht="36" customHeight="1" x14ac:dyDescent="0.25">
      <c r="A420" s="223">
        <v>1</v>
      </c>
      <c r="B420" s="225">
        <f>SUBTOTAL(103,$A$16:A420)</f>
        <v>369</v>
      </c>
      <c r="C420" s="215" t="s">
        <v>1249</v>
      </c>
      <c r="D420" s="217">
        <v>1969</v>
      </c>
      <c r="E420" s="217"/>
      <c r="F420" s="226" t="s">
        <v>267</v>
      </c>
      <c r="G420" s="217">
        <v>5</v>
      </c>
      <c r="H420" s="217" t="s">
        <v>303</v>
      </c>
      <c r="I420" s="190">
        <v>3712.73</v>
      </c>
      <c r="J420" s="190">
        <v>3066.62</v>
      </c>
      <c r="K420" s="190">
        <v>3066.62</v>
      </c>
      <c r="L420" s="219">
        <v>137</v>
      </c>
      <c r="M420" s="217" t="s">
        <v>265</v>
      </c>
      <c r="N420" s="217" t="s">
        <v>269</v>
      </c>
      <c r="O420" s="220" t="s">
        <v>1300</v>
      </c>
      <c r="P420" s="190">
        <v>2151195.73</v>
      </c>
      <c r="Q420" s="190">
        <v>0</v>
      </c>
      <c r="R420" s="190">
        <v>0</v>
      </c>
      <c r="S420" s="190">
        <f>P420-Q420-R420</f>
        <v>2151195.73</v>
      </c>
      <c r="T420" s="190">
        <f t="shared" si="42"/>
        <v>579.4107651243155</v>
      </c>
      <c r="U420" s="190">
        <v>4187.79</v>
      </c>
      <c r="V420" s="221">
        <f t="shared" si="46"/>
        <v>3608.3792348756842</v>
      </c>
      <c r="W420" s="221">
        <f>X420+Y420+Z420+AA420+AB420+AD420+AF420+AH420+AJ420+AL420+AN420+AO420</f>
        <v>3791.6299999999997</v>
      </c>
      <c r="X420" s="221">
        <v>101.55</v>
      </c>
      <c r="Y420" s="222">
        <v>245.44</v>
      </c>
      <c r="Z420" s="222">
        <v>3259.66</v>
      </c>
      <c r="AA420" s="222">
        <v>184.98</v>
      </c>
      <c r="AB420" s="222">
        <v>0</v>
      </c>
      <c r="AC420" s="222">
        <v>0</v>
      </c>
      <c r="AD420" s="222">
        <v>0</v>
      </c>
      <c r="AE420" s="222">
        <v>0</v>
      </c>
      <c r="AF420" s="221">
        <v>0</v>
      </c>
      <c r="AG420" s="222">
        <v>0</v>
      </c>
      <c r="AH420" s="221">
        <v>0</v>
      </c>
      <c r="AI420" s="222">
        <v>0</v>
      </c>
      <c r="AJ420" s="221">
        <v>0</v>
      </c>
      <c r="AK420" s="222">
        <v>0</v>
      </c>
      <c r="AL420" s="222">
        <v>0</v>
      </c>
      <c r="AM420" s="222">
        <v>0</v>
      </c>
      <c r="AN420" s="222"/>
      <c r="AO420" s="222">
        <v>0</v>
      </c>
    </row>
    <row r="421" spans="1:41" s="223" customFormat="1" ht="36" customHeight="1" x14ac:dyDescent="0.25">
      <c r="A421" s="223">
        <v>1</v>
      </c>
      <c r="B421" s="225">
        <f>SUBTOTAL(103,$A$16:A421)</f>
        <v>370</v>
      </c>
      <c r="C421" s="215" t="s">
        <v>52</v>
      </c>
      <c r="D421" s="217">
        <v>1981</v>
      </c>
      <c r="E421" s="217"/>
      <c r="F421" s="226" t="s">
        <v>267</v>
      </c>
      <c r="G421" s="217">
        <v>5</v>
      </c>
      <c r="H421" s="217" t="s">
        <v>2266</v>
      </c>
      <c r="I421" s="190">
        <v>7170.75</v>
      </c>
      <c r="J421" s="190">
        <v>5092.8999999999996</v>
      </c>
      <c r="K421" s="190">
        <v>5092.8999999999996</v>
      </c>
      <c r="L421" s="219">
        <v>218</v>
      </c>
      <c r="M421" s="217" t="s">
        <v>265</v>
      </c>
      <c r="N421" s="217" t="s">
        <v>269</v>
      </c>
      <c r="O421" s="220" t="s">
        <v>270</v>
      </c>
      <c r="P421" s="190">
        <v>124221.82</v>
      </c>
      <c r="Q421" s="190">
        <v>0</v>
      </c>
      <c r="R421" s="190">
        <v>0</v>
      </c>
      <c r="S421" s="190">
        <f>P421-R421-Q421</f>
        <v>124221.82</v>
      </c>
      <c r="T421" s="190">
        <f t="shared" si="42"/>
        <v>17.323406896070843</v>
      </c>
      <c r="U421" s="190">
        <v>17.323406896070843</v>
      </c>
      <c r="V421" s="221">
        <f t="shared" si="46"/>
        <v>0</v>
      </c>
      <c r="W421" s="221">
        <f>X421+Y421+Z421+AA421+AB421+AD421+AF421+AH421+AJ421+AL421+AN421+AO421</f>
        <v>1184.137853083708</v>
      </c>
      <c r="X421" s="221">
        <v>0</v>
      </c>
      <c r="Y421" s="222">
        <v>0</v>
      </c>
      <c r="Z421" s="222">
        <v>0</v>
      </c>
      <c r="AA421" s="222">
        <v>0</v>
      </c>
      <c r="AB421" s="222">
        <v>0</v>
      </c>
      <c r="AC421" s="222">
        <v>0</v>
      </c>
      <c r="AD421" s="222">
        <v>0</v>
      </c>
      <c r="AE421" s="222">
        <v>1361</v>
      </c>
      <c r="AF421" s="221">
        <f>6238.91*AE421/I421</f>
        <v>1184.137853083708</v>
      </c>
      <c r="AG421" s="222">
        <v>0</v>
      </c>
      <c r="AH421" s="221">
        <v>0</v>
      </c>
      <c r="AI421" s="222">
        <v>0</v>
      </c>
      <c r="AJ421" s="221">
        <v>0</v>
      </c>
      <c r="AK421" s="222">
        <v>0</v>
      </c>
      <c r="AL421" s="222">
        <v>0</v>
      </c>
      <c r="AM421" s="222">
        <v>0</v>
      </c>
      <c r="AN421" s="222"/>
      <c r="AO421" s="222">
        <v>0</v>
      </c>
    </row>
    <row r="422" spans="1:41" s="223" customFormat="1" ht="36" customHeight="1" x14ac:dyDescent="0.25">
      <c r="B422" s="215" t="s">
        <v>843</v>
      </c>
      <c r="C422" s="215"/>
      <c r="D422" s="217" t="s">
        <v>890</v>
      </c>
      <c r="E422" s="217" t="s">
        <v>890</v>
      </c>
      <c r="F422" s="217" t="s">
        <v>890</v>
      </c>
      <c r="G422" s="217" t="s">
        <v>890</v>
      </c>
      <c r="H422" s="217" t="s">
        <v>890</v>
      </c>
      <c r="I422" s="218">
        <f>SUM(I423:I428)</f>
        <v>14224.350000000002</v>
      </c>
      <c r="J422" s="218">
        <f>SUM(J423:J428)</f>
        <v>11894.25</v>
      </c>
      <c r="K422" s="218">
        <f>SUM(K423:K428)</f>
        <v>11435.45</v>
      </c>
      <c r="L422" s="219">
        <f>SUM(L423:L428)</f>
        <v>742</v>
      </c>
      <c r="M422" s="217" t="s">
        <v>890</v>
      </c>
      <c r="N422" s="217" t="s">
        <v>890</v>
      </c>
      <c r="O422" s="220" t="s">
        <v>890</v>
      </c>
      <c r="P422" s="218">
        <v>19736488.870000001</v>
      </c>
      <c r="Q422" s="218">
        <f>SUM(Q423:Q428)</f>
        <v>0</v>
      </c>
      <c r="R422" s="218">
        <f>SUM(R423:R428)</f>
        <v>0</v>
      </c>
      <c r="S422" s="218">
        <f>SUM(S423:S428)</f>
        <v>19736488.870000001</v>
      </c>
      <c r="T422" s="190">
        <f t="shared" si="42"/>
        <v>1387.5142885263649</v>
      </c>
      <c r="U422" s="190">
        <f>MAX(U423:U428)</f>
        <v>6123.0721713300127</v>
      </c>
      <c r="V422" s="221">
        <f t="shared" si="46"/>
        <v>4735.5578828036478</v>
      </c>
      <c r="W422" s="221"/>
      <c r="X422" s="221"/>
      <c r="Y422" s="222"/>
      <c r="Z422" s="222"/>
      <c r="AA422" s="222"/>
      <c r="AB422" s="222"/>
      <c r="AC422" s="222"/>
      <c r="AD422" s="222"/>
      <c r="AE422" s="222"/>
      <c r="AF422" s="222"/>
      <c r="AG422" s="222"/>
      <c r="AH422" s="222"/>
      <c r="AI422" s="222"/>
      <c r="AJ422" s="222"/>
      <c r="AK422" s="222"/>
      <c r="AL422" s="222"/>
      <c r="AM422" s="222"/>
      <c r="AN422" s="222"/>
      <c r="AO422" s="222"/>
    </row>
    <row r="423" spans="1:41" s="223" customFormat="1" ht="36" customHeight="1" x14ac:dyDescent="0.25">
      <c r="A423" s="223">
        <v>1</v>
      </c>
      <c r="B423" s="225">
        <f>SUBTOTAL(103,$A$16:A423)</f>
        <v>371</v>
      </c>
      <c r="C423" s="215" t="s">
        <v>47</v>
      </c>
      <c r="D423" s="217">
        <v>1964</v>
      </c>
      <c r="E423" s="217"/>
      <c r="F423" s="226" t="s">
        <v>267</v>
      </c>
      <c r="G423" s="217">
        <v>3</v>
      </c>
      <c r="H423" s="217" t="s">
        <v>303</v>
      </c>
      <c r="I423" s="190">
        <v>961.6</v>
      </c>
      <c r="J423" s="190">
        <v>723.4</v>
      </c>
      <c r="K423" s="190">
        <v>723.4</v>
      </c>
      <c r="L423" s="219">
        <v>25</v>
      </c>
      <c r="M423" s="217" t="s">
        <v>265</v>
      </c>
      <c r="N423" s="217" t="s">
        <v>269</v>
      </c>
      <c r="O423" s="220" t="s">
        <v>271</v>
      </c>
      <c r="P423" s="190">
        <v>106790.64</v>
      </c>
      <c r="Q423" s="190">
        <v>0</v>
      </c>
      <c r="R423" s="190">
        <v>0</v>
      </c>
      <c r="S423" s="190">
        <f t="shared" ref="S423:S428" si="47">P423-Q423-R423</f>
        <v>106790.64</v>
      </c>
      <c r="T423" s="190">
        <f t="shared" si="42"/>
        <v>111.05515806988352</v>
      </c>
      <c r="U423" s="190">
        <v>111.05515806988352</v>
      </c>
      <c r="V423" s="221">
        <f t="shared" si="46"/>
        <v>0</v>
      </c>
      <c r="W423" s="221">
        <f t="shared" ref="W423:W428" si="48">X423+Y423+Z423+AA423+AB423+AD423+AF423+AH423+AJ423+AL423+AN423+AO423</f>
        <v>4066.0616649334447</v>
      </c>
      <c r="X423" s="221">
        <v>0</v>
      </c>
      <c r="Y423" s="222">
        <v>0</v>
      </c>
      <c r="Z423" s="222">
        <v>0</v>
      </c>
      <c r="AA423" s="222">
        <v>0</v>
      </c>
      <c r="AB423" s="222">
        <v>0</v>
      </c>
      <c r="AC423" s="222">
        <v>0</v>
      </c>
      <c r="AD423" s="222">
        <v>0</v>
      </c>
      <c r="AE423" s="222">
        <v>626.70000000000005</v>
      </c>
      <c r="AF423" s="221">
        <f>6238.91*AE423/I423</f>
        <v>4066.0616649334447</v>
      </c>
      <c r="AG423" s="222">
        <v>0</v>
      </c>
      <c r="AH423" s="221">
        <v>0</v>
      </c>
      <c r="AI423" s="222">
        <v>0</v>
      </c>
      <c r="AJ423" s="221">
        <v>0</v>
      </c>
      <c r="AK423" s="222">
        <v>0</v>
      </c>
      <c r="AL423" s="222">
        <v>0</v>
      </c>
      <c r="AM423" s="222">
        <v>0</v>
      </c>
      <c r="AN423" s="222"/>
      <c r="AO423" s="222">
        <v>0</v>
      </c>
    </row>
    <row r="424" spans="1:41" s="223" customFormat="1" ht="36" customHeight="1" x14ac:dyDescent="0.25">
      <c r="A424" s="223">
        <v>1</v>
      </c>
      <c r="B424" s="225">
        <f>SUBTOTAL(103,$A$16:A424)</f>
        <v>372</v>
      </c>
      <c r="C424" s="215" t="s">
        <v>796</v>
      </c>
      <c r="D424" s="217">
        <v>1989</v>
      </c>
      <c r="E424" s="217"/>
      <c r="F424" s="226" t="s">
        <v>267</v>
      </c>
      <c r="G424" s="217">
        <v>4</v>
      </c>
      <c r="H424" s="217" t="s">
        <v>304</v>
      </c>
      <c r="I424" s="190">
        <v>1871.3</v>
      </c>
      <c r="J424" s="190">
        <v>779.1</v>
      </c>
      <c r="K424" s="190">
        <v>779.1</v>
      </c>
      <c r="L424" s="219">
        <v>88</v>
      </c>
      <c r="M424" s="217" t="s">
        <v>265</v>
      </c>
      <c r="N424" s="217" t="s">
        <v>266</v>
      </c>
      <c r="O424" s="220" t="s">
        <v>268</v>
      </c>
      <c r="P424" s="190">
        <v>2606495.48</v>
      </c>
      <c r="Q424" s="190">
        <v>0</v>
      </c>
      <c r="R424" s="190">
        <v>0</v>
      </c>
      <c r="S424" s="190">
        <f t="shared" si="47"/>
        <v>2606495.48</v>
      </c>
      <c r="T424" s="190">
        <f t="shared" si="42"/>
        <v>1392.87953828889</v>
      </c>
      <c r="U424" s="190">
        <v>2152.6566023619944</v>
      </c>
      <c r="V424" s="221">
        <f t="shared" si="46"/>
        <v>759.77706407310438</v>
      </c>
      <c r="W424" s="221">
        <f t="shared" si="48"/>
        <v>2147.0945545877198</v>
      </c>
      <c r="X424" s="221">
        <v>0</v>
      </c>
      <c r="Y424" s="222">
        <v>0</v>
      </c>
      <c r="Z424" s="222">
        <v>0</v>
      </c>
      <c r="AA424" s="222">
        <v>0</v>
      </c>
      <c r="AB424" s="222">
        <v>0</v>
      </c>
      <c r="AC424" s="222">
        <v>0</v>
      </c>
      <c r="AD424" s="222">
        <v>0</v>
      </c>
      <c r="AE424" s="222">
        <v>644</v>
      </c>
      <c r="AF424" s="221">
        <f>6238.91*AE424/I424</f>
        <v>2147.0945545877198</v>
      </c>
      <c r="AG424" s="222">
        <v>0</v>
      </c>
      <c r="AH424" s="221">
        <v>0</v>
      </c>
      <c r="AI424" s="222">
        <v>0</v>
      </c>
      <c r="AJ424" s="221">
        <v>0</v>
      </c>
      <c r="AK424" s="222">
        <v>0</v>
      </c>
      <c r="AL424" s="222">
        <v>0</v>
      </c>
      <c r="AM424" s="222">
        <v>0</v>
      </c>
      <c r="AN424" s="222"/>
      <c r="AO424" s="222">
        <v>0</v>
      </c>
    </row>
    <row r="425" spans="1:41" s="223" customFormat="1" ht="36" customHeight="1" x14ac:dyDescent="0.25">
      <c r="A425" s="223">
        <v>1</v>
      </c>
      <c r="B425" s="225">
        <f>SUBTOTAL(103,$A$16:A425)</f>
        <v>373</v>
      </c>
      <c r="C425" s="215" t="s">
        <v>1237</v>
      </c>
      <c r="D425" s="217">
        <v>1977</v>
      </c>
      <c r="E425" s="217"/>
      <c r="F425" s="226" t="s">
        <v>267</v>
      </c>
      <c r="G425" s="217">
        <v>5</v>
      </c>
      <c r="H425" s="217" t="s">
        <v>308</v>
      </c>
      <c r="I425" s="190">
        <v>3134.05</v>
      </c>
      <c r="J425" s="190">
        <v>3134.05</v>
      </c>
      <c r="K425" s="190">
        <v>3134.05</v>
      </c>
      <c r="L425" s="219">
        <v>182</v>
      </c>
      <c r="M425" s="217" t="s">
        <v>265</v>
      </c>
      <c r="N425" s="217" t="s">
        <v>269</v>
      </c>
      <c r="O425" s="220" t="s">
        <v>1302</v>
      </c>
      <c r="P425" s="190">
        <v>5055398.59</v>
      </c>
      <c r="Q425" s="190">
        <v>0</v>
      </c>
      <c r="R425" s="190">
        <v>0</v>
      </c>
      <c r="S425" s="190">
        <f t="shared" si="47"/>
        <v>5055398.59</v>
      </c>
      <c r="T425" s="190">
        <f t="shared" si="42"/>
        <v>1613.056138223704</v>
      </c>
      <c r="U425" s="190">
        <v>4187.79</v>
      </c>
      <c r="V425" s="221">
        <f t="shared" si="46"/>
        <v>2574.7338617762962</v>
      </c>
      <c r="W425" s="221">
        <f t="shared" si="48"/>
        <v>3791.6299999999997</v>
      </c>
      <c r="X425" s="221">
        <v>101.55</v>
      </c>
      <c r="Y425" s="222">
        <v>245.44</v>
      </c>
      <c r="Z425" s="222">
        <v>3259.66</v>
      </c>
      <c r="AA425" s="222">
        <v>184.98</v>
      </c>
      <c r="AB425" s="222">
        <v>0</v>
      </c>
      <c r="AC425" s="222">
        <v>0</v>
      </c>
      <c r="AD425" s="222">
        <v>0</v>
      </c>
      <c r="AE425" s="222">
        <v>0</v>
      </c>
      <c r="AF425" s="221">
        <v>0</v>
      </c>
      <c r="AG425" s="222">
        <v>0</v>
      </c>
      <c r="AH425" s="221">
        <v>0</v>
      </c>
      <c r="AI425" s="222">
        <v>0</v>
      </c>
      <c r="AJ425" s="221">
        <v>0</v>
      </c>
      <c r="AK425" s="222">
        <v>0</v>
      </c>
      <c r="AL425" s="222">
        <v>0</v>
      </c>
      <c r="AM425" s="222">
        <v>0</v>
      </c>
      <c r="AN425" s="222"/>
      <c r="AO425" s="222">
        <v>0</v>
      </c>
    </row>
    <row r="426" spans="1:41" s="223" customFormat="1" ht="36" customHeight="1" x14ac:dyDescent="0.25">
      <c r="A426" s="223">
        <v>1</v>
      </c>
      <c r="B426" s="225">
        <f>SUBTOTAL(103,$A$16:A426)</f>
        <v>374</v>
      </c>
      <c r="C426" s="215" t="s">
        <v>1238</v>
      </c>
      <c r="D426" s="217">
        <v>1992</v>
      </c>
      <c r="E426" s="217"/>
      <c r="F426" s="226" t="s">
        <v>267</v>
      </c>
      <c r="G426" s="217">
        <v>5</v>
      </c>
      <c r="H426" s="217" t="s">
        <v>351</v>
      </c>
      <c r="I426" s="190">
        <v>3322.7</v>
      </c>
      <c r="J426" s="190">
        <v>3322.7</v>
      </c>
      <c r="K426" s="190">
        <v>3322.7</v>
      </c>
      <c r="L426" s="219">
        <v>157</v>
      </c>
      <c r="M426" s="217" t="s">
        <v>265</v>
      </c>
      <c r="N426" s="217" t="s">
        <v>269</v>
      </c>
      <c r="O426" s="220" t="s">
        <v>1302</v>
      </c>
      <c r="P426" s="190">
        <v>5685725.29</v>
      </c>
      <c r="Q426" s="190">
        <v>0</v>
      </c>
      <c r="R426" s="190">
        <v>0</v>
      </c>
      <c r="S426" s="190">
        <f t="shared" si="47"/>
        <v>5685725.29</v>
      </c>
      <c r="T426" s="190">
        <f t="shared" si="42"/>
        <v>1711.1762392030578</v>
      </c>
      <c r="U426" s="190">
        <v>4187.79</v>
      </c>
      <c r="V426" s="221">
        <f t="shared" si="46"/>
        <v>2476.6137607969422</v>
      </c>
      <c r="W426" s="221">
        <f t="shared" si="48"/>
        <v>3259.66</v>
      </c>
      <c r="X426" s="221">
        <v>0</v>
      </c>
      <c r="Y426" s="222">
        <v>0</v>
      </c>
      <c r="Z426" s="222">
        <v>3259.66</v>
      </c>
      <c r="AA426" s="222">
        <v>0</v>
      </c>
      <c r="AB426" s="222">
        <v>0</v>
      </c>
      <c r="AC426" s="222">
        <v>0</v>
      </c>
      <c r="AD426" s="222">
        <v>0</v>
      </c>
      <c r="AE426" s="222">
        <v>0</v>
      </c>
      <c r="AF426" s="221">
        <v>0</v>
      </c>
      <c r="AG426" s="222">
        <v>0</v>
      </c>
      <c r="AH426" s="221">
        <v>0</v>
      </c>
      <c r="AI426" s="222">
        <v>0</v>
      </c>
      <c r="AJ426" s="221">
        <v>0</v>
      </c>
      <c r="AK426" s="222">
        <v>0</v>
      </c>
      <c r="AL426" s="222">
        <v>0</v>
      </c>
      <c r="AM426" s="222">
        <v>0</v>
      </c>
      <c r="AN426" s="222"/>
      <c r="AO426" s="222">
        <v>0</v>
      </c>
    </row>
    <row r="427" spans="1:41" s="223" customFormat="1" ht="36" customHeight="1" x14ac:dyDescent="0.25">
      <c r="A427" s="223">
        <v>1</v>
      </c>
      <c r="B427" s="225">
        <f>SUBTOTAL(103,$A$16:A427)</f>
        <v>375</v>
      </c>
      <c r="C427" s="215" t="s">
        <v>1239</v>
      </c>
      <c r="D427" s="217">
        <v>1970</v>
      </c>
      <c r="E427" s="217"/>
      <c r="F427" s="226" t="s">
        <v>267</v>
      </c>
      <c r="G427" s="217">
        <v>5</v>
      </c>
      <c r="H427" s="217" t="s">
        <v>312</v>
      </c>
      <c r="I427" s="190">
        <v>3891.1</v>
      </c>
      <c r="J427" s="190">
        <v>2891.4</v>
      </c>
      <c r="K427" s="190">
        <v>2505.5</v>
      </c>
      <c r="L427" s="219">
        <v>253</v>
      </c>
      <c r="M427" s="217" t="s">
        <v>265</v>
      </c>
      <c r="N427" s="217" t="s">
        <v>269</v>
      </c>
      <c r="O427" s="220" t="s">
        <v>1302</v>
      </c>
      <c r="P427" s="190">
        <v>2648193.62</v>
      </c>
      <c r="Q427" s="190">
        <v>0</v>
      </c>
      <c r="R427" s="190">
        <v>0</v>
      </c>
      <c r="S427" s="190">
        <f t="shared" si="47"/>
        <v>2648193.62</v>
      </c>
      <c r="T427" s="190">
        <f t="shared" si="42"/>
        <v>680.57711701061396</v>
      </c>
      <c r="U427" s="190">
        <v>3626.97</v>
      </c>
      <c r="V427" s="221">
        <f t="shared" si="46"/>
        <v>2946.3928829893857</v>
      </c>
      <c r="W427" s="221">
        <f t="shared" si="48"/>
        <v>4586.9399999999996</v>
      </c>
      <c r="X427" s="221">
        <v>101.55</v>
      </c>
      <c r="Y427" s="222">
        <v>245.44</v>
      </c>
      <c r="Z427" s="222">
        <v>3259.66</v>
      </c>
      <c r="AA427" s="222">
        <v>184.98</v>
      </c>
      <c r="AB427" s="222">
        <v>795.31</v>
      </c>
      <c r="AC427" s="222">
        <v>0</v>
      </c>
      <c r="AD427" s="222">
        <v>0</v>
      </c>
      <c r="AE427" s="222">
        <v>0</v>
      </c>
      <c r="AF427" s="221">
        <v>0</v>
      </c>
      <c r="AG427" s="222">
        <v>0</v>
      </c>
      <c r="AH427" s="221">
        <v>0</v>
      </c>
      <c r="AI427" s="222">
        <v>0</v>
      </c>
      <c r="AJ427" s="221">
        <v>0</v>
      </c>
      <c r="AK427" s="222">
        <v>0</v>
      </c>
      <c r="AL427" s="222">
        <v>0</v>
      </c>
      <c r="AM427" s="222">
        <v>0</v>
      </c>
      <c r="AN427" s="222"/>
      <c r="AO427" s="222">
        <v>0</v>
      </c>
    </row>
    <row r="428" spans="1:41" s="223" customFormat="1" ht="36" customHeight="1" x14ac:dyDescent="0.25">
      <c r="A428" s="223">
        <v>1</v>
      </c>
      <c r="B428" s="225">
        <f>SUBTOTAL(103,$A$16:A428)</f>
        <v>376</v>
      </c>
      <c r="C428" s="215" t="s">
        <v>1241</v>
      </c>
      <c r="D428" s="217">
        <v>1964</v>
      </c>
      <c r="E428" s="217"/>
      <c r="F428" s="226" t="s">
        <v>267</v>
      </c>
      <c r="G428" s="217">
        <v>3</v>
      </c>
      <c r="H428" s="217" t="s">
        <v>303</v>
      </c>
      <c r="I428" s="190">
        <v>1043.5999999999999</v>
      </c>
      <c r="J428" s="190">
        <v>1043.5999999999999</v>
      </c>
      <c r="K428" s="190">
        <v>970.7</v>
      </c>
      <c r="L428" s="219">
        <v>37</v>
      </c>
      <c r="M428" s="217" t="s">
        <v>265</v>
      </c>
      <c r="N428" s="217" t="s">
        <v>269</v>
      </c>
      <c r="O428" s="220" t="s">
        <v>271</v>
      </c>
      <c r="P428" s="190">
        <v>3633885.25</v>
      </c>
      <c r="Q428" s="190">
        <v>0</v>
      </c>
      <c r="R428" s="190">
        <v>0</v>
      </c>
      <c r="S428" s="190">
        <f t="shared" si="47"/>
        <v>3633885.25</v>
      </c>
      <c r="T428" s="190">
        <f t="shared" si="42"/>
        <v>3482.0671234189349</v>
      </c>
      <c r="U428" s="190">
        <v>6123.0721713300127</v>
      </c>
      <c r="V428" s="221">
        <f t="shared" si="46"/>
        <v>2641.0050479110778</v>
      </c>
      <c r="W428" s="221">
        <f t="shared" si="48"/>
        <v>6123.0721713300127</v>
      </c>
      <c r="X428" s="221">
        <v>0</v>
      </c>
      <c r="Y428" s="222">
        <v>0</v>
      </c>
      <c r="Z428" s="222">
        <v>0</v>
      </c>
      <c r="AA428" s="222">
        <v>0</v>
      </c>
      <c r="AB428" s="222">
        <v>0</v>
      </c>
      <c r="AC428" s="222">
        <v>0</v>
      </c>
      <c r="AD428" s="222">
        <v>0</v>
      </c>
      <c r="AE428" s="222">
        <v>0</v>
      </c>
      <c r="AF428" s="221">
        <v>0</v>
      </c>
      <c r="AG428" s="222">
        <v>0</v>
      </c>
      <c r="AH428" s="221">
        <v>0</v>
      </c>
      <c r="AI428" s="222">
        <v>858.98</v>
      </c>
      <c r="AJ428" s="221">
        <f>7439.1*AI428/I428</f>
        <v>6123.0721713300127</v>
      </c>
      <c r="AK428" s="222">
        <v>0</v>
      </c>
      <c r="AL428" s="222">
        <v>0</v>
      </c>
      <c r="AM428" s="222">
        <v>0</v>
      </c>
      <c r="AN428" s="222"/>
      <c r="AO428" s="222">
        <v>0</v>
      </c>
    </row>
    <row r="429" spans="1:41" s="223" customFormat="1" ht="36" customHeight="1" x14ac:dyDescent="0.25">
      <c r="B429" s="215" t="s">
        <v>844</v>
      </c>
      <c r="C429" s="215"/>
      <c r="D429" s="217" t="s">
        <v>890</v>
      </c>
      <c r="E429" s="217" t="s">
        <v>890</v>
      </c>
      <c r="F429" s="217" t="s">
        <v>890</v>
      </c>
      <c r="G429" s="217" t="s">
        <v>890</v>
      </c>
      <c r="H429" s="217" t="s">
        <v>890</v>
      </c>
      <c r="I429" s="218">
        <f>SUM(I430:I434)</f>
        <v>4806.5999999999995</v>
      </c>
      <c r="J429" s="218">
        <f>SUM(J430:J434)</f>
        <v>4646.83</v>
      </c>
      <c r="K429" s="218">
        <f>SUM(K430:K434)</f>
        <v>4528.83</v>
      </c>
      <c r="L429" s="219">
        <f>SUM(L430:L434)</f>
        <v>165</v>
      </c>
      <c r="M429" s="217" t="s">
        <v>890</v>
      </c>
      <c r="N429" s="217" t="s">
        <v>890</v>
      </c>
      <c r="O429" s="220" t="s">
        <v>890</v>
      </c>
      <c r="P429" s="190">
        <v>9389545.5600000005</v>
      </c>
      <c r="Q429" s="190">
        <f>SUM(Q430:Q434)</f>
        <v>0</v>
      </c>
      <c r="R429" s="190">
        <f>SUM(R430:R434)</f>
        <v>0</v>
      </c>
      <c r="S429" s="190">
        <f>SUM(S430:S434)</f>
        <v>9389545.5600000005</v>
      </c>
      <c r="T429" s="190">
        <f t="shared" si="42"/>
        <v>1953.4693047060296</v>
      </c>
      <c r="U429" s="190">
        <f>MAX(U430:U434)</f>
        <v>5579.7465826018415</v>
      </c>
      <c r="V429" s="221">
        <f t="shared" si="46"/>
        <v>3626.2772778958119</v>
      </c>
      <c r="W429" s="221"/>
      <c r="X429" s="221"/>
      <c r="Y429" s="222"/>
      <c r="Z429" s="222"/>
      <c r="AA429" s="222"/>
      <c r="AB429" s="222"/>
      <c r="AC429" s="222"/>
      <c r="AD429" s="222"/>
      <c r="AE429" s="222"/>
      <c r="AF429" s="222"/>
      <c r="AG429" s="222"/>
      <c r="AH429" s="222"/>
      <c r="AI429" s="222"/>
      <c r="AJ429" s="222"/>
      <c r="AK429" s="222"/>
      <c r="AL429" s="222"/>
      <c r="AM429" s="222"/>
      <c r="AN429" s="222"/>
      <c r="AO429" s="222"/>
    </row>
    <row r="430" spans="1:41" s="223" customFormat="1" ht="36" customHeight="1" x14ac:dyDescent="0.25">
      <c r="A430" s="223">
        <v>1</v>
      </c>
      <c r="B430" s="225">
        <f>SUBTOTAL(103,$A$16:A430)</f>
        <v>377</v>
      </c>
      <c r="C430" s="215" t="s">
        <v>44</v>
      </c>
      <c r="D430" s="217">
        <v>1956</v>
      </c>
      <c r="E430" s="217"/>
      <c r="F430" s="226" t="s">
        <v>267</v>
      </c>
      <c r="G430" s="217">
        <v>2</v>
      </c>
      <c r="H430" s="217" t="s">
        <v>303</v>
      </c>
      <c r="I430" s="190">
        <v>735.94</v>
      </c>
      <c r="J430" s="190">
        <v>672.45</v>
      </c>
      <c r="K430" s="190">
        <v>672.45</v>
      </c>
      <c r="L430" s="219">
        <v>32</v>
      </c>
      <c r="M430" s="217" t="s">
        <v>265</v>
      </c>
      <c r="N430" s="217" t="s">
        <v>269</v>
      </c>
      <c r="O430" s="220" t="s">
        <v>272</v>
      </c>
      <c r="P430" s="190">
        <v>2250143.48</v>
      </c>
      <c r="Q430" s="190">
        <v>0</v>
      </c>
      <c r="R430" s="190">
        <v>0</v>
      </c>
      <c r="S430" s="190">
        <f>P430-Q430-R430</f>
        <v>2250143.48</v>
      </c>
      <c r="T430" s="190">
        <f t="shared" si="42"/>
        <v>3057.5094165285209</v>
      </c>
      <c r="U430" s="190">
        <v>5579.7465826018415</v>
      </c>
      <c r="V430" s="221">
        <f t="shared" si="46"/>
        <v>2522.2371660733206</v>
      </c>
      <c r="W430" s="221">
        <f>X430+Y430+Z430+AA430+AB430+AD430+AF430+AH430+AJ430+AL430+AN430+AO430</f>
        <v>5349.2841943636704</v>
      </c>
      <c r="X430" s="221">
        <v>0</v>
      </c>
      <c r="Y430" s="222">
        <v>0</v>
      </c>
      <c r="Z430" s="222">
        <v>0</v>
      </c>
      <c r="AA430" s="222">
        <v>0</v>
      </c>
      <c r="AB430" s="222">
        <v>0</v>
      </c>
      <c r="AC430" s="222">
        <v>0</v>
      </c>
      <c r="AD430" s="222">
        <v>0</v>
      </c>
      <c r="AE430" s="222">
        <v>631</v>
      </c>
      <c r="AF430" s="221">
        <f>6238.91*AE430/I430</f>
        <v>5349.2841943636704</v>
      </c>
      <c r="AG430" s="222">
        <v>0</v>
      </c>
      <c r="AH430" s="221">
        <v>0</v>
      </c>
      <c r="AI430" s="222">
        <v>0</v>
      </c>
      <c r="AJ430" s="221">
        <v>0</v>
      </c>
      <c r="AK430" s="222">
        <v>0</v>
      </c>
      <c r="AL430" s="222">
        <v>0</v>
      </c>
      <c r="AM430" s="222">
        <v>0</v>
      </c>
      <c r="AN430" s="222"/>
      <c r="AO430" s="222">
        <v>0</v>
      </c>
    </row>
    <row r="431" spans="1:41" s="223" customFormat="1" ht="36" customHeight="1" x14ac:dyDescent="0.25">
      <c r="A431" s="223">
        <v>1</v>
      </c>
      <c r="B431" s="225">
        <f>SUBTOTAL(103,$A$16:A431)</f>
        <v>378</v>
      </c>
      <c r="C431" s="215" t="s">
        <v>43</v>
      </c>
      <c r="D431" s="217">
        <v>1963</v>
      </c>
      <c r="E431" s="217"/>
      <c r="F431" s="226" t="s">
        <v>267</v>
      </c>
      <c r="G431" s="217">
        <v>2</v>
      </c>
      <c r="H431" s="217" t="s">
        <v>303</v>
      </c>
      <c r="I431" s="190">
        <v>687.5</v>
      </c>
      <c r="J431" s="190">
        <v>639.5</v>
      </c>
      <c r="K431" s="190">
        <v>521.5</v>
      </c>
      <c r="L431" s="219">
        <v>16</v>
      </c>
      <c r="M431" s="217" t="s">
        <v>265</v>
      </c>
      <c r="N431" s="217" t="s">
        <v>269</v>
      </c>
      <c r="O431" s="220" t="s">
        <v>272</v>
      </c>
      <c r="P431" s="190">
        <v>2167263.7000000002</v>
      </c>
      <c r="Q431" s="190">
        <v>0</v>
      </c>
      <c r="R431" s="190">
        <v>0</v>
      </c>
      <c r="S431" s="190">
        <f>P431-Q431-R431</f>
        <v>2167263.7000000002</v>
      </c>
      <c r="T431" s="190">
        <f t="shared" si="42"/>
        <v>3152.3835636363638</v>
      </c>
      <c r="U431" s="190">
        <v>5252.5421527272729</v>
      </c>
      <c r="V431" s="221">
        <f t="shared" si="46"/>
        <v>2100.1585890909091</v>
      </c>
      <c r="W431" s="221">
        <f>X431+Y431+Z431+AA431+AB431+AD431+AF431+AH431+AJ431+AL431+AN431+AO431</f>
        <v>5035.5944130909093</v>
      </c>
      <c r="X431" s="221">
        <v>0</v>
      </c>
      <c r="Y431" s="222">
        <v>0</v>
      </c>
      <c r="Z431" s="222">
        <v>0</v>
      </c>
      <c r="AA431" s="222">
        <v>0</v>
      </c>
      <c r="AB431" s="222">
        <v>0</v>
      </c>
      <c r="AC431" s="222">
        <v>0</v>
      </c>
      <c r="AD431" s="222">
        <v>0</v>
      </c>
      <c r="AE431" s="222">
        <v>554.9</v>
      </c>
      <c r="AF431" s="221">
        <f>6238.91*AE431/I431</f>
        <v>5035.5944130909093</v>
      </c>
      <c r="AG431" s="222">
        <v>0</v>
      </c>
      <c r="AH431" s="221">
        <v>0</v>
      </c>
      <c r="AI431" s="222">
        <v>0</v>
      </c>
      <c r="AJ431" s="221">
        <v>0</v>
      </c>
      <c r="AK431" s="222">
        <v>0</v>
      </c>
      <c r="AL431" s="222">
        <v>0</v>
      </c>
      <c r="AM431" s="222">
        <v>0</v>
      </c>
      <c r="AN431" s="222"/>
      <c r="AO431" s="222">
        <v>0</v>
      </c>
    </row>
    <row r="432" spans="1:41" s="223" customFormat="1" ht="36" customHeight="1" x14ac:dyDescent="0.25">
      <c r="A432" s="223">
        <v>1</v>
      </c>
      <c r="B432" s="225">
        <f>SUBTOTAL(103,$A$16:A432)</f>
        <v>379</v>
      </c>
      <c r="C432" s="215" t="s">
        <v>45</v>
      </c>
      <c r="D432" s="217">
        <v>1964</v>
      </c>
      <c r="E432" s="217"/>
      <c r="F432" s="226" t="s">
        <v>267</v>
      </c>
      <c r="G432" s="217">
        <v>2</v>
      </c>
      <c r="H432" s="217" t="s">
        <v>303</v>
      </c>
      <c r="I432" s="190">
        <v>691.68</v>
      </c>
      <c r="J432" s="190">
        <v>643.4</v>
      </c>
      <c r="K432" s="190">
        <v>643.4</v>
      </c>
      <c r="L432" s="219">
        <v>10</v>
      </c>
      <c r="M432" s="217" t="s">
        <v>265</v>
      </c>
      <c r="N432" s="217" t="s">
        <v>269</v>
      </c>
      <c r="O432" s="220" t="s">
        <v>272</v>
      </c>
      <c r="P432" s="190">
        <v>2202329.54</v>
      </c>
      <c r="Q432" s="190">
        <v>0</v>
      </c>
      <c r="R432" s="190">
        <v>0</v>
      </c>
      <c r="S432" s="190">
        <f>P432-Q432-R432</f>
        <v>2202329.54</v>
      </c>
      <c r="T432" s="190">
        <f t="shared" si="42"/>
        <v>3184.0295223224616</v>
      </c>
      <c r="U432" s="190">
        <v>5287.6003354152208</v>
      </c>
      <c r="V432" s="221">
        <f t="shared" si="46"/>
        <v>2103.5708130927592</v>
      </c>
      <c r="W432" s="221">
        <f>X432+Y432+Z432+AA432+AB432+AD432+AF432+AH432+AJ432+AL432+AN432+AO432</f>
        <v>5069.2045743696508</v>
      </c>
      <c r="X432" s="221">
        <v>0</v>
      </c>
      <c r="Y432" s="222">
        <v>0</v>
      </c>
      <c r="Z432" s="222">
        <v>0</v>
      </c>
      <c r="AA432" s="222">
        <v>0</v>
      </c>
      <c r="AB432" s="222">
        <v>0</v>
      </c>
      <c r="AC432" s="222">
        <v>0</v>
      </c>
      <c r="AD432" s="222">
        <v>0</v>
      </c>
      <c r="AE432" s="222">
        <v>562</v>
      </c>
      <c r="AF432" s="221">
        <f>6238.91*AE432/I432</f>
        <v>5069.2045743696508</v>
      </c>
      <c r="AG432" s="222">
        <v>0</v>
      </c>
      <c r="AH432" s="221">
        <v>0</v>
      </c>
      <c r="AI432" s="222">
        <v>0</v>
      </c>
      <c r="AJ432" s="221">
        <v>0</v>
      </c>
      <c r="AK432" s="222">
        <v>0</v>
      </c>
      <c r="AL432" s="222">
        <v>0</v>
      </c>
      <c r="AM432" s="222">
        <v>0</v>
      </c>
      <c r="AN432" s="222"/>
      <c r="AO432" s="222">
        <v>0</v>
      </c>
    </row>
    <row r="433" spans="1:41" s="223" customFormat="1" ht="36" customHeight="1" x14ac:dyDescent="0.25">
      <c r="A433" s="223">
        <v>1</v>
      </c>
      <c r="B433" s="225">
        <f>SUBTOTAL(103,$A$16:A433)</f>
        <v>380</v>
      </c>
      <c r="C433" s="215" t="s">
        <v>1247</v>
      </c>
      <c r="D433" s="217">
        <v>1974</v>
      </c>
      <c r="E433" s="217"/>
      <c r="F433" s="226" t="s">
        <v>267</v>
      </c>
      <c r="G433" s="217">
        <v>5</v>
      </c>
      <c r="H433" s="217" t="s">
        <v>303</v>
      </c>
      <c r="I433" s="190">
        <v>2146.1799999999998</v>
      </c>
      <c r="J433" s="190">
        <v>2146.1799999999998</v>
      </c>
      <c r="K433" s="190">
        <v>2146.1799999999998</v>
      </c>
      <c r="L433" s="219">
        <v>78</v>
      </c>
      <c r="M433" s="217" t="s">
        <v>265</v>
      </c>
      <c r="N433" s="217" t="s">
        <v>269</v>
      </c>
      <c r="O433" s="220" t="s">
        <v>272</v>
      </c>
      <c r="P433" s="190">
        <v>1467154.4300000002</v>
      </c>
      <c r="Q433" s="190">
        <v>0</v>
      </c>
      <c r="R433" s="190">
        <v>0</v>
      </c>
      <c r="S433" s="190">
        <f>P433-Q433-R433</f>
        <v>1467154.4300000002</v>
      </c>
      <c r="T433" s="190">
        <f t="shared" si="42"/>
        <v>683.61201297188506</v>
      </c>
      <c r="U433" s="190">
        <v>4550.5200000000004</v>
      </c>
      <c r="V433" s="221">
        <f t="shared" si="46"/>
        <v>3866.9079870281153</v>
      </c>
      <c r="W433" s="221">
        <f>X433+Y433+Z433+AA433+AB433+AD433+AF433+AH433+AJ433+AL433+AN433+AO433</f>
        <v>4156.5200000000004</v>
      </c>
      <c r="X433" s="221">
        <v>101.55</v>
      </c>
      <c r="Y433" s="222">
        <v>0</v>
      </c>
      <c r="Z433" s="222">
        <v>3259.66</v>
      </c>
      <c r="AA433" s="222">
        <v>0</v>
      </c>
      <c r="AB433" s="222">
        <v>795.31</v>
      </c>
      <c r="AC433" s="222">
        <v>0</v>
      </c>
      <c r="AD433" s="222">
        <v>0</v>
      </c>
      <c r="AE433" s="222">
        <v>0</v>
      </c>
      <c r="AF433" s="221">
        <v>0</v>
      </c>
      <c r="AG433" s="222">
        <v>0</v>
      </c>
      <c r="AH433" s="221">
        <v>0</v>
      </c>
      <c r="AI433" s="222">
        <v>0</v>
      </c>
      <c r="AJ433" s="221">
        <v>0</v>
      </c>
      <c r="AK433" s="222">
        <v>0</v>
      </c>
      <c r="AL433" s="222">
        <v>0</v>
      </c>
      <c r="AM433" s="222">
        <v>0</v>
      </c>
      <c r="AN433" s="222"/>
      <c r="AO433" s="222">
        <v>0</v>
      </c>
    </row>
    <row r="434" spans="1:41" s="223" customFormat="1" ht="36" customHeight="1" x14ac:dyDescent="0.25">
      <c r="A434" s="223">
        <v>1</v>
      </c>
      <c r="B434" s="225">
        <f>SUBTOTAL(103,$A$16:A434)</f>
        <v>381</v>
      </c>
      <c r="C434" s="215" t="s">
        <v>1248</v>
      </c>
      <c r="D434" s="217">
        <v>1936</v>
      </c>
      <c r="E434" s="217"/>
      <c r="F434" s="226" t="s">
        <v>330</v>
      </c>
      <c r="G434" s="217">
        <v>2</v>
      </c>
      <c r="H434" s="217" t="s">
        <v>303</v>
      </c>
      <c r="I434" s="190">
        <v>545.29999999999995</v>
      </c>
      <c r="J434" s="190">
        <v>545.29999999999995</v>
      </c>
      <c r="K434" s="190">
        <v>545.29999999999995</v>
      </c>
      <c r="L434" s="219">
        <v>29</v>
      </c>
      <c r="M434" s="217" t="s">
        <v>265</v>
      </c>
      <c r="N434" s="217" t="s">
        <v>269</v>
      </c>
      <c r="O434" s="220" t="s">
        <v>272</v>
      </c>
      <c r="P434" s="190">
        <v>1302654.4099999999</v>
      </c>
      <c r="Q434" s="190">
        <v>0</v>
      </c>
      <c r="R434" s="190">
        <v>0</v>
      </c>
      <c r="S434" s="190">
        <f>P434-Q434-R434</f>
        <v>1302654.4099999999</v>
      </c>
      <c r="T434" s="190">
        <f t="shared" si="42"/>
        <v>2388.8766000366772</v>
      </c>
      <c r="U434" s="190">
        <v>5242.9172272143778</v>
      </c>
      <c r="V434" s="221">
        <f t="shared" si="46"/>
        <v>2854.0406271777006</v>
      </c>
      <c r="W434" s="221">
        <f>X434+Y434+Z434+AA434+AB434+AD434+AF434+AH434+AJ434+AL434+AN434+AO434</f>
        <v>5194.3244819365491</v>
      </c>
      <c r="X434" s="221">
        <v>0</v>
      </c>
      <c r="Y434" s="222">
        <v>0</v>
      </c>
      <c r="Z434" s="222">
        <v>0</v>
      </c>
      <c r="AA434" s="222">
        <v>0</v>
      </c>
      <c r="AB434" s="222">
        <v>0</v>
      </c>
      <c r="AC434" s="222">
        <v>0</v>
      </c>
      <c r="AD434" s="222">
        <v>0</v>
      </c>
      <c r="AE434" s="222">
        <v>454</v>
      </c>
      <c r="AF434" s="221">
        <f>6238.91*AE434/I434</f>
        <v>5194.3244819365491</v>
      </c>
      <c r="AG434" s="222">
        <v>0</v>
      </c>
      <c r="AH434" s="221">
        <v>0</v>
      </c>
      <c r="AI434" s="222">
        <v>0</v>
      </c>
      <c r="AJ434" s="221">
        <v>0</v>
      </c>
      <c r="AK434" s="222">
        <v>0</v>
      </c>
      <c r="AL434" s="222">
        <v>0</v>
      </c>
      <c r="AM434" s="222">
        <v>0</v>
      </c>
      <c r="AN434" s="222"/>
      <c r="AO434" s="222">
        <v>0</v>
      </c>
    </row>
    <row r="435" spans="1:41" s="223" customFormat="1" ht="36" customHeight="1" x14ac:dyDescent="0.25">
      <c r="B435" s="215" t="s">
        <v>845</v>
      </c>
      <c r="C435" s="215"/>
      <c r="D435" s="217" t="s">
        <v>890</v>
      </c>
      <c r="E435" s="217" t="s">
        <v>890</v>
      </c>
      <c r="F435" s="217" t="s">
        <v>890</v>
      </c>
      <c r="G435" s="217" t="s">
        <v>890</v>
      </c>
      <c r="H435" s="217" t="s">
        <v>890</v>
      </c>
      <c r="I435" s="218">
        <f>SUM(I436:I437)</f>
        <v>1322.5</v>
      </c>
      <c r="J435" s="218">
        <f>SUM(J436:J437)</f>
        <v>1216.4000000000001</v>
      </c>
      <c r="K435" s="218">
        <f>SUM(K436:K437)</f>
        <v>1216.4000000000001</v>
      </c>
      <c r="L435" s="219">
        <f>SUM(L436:L437)</f>
        <v>60</v>
      </c>
      <c r="M435" s="217" t="s">
        <v>890</v>
      </c>
      <c r="N435" s="217" t="s">
        <v>890</v>
      </c>
      <c r="O435" s="220" t="s">
        <v>890</v>
      </c>
      <c r="P435" s="218">
        <v>5138784.57</v>
      </c>
      <c r="Q435" s="218">
        <f>SUM(Q436:Q437)</f>
        <v>0</v>
      </c>
      <c r="R435" s="218">
        <f>SUM(R436:R437)</f>
        <v>0</v>
      </c>
      <c r="S435" s="218">
        <f>SUM(S436:S437)</f>
        <v>5138784.57</v>
      </c>
      <c r="T435" s="190">
        <f t="shared" si="42"/>
        <v>3885.6594102079398</v>
      </c>
      <c r="U435" s="190">
        <f>MAX(U436:U437)</f>
        <v>7820.0190077399384</v>
      </c>
      <c r="V435" s="221">
        <f t="shared" si="46"/>
        <v>3934.3595975319986</v>
      </c>
      <c r="W435" s="221"/>
      <c r="X435" s="221"/>
      <c r="Y435" s="222"/>
      <c r="Z435" s="222"/>
      <c r="AA435" s="222"/>
      <c r="AB435" s="222"/>
      <c r="AC435" s="222"/>
      <c r="AD435" s="222"/>
      <c r="AE435" s="222"/>
      <c r="AF435" s="222"/>
      <c r="AG435" s="222"/>
      <c r="AH435" s="222"/>
      <c r="AI435" s="222"/>
      <c r="AJ435" s="222"/>
      <c r="AK435" s="222"/>
      <c r="AL435" s="222"/>
      <c r="AM435" s="222"/>
      <c r="AN435" s="222"/>
      <c r="AO435" s="222"/>
    </row>
    <row r="436" spans="1:41" s="223" customFormat="1" ht="36" customHeight="1" x14ac:dyDescent="0.25">
      <c r="A436" s="223">
        <v>1</v>
      </c>
      <c r="B436" s="225">
        <f>SUBTOTAL(103,$A$16:A436)</f>
        <v>382</v>
      </c>
      <c r="C436" s="215" t="s">
        <v>42</v>
      </c>
      <c r="D436" s="217">
        <v>1960</v>
      </c>
      <c r="E436" s="217"/>
      <c r="F436" s="226" t="s">
        <v>267</v>
      </c>
      <c r="G436" s="217">
        <v>2</v>
      </c>
      <c r="H436" s="217" t="s">
        <v>303</v>
      </c>
      <c r="I436" s="190">
        <v>676.5</v>
      </c>
      <c r="J436" s="190">
        <v>628.1</v>
      </c>
      <c r="K436" s="190">
        <v>628.1</v>
      </c>
      <c r="L436" s="219">
        <v>25</v>
      </c>
      <c r="M436" s="217" t="s">
        <v>265</v>
      </c>
      <c r="N436" s="217" t="s">
        <v>269</v>
      </c>
      <c r="O436" s="220" t="s">
        <v>273</v>
      </c>
      <c r="P436" s="190">
        <v>2210436.8400000003</v>
      </c>
      <c r="Q436" s="190">
        <v>0</v>
      </c>
      <c r="R436" s="190">
        <v>0</v>
      </c>
      <c r="S436" s="190">
        <f>P436-Q436-R436</f>
        <v>2210436.8400000003</v>
      </c>
      <c r="T436" s="190">
        <f t="shared" si="42"/>
        <v>3267.4602217294905</v>
      </c>
      <c r="U436" s="190">
        <v>5724.5634781966</v>
      </c>
      <c r="V436" s="221">
        <f t="shared" si="46"/>
        <v>2457.1032564671095</v>
      </c>
      <c r="W436" s="221">
        <f>X436+Y436+Z436+AA436+AB436+AD436+AF436+AH436+AJ436+AL436+AN436+AO436</f>
        <v>5488.1196628233556</v>
      </c>
      <c r="X436" s="221">
        <v>0</v>
      </c>
      <c r="Y436" s="222">
        <v>0</v>
      </c>
      <c r="Z436" s="222">
        <v>0</v>
      </c>
      <c r="AA436" s="222">
        <v>0</v>
      </c>
      <c r="AB436" s="222">
        <v>0</v>
      </c>
      <c r="AC436" s="222">
        <v>0</v>
      </c>
      <c r="AD436" s="222">
        <v>0</v>
      </c>
      <c r="AE436" s="222">
        <v>595.09</v>
      </c>
      <c r="AF436" s="221">
        <f>6238.91*AE436/I436</f>
        <v>5488.1196628233556</v>
      </c>
      <c r="AG436" s="222">
        <v>0</v>
      </c>
      <c r="AH436" s="221">
        <v>0</v>
      </c>
      <c r="AI436" s="222">
        <v>0</v>
      </c>
      <c r="AJ436" s="221">
        <v>0</v>
      </c>
      <c r="AK436" s="222">
        <v>0</v>
      </c>
      <c r="AL436" s="222">
        <v>0</v>
      </c>
      <c r="AM436" s="222">
        <v>0</v>
      </c>
      <c r="AN436" s="222"/>
      <c r="AO436" s="222">
        <v>0</v>
      </c>
    </row>
    <row r="437" spans="1:41" s="223" customFormat="1" ht="36" customHeight="1" x14ac:dyDescent="0.25">
      <c r="A437" s="223">
        <v>1</v>
      </c>
      <c r="B437" s="225">
        <f>SUBTOTAL(103,$A$16:A437)</f>
        <v>383</v>
      </c>
      <c r="C437" s="215" t="s">
        <v>1549</v>
      </c>
      <c r="D437" s="217">
        <v>1957</v>
      </c>
      <c r="E437" s="217"/>
      <c r="F437" s="226" t="s">
        <v>267</v>
      </c>
      <c r="G437" s="217">
        <v>2</v>
      </c>
      <c r="H437" s="217" t="s">
        <v>303</v>
      </c>
      <c r="I437" s="190">
        <v>646</v>
      </c>
      <c r="J437" s="190">
        <v>588.29999999999995</v>
      </c>
      <c r="K437" s="190">
        <v>588.29999999999995</v>
      </c>
      <c r="L437" s="219">
        <v>35</v>
      </c>
      <c r="M437" s="217" t="s">
        <v>265</v>
      </c>
      <c r="N437" s="217" t="s">
        <v>269</v>
      </c>
      <c r="O437" s="220" t="s">
        <v>273</v>
      </c>
      <c r="P437" s="190">
        <v>2928347.73</v>
      </c>
      <c r="Q437" s="190">
        <v>0</v>
      </c>
      <c r="R437" s="190">
        <v>0</v>
      </c>
      <c r="S437" s="190">
        <f>P437-R437-Q437</f>
        <v>2928347.73</v>
      </c>
      <c r="T437" s="190">
        <f t="shared" si="42"/>
        <v>4533.0460216718266</v>
      </c>
      <c r="U437" s="190">
        <v>7820.0190077399384</v>
      </c>
      <c r="V437" s="221">
        <f t="shared" si="46"/>
        <v>3286.9729860681118</v>
      </c>
      <c r="W437" s="221">
        <f>X437+Y437+Z437+AA437+AB437+AD437+AF437+AH437+AJ437+AL437+AN437+AO437</f>
        <v>7217.2406238390095</v>
      </c>
      <c r="X437" s="221">
        <v>0</v>
      </c>
      <c r="Y437" s="222">
        <v>0</v>
      </c>
      <c r="Z437" s="222">
        <v>0</v>
      </c>
      <c r="AA437" s="222">
        <v>0</v>
      </c>
      <c r="AB437" s="222">
        <v>0</v>
      </c>
      <c r="AC437" s="222">
        <v>0</v>
      </c>
      <c r="AD437" s="222">
        <v>0</v>
      </c>
      <c r="AE437" s="222">
        <v>747.3</v>
      </c>
      <c r="AF437" s="221">
        <f>6238.91*AE437/I437</f>
        <v>7217.2406238390095</v>
      </c>
      <c r="AG437" s="222">
        <v>0</v>
      </c>
      <c r="AH437" s="221">
        <v>0</v>
      </c>
      <c r="AI437" s="222">
        <v>0</v>
      </c>
      <c r="AJ437" s="221">
        <v>0</v>
      </c>
      <c r="AK437" s="222">
        <v>0</v>
      </c>
      <c r="AL437" s="222">
        <v>0</v>
      </c>
      <c r="AM437" s="222">
        <v>0</v>
      </c>
      <c r="AN437" s="222"/>
      <c r="AO437" s="222">
        <v>0</v>
      </c>
    </row>
    <row r="438" spans="1:41" s="223" customFormat="1" ht="36" customHeight="1" x14ac:dyDescent="0.25">
      <c r="B438" s="215" t="s">
        <v>846</v>
      </c>
      <c r="C438" s="215"/>
      <c r="D438" s="217" t="s">
        <v>890</v>
      </c>
      <c r="E438" s="217" t="s">
        <v>890</v>
      </c>
      <c r="F438" s="217" t="s">
        <v>890</v>
      </c>
      <c r="G438" s="217" t="s">
        <v>890</v>
      </c>
      <c r="H438" s="217" t="s">
        <v>890</v>
      </c>
      <c r="I438" s="218">
        <f>SUM(I439:I448)</f>
        <v>13058.16</v>
      </c>
      <c r="J438" s="218">
        <f>SUM(J439:J448)</f>
        <v>11210.9</v>
      </c>
      <c r="K438" s="218">
        <f>SUM(K439:K448)</f>
        <v>11135.9</v>
      </c>
      <c r="L438" s="219">
        <f>SUM(L439:L448)</f>
        <v>529</v>
      </c>
      <c r="M438" s="217" t="s">
        <v>890</v>
      </c>
      <c r="N438" s="217" t="s">
        <v>890</v>
      </c>
      <c r="O438" s="220" t="s">
        <v>890</v>
      </c>
      <c r="P438" s="190">
        <v>17752085.210000001</v>
      </c>
      <c r="Q438" s="190">
        <f>SUM(Q439:Q448)</f>
        <v>0</v>
      </c>
      <c r="R438" s="190">
        <f>SUM(R439:R448)</f>
        <v>0</v>
      </c>
      <c r="S438" s="190">
        <f>SUM(S439:S448)</f>
        <v>17752085.210000001</v>
      </c>
      <c r="T438" s="190">
        <f t="shared" si="42"/>
        <v>1359.4629878941598</v>
      </c>
      <c r="U438" s="190">
        <f>MAX(U439:U448)</f>
        <v>8177.8135334538874</v>
      </c>
      <c r="V438" s="221">
        <f t="shared" si="46"/>
        <v>6818.3505455597278</v>
      </c>
      <c r="W438" s="221"/>
      <c r="X438" s="221"/>
      <c r="Y438" s="222"/>
      <c r="Z438" s="222"/>
      <c r="AA438" s="222"/>
      <c r="AB438" s="222"/>
      <c r="AC438" s="222"/>
      <c r="AD438" s="222"/>
      <c r="AE438" s="222"/>
      <c r="AF438" s="222"/>
      <c r="AG438" s="222"/>
      <c r="AH438" s="222"/>
      <c r="AI438" s="222"/>
      <c r="AJ438" s="222"/>
      <c r="AK438" s="222"/>
      <c r="AL438" s="222"/>
      <c r="AM438" s="222"/>
      <c r="AN438" s="222"/>
      <c r="AO438" s="222"/>
    </row>
    <row r="439" spans="1:41" s="223" customFormat="1" ht="36" customHeight="1" x14ac:dyDescent="0.25">
      <c r="A439" s="223">
        <v>1</v>
      </c>
      <c r="B439" s="225">
        <f>SUBTOTAL(103,$A$16:A439)</f>
        <v>384</v>
      </c>
      <c r="C439" s="215" t="s">
        <v>50</v>
      </c>
      <c r="D439" s="217">
        <v>1941</v>
      </c>
      <c r="E439" s="217"/>
      <c r="F439" s="226" t="s">
        <v>267</v>
      </c>
      <c r="G439" s="217">
        <v>3</v>
      </c>
      <c r="H439" s="217" t="s">
        <v>312</v>
      </c>
      <c r="I439" s="190">
        <v>1207.5</v>
      </c>
      <c r="J439" s="190">
        <v>1191.18</v>
      </c>
      <c r="K439" s="190">
        <v>1191.18</v>
      </c>
      <c r="L439" s="219">
        <v>51</v>
      </c>
      <c r="M439" s="217" t="s">
        <v>265</v>
      </c>
      <c r="N439" s="217" t="s">
        <v>266</v>
      </c>
      <c r="O439" s="220" t="s">
        <v>268</v>
      </c>
      <c r="P439" s="190">
        <v>4771616.71</v>
      </c>
      <c r="Q439" s="190">
        <v>0</v>
      </c>
      <c r="R439" s="190">
        <v>0</v>
      </c>
      <c r="S439" s="190">
        <f t="shared" ref="S439:S448" si="49">P439-Q439-R439</f>
        <v>4771616.71</v>
      </c>
      <c r="T439" s="190">
        <f t="shared" si="42"/>
        <v>3951.6494492753623</v>
      </c>
      <c r="U439" s="190">
        <v>4132.5377084886131</v>
      </c>
      <c r="V439" s="221">
        <v>341.20257308488544</v>
      </c>
      <c r="W439" s="221">
        <v>4481.1649217391296</v>
      </c>
      <c r="X439" s="221">
        <v>0</v>
      </c>
      <c r="Y439" s="222">
        <v>0</v>
      </c>
      <c r="Z439" s="222">
        <v>0</v>
      </c>
      <c r="AA439" s="222">
        <v>0</v>
      </c>
      <c r="AB439" s="222">
        <v>0</v>
      </c>
      <c r="AC439" s="222">
        <v>0</v>
      </c>
      <c r="AD439" s="222">
        <v>0</v>
      </c>
      <c r="AE439" s="222">
        <v>867.3</v>
      </c>
      <c r="AF439" s="221">
        <v>4481.1649217391296</v>
      </c>
      <c r="AG439" s="222">
        <v>0</v>
      </c>
      <c r="AH439" s="221">
        <v>0</v>
      </c>
      <c r="AI439" s="222">
        <v>0</v>
      </c>
      <c r="AJ439" s="221">
        <v>0</v>
      </c>
      <c r="AK439" s="222">
        <v>0</v>
      </c>
      <c r="AL439" s="222">
        <v>0</v>
      </c>
      <c r="AM439" s="222">
        <v>0</v>
      </c>
      <c r="AN439" s="222"/>
      <c r="AO439" s="222">
        <v>0</v>
      </c>
    </row>
    <row r="440" spans="1:41" s="223" customFormat="1" ht="36" customHeight="1" x14ac:dyDescent="0.25">
      <c r="A440" s="223">
        <v>1</v>
      </c>
      <c r="B440" s="225">
        <f>SUBTOTAL(103,$A$16:A440)</f>
        <v>385</v>
      </c>
      <c r="C440" s="215" t="s">
        <v>48</v>
      </c>
      <c r="D440" s="217">
        <v>1972</v>
      </c>
      <c r="E440" s="217"/>
      <c r="F440" s="226" t="s">
        <v>267</v>
      </c>
      <c r="G440" s="217">
        <v>2</v>
      </c>
      <c r="H440" s="217" t="s">
        <v>303</v>
      </c>
      <c r="I440" s="190">
        <v>729.8</v>
      </c>
      <c r="J440" s="190">
        <v>482.52</v>
      </c>
      <c r="K440" s="190">
        <v>482.52</v>
      </c>
      <c r="L440" s="219">
        <v>30</v>
      </c>
      <c r="M440" s="217" t="s">
        <v>265</v>
      </c>
      <c r="N440" s="217" t="s">
        <v>266</v>
      </c>
      <c r="O440" s="220" t="s">
        <v>268</v>
      </c>
      <c r="P440" s="190">
        <v>2810575.6300000004</v>
      </c>
      <c r="Q440" s="190">
        <v>0</v>
      </c>
      <c r="R440" s="190">
        <v>0</v>
      </c>
      <c r="S440" s="190">
        <f t="shared" si="49"/>
        <v>2810575.6300000004</v>
      </c>
      <c r="T440" s="190">
        <f t="shared" si="42"/>
        <v>3851.1587147163614</v>
      </c>
      <c r="U440" s="190">
        <v>5822.8666758015897</v>
      </c>
      <c r="V440" s="221">
        <f t="shared" si="46"/>
        <v>1971.7079610852284</v>
      </c>
      <c r="W440" s="221">
        <f t="shared" ref="W440:W448" si="50">X440+Y440+Z440+AA440+AB440+AD440+AF440+AH440+AJ440+AL440+AN440+AO440</f>
        <v>5579.7979679364216</v>
      </c>
      <c r="X440" s="221">
        <v>0</v>
      </c>
      <c r="Y440" s="222">
        <v>0</v>
      </c>
      <c r="Z440" s="222">
        <v>0</v>
      </c>
      <c r="AA440" s="222">
        <v>0</v>
      </c>
      <c r="AB440" s="222">
        <v>0</v>
      </c>
      <c r="AC440" s="222">
        <v>0</v>
      </c>
      <c r="AD440" s="222">
        <v>0</v>
      </c>
      <c r="AE440" s="222">
        <v>652.70000000000005</v>
      </c>
      <c r="AF440" s="221">
        <f>6238.91*AE440/I440</f>
        <v>5579.7979679364216</v>
      </c>
      <c r="AG440" s="222">
        <v>0</v>
      </c>
      <c r="AH440" s="221">
        <v>0</v>
      </c>
      <c r="AI440" s="222">
        <v>0</v>
      </c>
      <c r="AJ440" s="221">
        <v>0</v>
      </c>
      <c r="AK440" s="222">
        <v>0</v>
      </c>
      <c r="AL440" s="222">
        <v>0</v>
      </c>
      <c r="AM440" s="222">
        <v>0</v>
      </c>
      <c r="AN440" s="222"/>
      <c r="AO440" s="222">
        <v>0</v>
      </c>
    </row>
    <row r="441" spans="1:41" s="223" customFormat="1" ht="36" customHeight="1" x14ac:dyDescent="0.25">
      <c r="A441" s="223">
        <v>1</v>
      </c>
      <c r="B441" s="225">
        <f>SUBTOTAL(103,$A$16:A441)</f>
        <v>386</v>
      </c>
      <c r="C441" s="215" t="s">
        <v>49</v>
      </c>
      <c r="D441" s="217">
        <v>1962</v>
      </c>
      <c r="E441" s="217"/>
      <c r="F441" s="226" t="s">
        <v>267</v>
      </c>
      <c r="G441" s="217">
        <v>4</v>
      </c>
      <c r="H441" s="217" t="s">
        <v>312</v>
      </c>
      <c r="I441" s="190">
        <v>1905.34</v>
      </c>
      <c r="J441" s="190">
        <v>1905.34</v>
      </c>
      <c r="K441" s="190">
        <v>1830.34</v>
      </c>
      <c r="L441" s="219">
        <v>101</v>
      </c>
      <c r="M441" s="217" t="s">
        <v>265</v>
      </c>
      <c r="N441" s="217" t="s">
        <v>266</v>
      </c>
      <c r="O441" s="220" t="s">
        <v>268</v>
      </c>
      <c r="P441" s="190">
        <v>131037.61</v>
      </c>
      <c r="Q441" s="190">
        <v>0</v>
      </c>
      <c r="R441" s="190">
        <v>0</v>
      </c>
      <c r="S441" s="190">
        <f t="shared" si="49"/>
        <v>131037.61</v>
      </c>
      <c r="T441" s="190">
        <f t="shared" si="42"/>
        <v>68.773872379732751</v>
      </c>
      <c r="U441" s="190">
        <v>68.773872379732751</v>
      </c>
      <c r="V441" s="221">
        <f t="shared" si="46"/>
        <v>0</v>
      </c>
      <c r="W441" s="221">
        <f t="shared" si="50"/>
        <v>2936.8398180902095</v>
      </c>
      <c r="X441" s="221">
        <v>0</v>
      </c>
      <c r="Y441" s="222">
        <v>0</v>
      </c>
      <c r="Z441" s="222">
        <v>0</v>
      </c>
      <c r="AA441" s="222">
        <v>0</v>
      </c>
      <c r="AB441" s="222">
        <v>0</v>
      </c>
      <c r="AC441" s="222">
        <v>0</v>
      </c>
      <c r="AD441" s="222">
        <v>0</v>
      </c>
      <c r="AE441" s="222">
        <v>896.9</v>
      </c>
      <c r="AF441" s="221">
        <f>6238.91*AE441/I441</f>
        <v>2936.8398180902095</v>
      </c>
      <c r="AG441" s="222">
        <v>0</v>
      </c>
      <c r="AH441" s="221">
        <v>0</v>
      </c>
      <c r="AI441" s="222">
        <v>0</v>
      </c>
      <c r="AJ441" s="221">
        <v>0</v>
      </c>
      <c r="AK441" s="222">
        <v>0</v>
      </c>
      <c r="AL441" s="222">
        <v>0</v>
      </c>
      <c r="AM441" s="222">
        <v>0</v>
      </c>
      <c r="AN441" s="222"/>
      <c r="AO441" s="222">
        <v>0</v>
      </c>
    </row>
    <row r="442" spans="1:41" s="223" customFormat="1" ht="36" customHeight="1" x14ac:dyDescent="0.25">
      <c r="A442" s="223">
        <v>1</v>
      </c>
      <c r="B442" s="225">
        <f>SUBTOTAL(103,$A$16:A442)</f>
        <v>387</v>
      </c>
      <c r="C442" s="215" t="s">
        <v>51</v>
      </c>
      <c r="D442" s="217">
        <v>1971</v>
      </c>
      <c r="E442" s="217"/>
      <c r="F442" s="226" t="s">
        <v>267</v>
      </c>
      <c r="G442" s="217">
        <v>2</v>
      </c>
      <c r="H442" s="217" t="s">
        <v>303</v>
      </c>
      <c r="I442" s="190">
        <v>754.85</v>
      </c>
      <c r="J442" s="190">
        <v>754.85</v>
      </c>
      <c r="K442" s="190">
        <v>754.85</v>
      </c>
      <c r="L442" s="219">
        <v>42</v>
      </c>
      <c r="M442" s="217" t="s">
        <v>265</v>
      </c>
      <c r="N442" s="217" t="s">
        <v>266</v>
      </c>
      <c r="O442" s="220" t="s">
        <v>268</v>
      </c>
      <c r="P442" s="190">
        <v>2938871.62</v>
      </c>
      <c r="Q442" s="190">
        <v>0</v>
      </c>
      <c r="R442" s="190">
        <v>0</v>
      </c>
      <c r="S442" s="190">
        <f t="shared" si="49"/>
        <v>2938871.62</v>
      </c>
      <c r="T442" s="190">
        <f t="shared" si="42"/>
        <v>3893.3186990792874</v>
      </c>
      <c r="U442" s="190">
        <v>5862.4044512154733</v>
      </c>
      <c r="V442" s="221">
        <f t="shared" si="46"/>
        <v>1969.0857521361859</v>
      </c>
      <c r="W442" s="221">
        <f t="shared" si="50"/>
        <v>5628.5324369079945</v>
      </c>
      <c r="X442" s="221">
        <v>0</v>
      </c>
      <c r="Y442" s="222">
        <v>0</v>
      </c>
      <c r="Z442" s="222">
        <v>0</v>
      </c>
      <c r="AA442" s="222">
        <v>0</v>
      </c>
      <c r="AB442" s="222">
        <v>0</v>
      </c>
      <c r="AC442" s="222">
        <v>0</v>
      </c>
      <c r="AD442" s="222">
        <v>0</v>
      </c>
      <c r="AE442" s="222">
        <v>681</v>
      </c>
      <c r="AF442" s="221">
        <f>6238.91*AE442/I442</f>
        <v>5628.5324369079945</v>
      </c>
      <c r="AG442" s="222">
        <v>0</v>
      </c>
      <c r="AH442" s="221">
        <v>0</v>
      </c>
      <c r="AI442" s="222">
        <v>0</v>
      </c>
      <c r="AJ442" s="221">
        <v>0</v>
      </c>
      <c r="AK442" s="222">
        <v>0</v>
      </c>
      <c r="AL442" s="222">
        <v>0</v>
      </c>
      <c r="AM442" s="222">
        <v>0</v>
      </c>
      <c r="AN442" s="222"/>
      <c r="AO442" s="222">
        <v>0</v>
      </c>
    </row>
    <row r="443" spans="1:41" s="223" customFormat="1" ht="36" customHeight="1" x14ac:dyDescent="0.25">
      <c r="A443" s="223">
        <v>1</v>
      </c>
      <c r="B443" s="225">
        <f>SUBTOTAL(103,$A$16:A443)</f>
        <v>388</v>
      </c>
      <c r="C443" s="215" t="s">
        <v>1242</v>
      </c>
      <c r="D443" s="217">
        <v>1978</v>
      </c>
      <c r="E443" s="217"/>
      <c r="F443" s="226" t="s">
        <v>267</v>
      </c>
      <c r="G443" s="217">
        <v>3</v>
      </c>
      <c r="H443" s="217" t="s">
        <v>312</v>
      </c>
      <c r="I443" s="190">
        <v>1326.37</v>
      </c>
      <c r="J443" s="190">
        <v>1326.37</v>
      </c>
      <c r="K443" s="190">
        <v>1326.37</v>
      </c>
      <c r="L443" s="219">
        <v>61</v>
      </c>
      <c r="M443" s="217" t="s">
        <v>265</v>
      </c>
      <c r="N443" s="217" t="s">
        <v>266</v>
      </c>
      <c r="O443" s="220" t="s">
        <v>268</v>
      </c>
      <c r="P443" s="190">
        <v>2250237.6300000004</v>
      </c>
      <c r="Q443" s="190">
        <v>0</v>
      </c>
      <c r="R443" s="190">
        <v>0</v>
      </c>
      <c r="S443" s="190">
        <f t="shared" si="49"/>
        <v>2250237.6300000004</v>
      </c>
      <c r="T443" s="190">
        <f t="shared" si="42"/>
        <v>1696.5383942640444</v>
      </c>
      <c r="U443" s="190">
        <v>3328.9914955856966</v>
      </c>
      <c r="V443" s="221">
        <f t="shared" si="46"/>
        <v>1632.4531013216522</v>
      </c>
      <c r="W443" s="221">
        <f t="shared" si="50"/>
        <v>3191.4928979093315</v>
      </c>
      <c r="X443" s="221">
        <v>0</v>
      </c>
      <c r="Y443" s="222">
        <v>0</v>
      </c>
      <c r="Z443" s="222">
        <v>0</v>
      </c>
      <c r="AA443" s="222">
        <v>0</v>
      </c>
      <c r="AB443" s="222">
        <v>0</v>
      </c>
      <c r="AC443" s="222">
        <v>0</v>
      </c>
      <c r="AD443" s="222">
        <v>0</v>
      </c>
      <c r="AE443" s="222">
        <v>678.5</v>
      </c>
      <c r="AF443" s="221">
        <f>6238.91*AE443/I443</f>
        <v>3191.4928979093315</v>
      </c>
      <c r="AG443" s="222">
        <v>0</v>
      </c>
      <c r="AH443" s="221">
        <v>0</v>
      </c>
      <c r="AI443" s="222">
        <v>0</v>
      </c>
      <c r="AJ443" s="221">
        <v>0</v>
      </c>
      <c r="AK443" s="222">
        <v>0</v>
      </c>
      <c r="AL443" s="222">
        <v>0</v>
      </c>
      <c r="AM443" s="222">
        <v>0</v>
      </c>
      <c r="AN443" s="222"/>
      <c r="AO443" s="222">
        <v>0</v>
      </c>
    </row>
    <row r="444" spans="1:41" s="223" customFormat="1" ht="36" customHeight="1" x14ac:dyDescent="0.25">
      <c r="A444" s="223">
        <v>1</v>
      </c>
      <c r="B444" s="225">
        <f>SUBTOTAL(103,$A$16:A444)</f>
        <v>389</v>
      </c>
      <c r="C444" s="215" t="s">
        <v>1243</v>
      </c>
      <c r="D444" s="217">
        <v>1983</v>
      </c>
      <c r="E444" s="217"/>
      <c r="F444" s="226" t="s">
        <v>267</v>
      </c>
      <c r="G444" s="217">
        <v>5</v>
      </c>
      <c r="H444" s="217" t="s">
        <v>371</v>
      </c>
      <c r="I444" s="190">
        <v>5165.2</v>
      </c>
      <c r="J444" s="190">
        <v>4087.35</v>
      </c>
      <c r="K444" s="190">
        <v>4087.35</v>
      </c>
      <c r="L444" s="219">
        <v>153</v>
      </c>
      <c r="M444" s="217" t="s">
        <v>265</v>
      </c>
      <c r="N444" s="217" t="s">
        <v>269</v>
      </c>
      <c r="O444" s="220" t="s">
        <v>1301</v>
      </c>
      <c r="P444" s="190">
        <v>2695769.57</v>
      </c>
      <c r="Q444" s="190">
        <v>0</v>
      </c>
      <c r="R444" s="190">
        <v>0</v>
      </c>
      <c r="S444" s="190">
        <f t="shared" si="49"/>
        <v>2695769.57</v>
      </c>
      <c r="T444" s="190">
        <f t="shared" si="42"/>
        <v>521.91000735692717</v>
      </c>
      <c r="U444" s="190">
        <v>1605.1159147758074</v>
      </c>
      <c r="V444" s="221">
        <f t="shared" si="46"/>
        <v>1083.2059074188801</v>
      </c>
      <c r="W444" s="221">
        <f t="shared" si="50"/>
        <v>1538.8192036900798</v>
      </c>
      <c r="X444" s="221">
        <v>0</v>
      </c>
      <c r="Y444" s="222">
        <v>0</v>
      </c>
      <c r="Z444" s="222">
        <v>0</v>
      </c>
      <c r="AA444" s="222">
        <v>0</v>
      </c>
      <c r="AB444" s="222">
        <v>0</v>
      </c>
      <c r="AC444" s="222">
        <v>0</v>
      </c>
      <c r="AD444" s="222">
        <v>0</v>
      </c>
      <c r="AE444" s="222">
        <v>1273.99</v>
      </c>
      <c r="AF444" s="221">
        <f>6238.91*AE444/I444</f>
        <v>1538.8192036900798</v>
      </c>
      <c r="AG444" s="222">
        <v>0</v>
      </c>
      <c r="AH444" s="221">
        <v>0</v>
      </c>
      <c r="AI444" s="222">
        <v>0</v>
      </c>
      <c r="AJ444" s="221">
        <v>0</v>
      </c>
      <c r="AK444" s="222">
        <v>0</v>
      </c>
      <c r="AL444" s="222">
        <v>0</v>
      </c>
      <c r="AM444" s="222">
        <v>0</v>
      </c>
      <c r="AN444" s="222"/>
      <c r="AO444" s="222">
        <v>0</v>
      </c>
    </row>
    <row r="445" spans="1:41" s="223" customFormat="1" ht="36" customHeight="1" x14ac:dyDescent="0.25">
      <c r="A445" s="223">
        <v>1</v>
      </c>
      <c r="B445" s="225">
        <f>SUBTOTAL(103,$A$16:A445)</f>
        <v>390</v>
      </c>
      <c r="C445" s="215" t="s">
        <v>1245</v>
      </c>
      <c r="D445" s="217">
        <v>1959</v>
      </c>
      <c r="E445" s="217"/>
      <c r="F445" s="226" t="s">
        <v>267</v>
      </c>
      <c r="G445" s="217" t="s">
        <v>303</v>
      </c>
      <c r="H445" s="217" t="s">
        <v>304</v>
      </c>
      <c r="I445" s="190">
        <v>264.3</v>
      </c>
      <c r="J445" s="190">
        <v>264.3</v>
      </c>
      <c r="K445" s="190">
        <v>264.3</v>
      </c>
      <c r="L445" s="219">
        <v>15</v>
      </c>
      <c r="M445" s="217" t="s">
        <v>265</v>
      </c>
      <c r="N445" s="217" t="s">
        <v>266</v>
      </c>
      <c r="O445" s="220" t="s">
        <v>268</v>
      </c>
      <c r="P445" s="190">
        <v>791834.9</v>
      </c>
      <c r="Q445" s="190">
        <v>0</v>
      </c>
      <c r="R445" s="190">
        <v>0</v>
      </c>
      <c r="S445" s="190">
        <f t="shared" si="49"/>
        <v>791834.9</v>
      </c>
      <c r="T445" s="190">
        <f t="shared" si="42"/>
        <v>2995.9701097237985</v>
      </c>
      <c r="U445" s="190">
        <v>5761.6413166855846</v>
      </c>
      <c r="V445" s="221">
        <f t="shared" si="46"/>
        <v>2765.6712069617861</v>
      </c>
      <c r="W445" s="221">
        <f t="shared" si="50"/>
        <v>85213.180607264454</v>
      </c>
      <c r="X445" s="221">
        <v>0</v>
      </c>
      <c r="Y445" s="222">
        <v>0</v>
      </c>
      <c r="Z445" s="222">
        <v>0</v>
      </c>
      <c r="AA445" s="222">
        <v>0</v>
      </c>
      <c r="AB445" s="222">
        <v>0</v>
      </c>
      <c r="AC445" s="222">
        <v>0</v>
      </c>
      <c r="AD445" s="222">
        <v>0</v>
      </c>
      <c r="AE445" s="222">
        <v>0</v>
      </c>
      <c r="AF445" s="221">
        <v>0</v>
      </c>
      <c r="AG445" s="222">
        <v>0</v>
      </c>
      <c r="AH445" s="221">
        <v>0</v>
      </c>
      <c r="AI445" s="222">
        <v>2886.45</v>
      </c>
      <c r="AJ445" s="221">
        <f>7802.61*AI445/I445</f>
        <v>85213.180607264454</v>
      </c>
      <c r="AK445" s="222">
        <v>0</v>
      </c>
      <c r="AL445" s="222">
        <v>0</v>
      </c>
      <c r="AM445" s="222">
        <v>0</v>
      </c>
      <c r="AN445" s="222"/>
      <c r="AO445" s="222">
        <v>0</v>
      </c>
    </row>
    <row r="446" spans="1:41" s="223" customFormat="1" ht="36" customHeight="1" x14ac:dyDescent="0.25">
      <c r="A446" s="223">
        <v>1</v>
      </c>
      <c r="B446" s="225">
        <f>SUBTOTAL(103,$A$16:A446)</f>
        <v>391</v>
      </c>
      <c r="C446" s="215" t="s">
        <v>1246</v>
      </c>
      <c r="D446" s="217">
        <v>1957</v>
      </c>
      <c r="E446" s="217"/>
      <c r="F446" s="226" t="s">
        <v>330</v>
      </c>
      <c r="G446" s="217">
        <v>2</v>
      </c>
      <c r="H446" s="217" t="s">
        <v>303</v>
      </c>
      <c r="I446" s="190">
        <v>276.5</v>
      </c>
      <c r="J446" s="190">
        <v>234.3</v>
      </c>
      <c r="K446" s="190">
        <v>234.3</v>
      </c>
      <c r="L446" s="219">
        <v>12</v>
      </c>
      <c r="M446" s="217" t="s">
        <v>265</v>
      </c>
      <c r="N446" s="217" t="s">
        <v>266</v>
      </c>
      <c r="O446" s="220" t="s">
        <v>268</v>
      </c>
      <c r="P446" s="190">
        <v>1207929.18</v>
      </c>
      <c r="Q446" s="190">
        <v>0</v>
      </c>
      <c r="R446" s="190">
        <v>0</v>
      </c>
      <c r="S446" s="190">
        <f>P446-Q446-R446</f>
        <v>1207929.18</v>
      </c>
      <c r="T446" s="190">
        <f t="shared" si="42"/>
        <v>4368.640795660036</v>
      </c>
      <c r="U446" s="190">
        <v>8177.8135334538874</v>
      </c>
      <c r="V446" s="221">
        <f>U446-T446</f>
        <v>3809.1727377938514</v>
      </c>
      <c r="W446" s="221">
        <f>X446+Y446+Z446+AA446+AB446+AD446+AF446+AH446+AJ446+AL446+AN446+AO446</f>
        <v>5279.9455334538879</v>
      </c>
      <c r="X446" s="221">
        <v>0</v>
      </c>
      <c r="Y446" s="222">
        <v>0</v>
      </c>
      <c r="Z446" s="222">
        <v>0</v>
      </c>
      <c r="AA446" s="222">
        <v>0</v>
      </c>
      <c r="AB446" s="222">
        <v>0</v>
      </c>
      <c r="AC446" s="222">
        <v>0</v>
      </c>
      <c r="AD446" s="222">
        <v>0</v>
      </c>
      <c r="AE446" s="222">
        <v>234</v>
      </c>
      <c r="AF446" s="221">
        <f>6238.91*AE446/I446</f>
        <v>5279.9455334538879</v>
      </c>
      <c r="AG446" s="222">
        <v>0</v>
      </c>
      <c r="AH446" s="221">
        <v>0</v>
      </c>
      <c r="AI446" s="222">
        <v>0</v>
      </c>
      <c r="AJ446" s="221">
        <v>0</v>
      </c>
      <c r="AK446" s="222">
        <v>0</v>
      </c>
      <c r="AL446" s="222">
        <v>0</v>
      </c>
      <c r="AM446" s="222">
        <v>0</v>
      </c>
      <c r="AN446" s="222"/>
      <c r="AO446" s="222">
        <v>0</v>
      </c>
    </row>
    <row r="447" spans="1:41" s="223" customFormat="1" ht="36" customHeight="1" x14ac:dyDescent="0.25">
      <c r="A447" s="223">
        <v>1</v>
      </c>
      <c r="B447" s="225">
        <f>SUBTOTAL(103,$A$16:A447)</f>
        <v>392</v>
      </c>
      <c r="C447" s="215" t="s">
        <v>58</v>
      </c>
      <c r="D447" s="217">
        <v>1970</v>
      </c>
      <c r="E447" s="217"/>
      <c r="F447" s="226" t="s">
        <v>267</v>
      </c>
      <c r="G447" s="217">
        <v>2</v>
      </c>
      <c r="H447" s="217" t="s">
        <v>303</v>
      </c>
      <c r="I447" s="190">
        <v>726.6</v>
      </c>
      <c r="J447" s="190">
        <v>482.19</v>
      </c>
      <c r="K447" s="190">
        <v>482.19</v>
      </c>
      <c r="L447" s="219">
        <v>33</v>
      </c>
      <c r="M447" s="217" t="s">
        <v>265</v>
      </c>
      <c r="N447" s="217" t="s">
        <v>266</v>
      </c>
      <c r="O447" s="220" t="s">
        <v>268</v>
      </c>
      <c r="P447" s="190">
        <v>77311.89</v>
      </c>
      <c r="Q447" s="190">
        <v>0</v>
      </c>
      <c r="R447" s="190">
        <v>0</v>
      </c>
      <c r="S447" s="190">
        <f t="shared" si="49"/>
        <v>77311.89</v>
      </c>
      <c r="T447" s="190">
        <f t="shared" si="42"/>
        <v>106.40227085053674</v>
      </c>
      <c r="U447" s="190">
        <v>106.40227085053674</v>
      </c>
      <c r="V447" s="221">
        <f t="shared" si="46"/>
        <v>0</v>
      </c>
      <c r="W447" s="221">
        <f t="shared" si="50"/>
        <v>2009.227828241123</v>
      </c>
      <c r="X447" s="221">
        <v>0</v>
      </c>
      <c r="Y447" s="222">
        <v>0</v>
      </c>
      <c r="Z447" s="222">
        <v>0</v>
      </c>
      <c r="AA447" s="222">
        <v>0</v>
      </c>
      <c r="AB447" s="222">
        <v>0</v>
      </c>
      <c r="AC447" s="222">
        <v>0</v>
      </c>
      <c r="AD447" s="222">
        <v>0</v>
      </c>
      <c r="AE447" s="222">
        <v>234</v>
      </c>
      <c r="AF447" s="221">
        <f>6238.91*AE447/I447</f>
        <v>2009.227828241123</v>
      </c>
      <c r="AG447" s="222">
        <v>0</v>
      </c>
      <c r="AH447" s="221">
        <v>0</v>
      </c>
      <c r="AI447" s="222">
        <v>0</v>
      </c>
      <c r="AJ447" s="221">
        <v>0</v>
      </c>
      <c r="AK447" s="222">
        <v>0</v>
      </c>
      <c r="AL447" s="222">
        <v>0</v>
      </c>
      <c r="AM447" s="222">
        <v>0</v>
      </c>
      <c r="AN447" s="222"/>
      <c r="AO447" s="222">
        <v>0</v>
      </c>
    </row>
    <row r="448" spans="1:41" s="223" customFormat="1" ht="36" customHeight="1" x14ac:dyDescent="0.25">
      <c r="A448" s="223">
        <v>1</v>
      </c>
      <c r="B448" s="225">
        <f>SUBTOTAL(103,$A$16:A448)</f>
        <v>393</v>
      </c>
      <c r="C448" s="215" t="s">
        <v>59</v>
      </c>
      <c r="D448" s="217">
        <v>1973</v>
      </c>
      <c r="E448" s="217"/>
      <c r="F448" s="226" t="s">
        <v>267</v>
      </c>
      <c r="G448" s="217">
        <v>2</v>
      </c>
      <c r="H448" s="217" t="s">
        <v>303</v>
      </c>
      <c r="I448" s="190">
        <v>701.7</v>
      </c>
      <c r="J448" s="190">
        <v>482.5</v>
      </c>
      <c r="K448" s="190">
        <v>482.5</v>
      </c>
      <c r="L448" s="219">
        <v>31</v>
      </c>
      <c r="M448" s="217" t="s">
        <v>265</v>
      </c>
      <c r="N448" s="217" t="s">
        <v>266</v>
      </c>
      <c r="O448" s="220" t="s">
        <v>268</v>
      </c>
      <c r="P448" s="190">
        <v>76900.47</v>
      </c>
      <c r="Q448" s="190">
        <v>0</v>
      </c>
      <c r="R448" s="190">
        <v>0</v>
      </c>
      <c r="S448" s="190">
        <f t="shared" si="49"/>
        <v>76900.47</v>
      </c>
      <c r="T448" s="190">
        <f t="shared" si="42"/>
        <v>109.59166310389054</v>
      </c>
      <c r="U448" s="190">
        <v>109.59166310389054</v>
      </c>
      <c r="V448" s="221">
        <f t="shared" si="46"/>
        <v>0</v>
      </c>
      <c r="W448" s="221">
        <f t="shared" si="50"/>
        <v>3089.3140495938433</v>
      </c>
      <c r="X448" s="221">
        <v>0</v>
      </c>
      <c r="Y448" s="222">
        <v>0</v>
      </c>
      <c r="Z448" s="222">
        <v>0</v>
      </c>
      <c r="AA448" s="222">
        <v>0</v>
      </c>
      <c r="AB448" s="222">
        <v>0</v>
      </c>
      <c r="AC448" s="222">
        <v>0</v>
      </c>
      <c r="AD448" s="222">
        <v>0</v>
      </c>
      <c r="AE448" s="222">
        <v>347.46</v>
      </c>
      <c r="AF448" s="221">
        <f>6238.91*AE448/I448</f>
        <v>3089.3140495938433</v>
      </c>
      <c r="AG448" s="222">
        <v>0</v>
      </c>
      <c r="AH448" s="221">
        <v>0</v>
      </c>
      <c r="AI448" s="222">
        <v>0</v>
      </c>
      <c r="AJ448" s="221">
        <v>0</v>
      </c>
      <c r="AK448" s="222">
        <v>0</v>
      </c>
      <c r="AL448" s="222">
        <v>0</v>
      </c>
      <c r="AM448" s="222">
        <v>0</v>
      </c>
      <c r="AN448" s="222"/>
      <c r="AO448" s="222">
        <v>0</v>
      </c>
    </row>
    <row r="449" spans="1:41" s="223" customFormat="1" ht="36" customHeight="1" x14ac:dyDescent="0.25">
      <c r="B449" s="215" t="s">
        <v>883</v>
      </c>
      <c r="C449" s="215"/>
      <c r="D449" s="217" t="s">
        <v>890</v>
      </c>
      <c r="E449" s="217" t="s">
        <v>890</v>
      </c>
      <c r="F449" s="217" t="s">
        <v>890</v>
      </c>
      <c r="G449" s="217" t="s">
        <v>890</v>
      </c>
      <c r="H449" s="217" t="s">
        <v>890</v>
      </c>
      <c r="I449" s="190">
        <f>I450</f>
        <v>878.6</v>
      </c>
      <c r="J449" s="190">
        <f>J450</f>
        <v>878.6</v>
      </c>
      <c r="K449" s="190">
        <f>K450</f>
        <v>878.6</v>
      </c>
      <c r="L449" s="231">
        <f>L450</f>
        <v>55</v>
      </c>
      <c r="M449" s="217" t="s">
        <v>890</v>
      </c>
      <c r="N449" s="217" t="s">
        <v>890</v>
      </c>
      <c r="O449" s="220" t="s">
        <v>890</v>
      </c>
      <c r="P449" s="190">
        <v>3622790.6399999997</v>
      </c>
      <c r="Q449" s="190">
        <f>Q450</f>
        <v>0</v>
      </c>
      <c r="R449" s="190">
        <f>R450</f>
        <v>0</v>
      </c>
      <c r="S449" s="190">
        <f>S450</f>
        <v>3622790.6399999997</v>
      </c>
      <c r="T449" s="190">
        <f t="shared" si="42"/>
        <v>4123.3674482130655</v>
      </c>
      <c r="U449" s="190">
        <f>U450</f>
        <v>6201.7951399954472</v>
      </c>
      <c r="V449" s="221">
        <f t="shared" si="46"/>
        <v>2078.4276917823818</v>
      </c>
      <c r="W449" s="221"/>
      <c r="X449" s="221"/>
      <c r="Y449" s="222"/>
      <c r="Z449" s="222"/>
      <c r="AA449" s="222"/>
      <c r="AB449" s="222"/>
      <c r="AC449" s="222"/>
      <c r="AD449" s="222"/>
      <c r="AE449" s="222"/>
      <c r="AF449" s="222"/>
      <c r="AG449" s="222"/>
      <c r="AH449" s="222"/>
      <c r="AI449" s="222"/>
      <c r="AJ449" s="222"/>
      <c r="AK449" s="222"/>
      <c r="AL449" s="222"/>
      <c r="AM449" s="222"/>
      <c r="AN449" s="222"/>
      <c r="AO449" s="222"/>
    </row>
    <row r="450" spans="1:41" s="223" customFormat="1" ht="36" customHeight="1" x14ac:dyDescent="0.25">
      <c r="A450" s="223">
        <v>1</v>
      </c>
      <c r="B450" s="225">
        <f>SUBTOTAL(103,$A$16:A450)</f>
        <v>394</v>
      </c>
      <c r="C450" s="215" t="s">
        <v>1548</v>
      </c>
      <c r="D450" s="217">
        <v>1979</v>
      </c>
      <c r="E450" s="217"/>
      <c r="F450" s="226" t="s">
        <v>267</v>
      </c>
      <c r="G450" s="217">
        <v>2</v>
      </c>
      <c r="H450" s="217" t="s">
        <v>312</v>
      </c>
      <c r="I450" s="190">
        <v>878.6</v>
      </c>
      <c r="J450" s="190">
        <v>878.6</v>
      </c>
      <c r="K450" s="190">
        <v>878.6</v>
      </c>
      <c r="L450" s="219">
        <v>55</v>
      </c>
      <c r="M450" s="217" t="s">
        <v>265</v>
      </c>
      <c r="N450" s="217" t="s">
        <v>266</v>
      </c>
      <c r="O450" s="220" t="s">
        <v>268</v>
      </c>
      <c r="P450" s="190">
        <v>3622790.6399999997</v>
      </c>
      <c r="Q450" s="190">
        <v>0</v>
      </c>
      <c r="R450" s="190">
        <v>0</v>
      </c>
      <c r="S450" s="190">
        <f>P450-R450-Q450</f>
        <v>3622790.6399999997</v>
      </c>
      <c r="T450" s="190">
        <f t="shared" si="42"/>
        <v>4123.3674482130655</v>
      </c>
      <c r="U450" s="190">
        <v>6201.7951399954472</v>
      </c>
      <c r="V450" s="221">
        <f>U450-T450</f>
        <v>2078.4276917823818</v>
      </c>
      <c r="W450" s="221">
        <f>X450+Y450+Z450+AA450+AB450+AD450+AF450+AH450+AJ450+AL450+AN450+AO450</f>
        <v>5945.6400443887997</v>
      </c>
      <c r="X450" s="221">
        <v>0</v>
      </c>
      <c r="Y450" s="222">
        <v>0</v>
      </c>
      <c r="Z450" s="222">
        <v>0</v>
      </c>
      <c r="AA450" s="222">
        <v>0</v>
      </c>
      <c r="AB450" s="222">
        <v>0</v>
      </c>
      <c r="AC450" s="222">
        <v>0</v>
      </c>
      <c r="AD450" s="222">
        <v>0</v>
      </c>
      <c r="AE450" s="222">
        <v>837.3</v>
      </c>
      <c r="AF450" s="221">
        <f>6238.91*AE450/I450</f>
        <v>5945.6400443887997</v>
      </c>
      <c r="AG450" s="222">
        <v>0</v>
      </c>
      <c r="AH450" s="221">
        <v>0</v>
      </c>
      <c r="AI450" s="222">
        <v>0</v>
      </c>
      <c r="AJ450" s="221">
        <v>0</v>
      </c>
      <c r="AK450" s="222">
        <v>0</v>
      </c>
      <c r="AL450" s="222">
        <v>0</v>
      </c>
      <c r="AM450" s="222">
        <v>0</v>
      </c>
      <c r="AN450" s="222"/>
      <c r="AO450" s="222">
        <v>0</v>
      </c>
    </row>
    <row r="451" spans="1:41" s="223" customFormat="1" ht="36" customHeight="1" x14ac:dyDescent="0.25">
      <c r="B451" s="215" t="s">
        <v>847</v>
      </c>
      <c r="C451" s="227"/>
      <c r="D451" s="217" t="s">
        <v>751</v>
      </c>
      <c r="E451" s="217" t="s">
        <v>751</v>
      </c>
      <c r="F451" s="217" t="s">
        <v>751</v>
      </c>
      <c r="G451" s="217" t="s">
        <v>751</v>
      </c>
      <c r="H451" s="217" t="s">
        <v>751</v>
      </c>
      <c r="I451" s="190">
        <f>I452</f>
        <v>940.6</v>
      </c>
      <c r="J451" s="190">
        <f>J452</f>
        <v>853.9</v>
      </c>
      <c r="K451" s="190">
        <f>K452</f>
        <v>853.9</v>
      </c>
      <c r="L451" s="231">
        <f>L452</f>
        <v>33</v>
      </c>
      <c r="M451" s="217" t="s">
        <v>751</v>
      </c>
      <c r="N451" s="217" t="s">
        <v>751</v>
      </c>
      <c r="O451" s="220" t="s">
        <v>751</v>
      </c>
      <c r="P451" s="190">
        <v>3515825.94</v>
      </c>
      <c r="Q451" s="190">
        <f>Q452</f>
        <v>0</v>
      </c>
      <c r="R451" s="190">
        <f>R452</f>
        <v>0</v>
      </c>
      <c r="S451" s="190">
        <f>S452</f>
        <v>3515825.94</v>
      </c>
      <c r="T451" s="190">
        <f t="shared" si="42"/>
        <v>3737.8544971294918</v>
      </c>
      <c r="U451" s="190">
        <f>U452</f>
        <v>5579.3530023389321</v>
      </c>
      <c r="V451" s="221">
        <f t="shared" si="46"/>
        <v>1841.4985052094403</v>
      </c>
      <c r="W451" s="221"/>
      <c r="X451" s="221"/>
      <c r="Y451" s="222"/>
      <c r="Z451" s="222"/>
      <c r="AA451" s="222"/>
      <c r="AB451" s="222"/>
      <c r="AC451" s="222"/>
      <c r="AD451" s="222"/>
      <c r="AE451" s="222"/>
      <c r="AF451" s="222"/>
      <c r="AG451" s="222"/>
      <c r="AH451" s="222"/>
      <c r="AI451" s="222"/>
      <c r="AJ451" s="222"/>
      <c r="AK451" s="222"/>
      <c r="AL451" s="222"/>
      <c r="AM451" s="222"/>
      <c r="AN451" s="222"/>
      <c r="AO451" s="222"/>
    </row>
    <row r="452" spans="1:41" s="223" customFormat="1" ht="36" customHeight="1" x14ac:dyDescent="0.25">
      <c r="A452" s="223">
        <v>1</v>
      </c>
      <c r="B452" s="225">
        <f>SUBTOTAL(103,$A$16:A452)</f>
        <v>395</v>
      </c>
      <c r="C452" s="215" t="s">
        <v>227</v>
      </c>
      <c r="D452" s="217">
        <v>1995</v>
      </c>
      <c r="E452" s="217"/>
      <c r="F452" s="226" t="s">
        <v>267</v>
      </c>
      <c r="G452" s="217">
        <v>2</v>
      </c>
      <c r="H452" s="217" t="s">
        <v>312</v>
      </c>
      <c r="I452" s="190">
        <v>940.6</v>
      </c>
      <c r="J452" s="190">
        <v>853.9</v>
      </c>
      <c r="K452" s="190">
        <v>853.9</v>
      </c>
      <c r="L452" s="219">
        <v>33</v>
      </c>
      <c r="M452" s="217" t="s">
        <v>265</v>
      </c>
      <c r="N452" s="217" t="s">
        <v>269</v>
      </c>
      <c r="O452" s="220" t="s">
        <v>702</v>
      </c>
      <c r="P452" s="190">
        <v>3515825.94</v>
      </c>
      <c r="Q452" s="190">
        <v>0</v>
      </c>
      <c r="R452" s="190">
        <v>0</v>
      </c>
      <c r="S452" s="190">
        <f>P452-Q452-R452</f>
        <v>3515825.94</v>
      </c>
      <c r="T452" s="190">
        <f t="shared" si="42"/>
        <v>3737.8544971294918</v>
      </c>
      <c r="U452" s="190">
        <v>5579.3530023389321</v>
      </c>
      <c r="V452" s="221">
        <f>U452-T452</f>
        <v>1841.4985052094403</v>
      </c>
      <c r="W452" s="221">
        <f>X452+Y452+Z452+AA452+AB452+AD452+AF452+AH452+AJ452+AL452+AN452+AO452</f>
        <v>5348.9068702955556</v>
      </c>
      <c r="X452" s="221">
        <v>0</v>
      </c>
      <c r="Y452" s="222">
        <v>0</v>
      </c>
      <c r="Z452" s="222">
        <v>0</v>
      </c>
      <c r="AA452" s="222">
        <v>0</v>
      </c>
      <c r="AB452" s="222">
        <v>0</v>
      </c>
      <c r="AC452" s="222">
        <v>0</v>
      </c>
      <c r="AD452" s="222">
        <v>0</v>
      </c>
      <c r="AE452" s="222">
        <v>806.42</v>
      </c>
      <c r="AF452" s="221">
        <f>6238.91*AE452/I452</f>
        <v>5348.9068702955556</v>
      </c>
      <c r="AG452" s="222">
        <v>0</v>
      </c>
      <c r="AH452" s="221">
        <v>0</v>
      </c>
      <c r="AI452" s="222">
        <v>0</v>
      </c>
      <c r="AJ452" s="221">
        <v>0</v>
      </c>
      <c r="AK452" s="222">
        <v>0</v>
      </c>
      <c r="AL452" s="222">
        <v>0</v>
      </c>
      <c r="AM452" s="222">
        <v>0</v>
      </c>
      <c r="AN452" s="222"/>
      <c r="AO452" s="222">
        <v>0</v>
      </c>
    </row>
    <row r="453" spans="1:41" s="223" customFormat="1" ht="36" customHeight="1" x14ac:dyDescent="0.25">
      <c r="B453" s="215" t="s">
        <v>848</v>
      </c>
      <c r="C453" s="215"/>
      <c r="D453" s="217" t="s">
        <v>751</v>
      </c>
      <c r="E453" s="217" t="s">
        <v>751</v>
      </c>
      <c r="F453" s="217" t="s">
        <v>751</v>
      </c>
      <c r="G453" s="217" t="s">
        <v>751</v>
      </c>
      <c r="H453" s="217" t="s">
        <v>751</v>
      </c>
      <c r="I453" s="190">
        <f>I454</f>
        <v>340.3</v>
      </c>
      <c r="J453" s="190">
        <f>J454</f>
        <v>309.10000000000002</v>
      </c>
      <c r="K453" s="190">
        <f>K454</f>
        <v>309.10000000000002</v>
      </c>
      <c r="L453" s="231">
        <f>L454</f>
        <v>19</v>
      </c>
      <c r="M453" s="217" t="s">
        <v>751</v>
      </c>
      <c r="N453" s="217" t="s">
        <v>751</v>
      </c>
      <c r="O453" s="220" t="s">
        <v>751</v>
      </c>
      <c r="P453" s="190">
        <v>1371104.41</v>
      </c>
      <c r="Q453" s="190">
        <f>Q454</f>
        <v>0</v>
      </c>
      <c r="R453" s="190">
        <f>R454</f>
        <v>0</v>
      </c>
      <c r="S453" s="190">
        <f>S454</f>
        <v>1371104.41</v>
      </c>
      <c r="T453" s="190">
        <f t="shared" si="42"/>
        <v>4029.1049368204522</v>
      </c>
      <c r="U453" s="190">
        <f>U454</f>
        <v>5775.2729944166904</v>
      </c>
      <c r="V453" s="221">
        <f t="shared" si="46"/>
        <v>1746.1680575962382</v>
      </c>
      <c r="W453" s="221"/>
      <c r="X453" s="221"/>
      <c r="Y453" s="222"/>
      <c r="Z453" s="222"/>
      <c r="AA453" s="222"/>
      <c r="AB453" s="222"/>
      <c r="AC453" s="222"/>
      <c r="AD453" s="222"/>
      <c r="AE453" s="222"/>
      <c r="AF453" s="222"/>
      <c r="AG453" s="222"/>
      <c r="AH453" s="222"/>
      <c r="AI453" s="222"/>
      <c r="AJ453" s="222"/>
      <c r="AK453" s="222"/>
      <c r="AL453" s="222"/>
      <c r="AM453" s="222"/>
      <c r="AN453" s="222"/>
      <c r="AO453" s="222"/>
    </row>
    <row r="454" spans="1:41" s="223" customFormat="1" ht="36" customHeight="1" x14ac:dyDescent="0.25">
      <c r="A454" s="223">
        <v>1</v>
      </c>
      <c r="B454" s="225">
        <f>SUBTOTAL(103,$A$16:A454)</f>
        <v>396</v>
      </c>
      <c r="C454" s="215" t="s">
        <v>230</v>
      </c>
      <c r="D454" s="217">
        <v>1981</v>
      </c>
      <c r="E454" s="217"/>
      <c r="F454" s="226" t="s">
        <v>267</v>
      </c>
      <c r="G454" s="217">
        <v>2</v>
      </c>
      <c r="H454" s="217" t="s">
        <v>304</v>
      </c>
      <c r="I454" s="190">
        <v>340.3</v>
      </c>
      <c r="J454" s="190">
        <v>309.10000000000002</v>
      </c>
      <c r="K454" s="190">
        <v>309.10000000000002</v>
      </c>
      <c r="L454" s="219">
        <v>19</v>
      </c>
      <c r="M454" s="217" t="s">
        <v>265</v>
      </c>
      <c r="N454" s="217" t="s">
        <v>269</v>
      </c>
      <c r="O454" s="220" t="s">
        <v>702</v>
      </c>
      <c r="P454" s="190">
        <v>1371104.41</v>
      </c>
      <c r="Q454" s="190">
        <v>0</v>
      </c>
      <c r="R454" s="190">
        <v>0</v>
      </c>
      <c r="S454" s="190">
        <f>P454-Q454-R454</f>
        <v>1371104.41</v>
      </c>
      <c r="T454" s="190">
        <f t="shared" si="42"/>
        <v>4029.1049368204522</v>
      </c>
      <c r="U454" s="190">
        <v>5775.2729944166904</v>
      </c>
      <c r="V454" s="221">
        <f>U454-T454</f>
        <v>1746.1680575962382</v>
      </c>
      <c r="W454" s="221">
        <f>X454+Y454+Z454+AA454+AB454+AD454+AF454+AH454+AJ454+AL454+AN454+AO454</f>
        <v>5536.734704672348</v>
      </c>
      <c r="X454" s="221">
        <v>0</v>
      </c>
      <c r="Y454" s="222">
        <v>0</v>
      </c>
      <c r="Z454" s="222">
        <v>0</v>
      </c>
      <c r="AA454" s="222">
        <v>0</v>
      </c>
      <c r="AB454" s="222">
        <v>0</v>
      </c>
      <c r="AC454" s="222">
        <v>0</v>
      </c>
      <c r="AD454" s="222">
        <v>0</v>
      </c>
      <c r="AE454" s="222">
        <v>302</v>
      </c>
      <c r="AF454" s="221">
        <f>6238.91*AE454/I454</f>
        <v>5536.734704672348</v>
      </c>
      <c r="AG454" s="222">
        <v>0</v>
      </c>
      <c r="AH454" s="221">
        <v>0</v>
      </c>
      <c r="AI454" s="222">
        <v>0</v>
      </c>
      <c r="AJ454" s="221">
        <v>0</v>
      </c>
      <c r="AK454" s="222">
        <v>0</v>
      </c>
      <c r="AL454" s="222">
        <v>0</v>
      </c>
      <c r="AM454" s="222">
        <v>0</v>
      </c>
      <c r="AN454" s="222"/>
      <c r="AO454" s="222">
        <v>0</v>
      </c>
    </row>
    <row r="455" spans="1:41" s="223" customFormat="1" ht="36" customHeight="1" x14ac:dyDescent="0.25">
      <c r="B455" s="215" t="s">
        <v>1288</v>
      </c>
      <c r="C455" s="215"/>
      <c r="D455" s="217" t="s">
        <v>751</v>
      </c>
      <c r="E455" s="217" t="s">
        <v>751</v>
      </c>
      <c r="F455" s="217" t="s">
        <v>751</v>
      </c>
      <c r="G455" s="217" t="s">
        <v>751</v>
      </c>
      <c r="H455" s="217" t="s">
        <v>751</v>
      </c>
      <c r="I455" s="190">
        <f>I456</f>
        <v>953.9</v>
      </c>
      <c r="J455" s="190">
        <f>J456</f>
        <v>865.7</v>
      </c>
      <c r="K455" s="190">
        <f>K456</f>
        <v>865.7</v>
      </c>
      <c r="L455" s="231">
        <f>L456</f>
        <v>28</v>
      </c>
      <c r="M455" s="217" t="s">
        <v>751</v>
      </c>
      <c r="N455" s="217" t="s">
        <v>751</v>
      </c>
      <c r="O455" s="220" t="s">
        <v>751</v>
      </c>
      <c r="P455" s="190">
        <v>40161.910000000003</v>
      </c>
      <c r="Q455" s="190">
        <f>Q456</f>
        <v>0</v>
      </c>
      <c r="R455" s="190">
        <f>R456</f>
        <v>0</v>
      </c>
      <c r="S455" s="190">
        <f>S456</f>
        <v>40161.910000000003</v>
      </c>
      <c r="T455" s="190">
        <f t="shared" si="42"/>
        <v>42.102851451934171</v>
      </c>
      <c r="U455" s="190">
        <f>U456</f>
        <v>42.102851451934171</v>
      </c>
      <c r="V455" s="221">
        <f t="shared" si="46"/>
        <v>0</v>
      </c>
      <c r="W455" s="221"/>
      <c r="X455" s="221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</row>
    <row r="456" spans="1:41" s="223" customFormat="1" ht="36" customHeight="1" x14ac:dyDescent="0.25">
      <c r="A456" s="223">
        <v>1</v>
      </c>
      <c r="B456" s="225">
        <f>SUBTOTAL(103,$A$16:A456)</f>
        <v>397</v>
      </c>
      <c r="C456" s="215" t="s">
        <v>1289</v>
      </c>
      <c r="D456" s="217">
        <v>1984</v>
      </c>
      <c r="E456" s="217"/>
      <c r="F456" s="226" t="s">
        <v>267</v>
      </c>
      <c r="G456" s="217">
        <v>2</v>
      </c>
      <c r="H456" s="217" t="s">
        <v>312</v>
      </c>
      <c r="I456" s="190">
        <v>953.9</v>
      </c>
      <c r="J456" s="190">
        <v>865.7</v>
      </c>
      <c r="K456" s="190">
        <v>865.7</v>
      </c>
      <c r="L456" s="219">
        <v>28</v>
      </c>
      <c r="M456" s="217" t="s">
        <v>265</v>
      </c>
      <c r="N456" s="217" t="s">
        <v>266</v>
      </c>
      <c r="O456" s="220" t="s">
        <v>268</v>
      </c>
      <c r="P456" s="190">
        <v>40161.910000000003</v>
      </c>
      <c r="Q456" s="190">
        <v>0</v>
      </c>
      <c r="R456" s="190">
        <v>0</v>
      </c>
      <c r="S456" s="190">
        <f>P456-Q456-R456</f>
        <v>40161.910000000003</v>
      </c>
      <c r="T456" s="190">
        <f t="shared" si="42"/>
        <v>42.102851451934171</v>
      </c>
      <c r="U456" s="190">
        <v>42.102851451934171</v>
      </c>
      <c r="V456" s="221">
        <f>U456-T456</f>
        <v>0</v>
      </c>
      <c r="W456" s="221">
        <f>T456</f>
        <v>42.102851451934171</v>
      </c>
      <c r="X456" s="221">
        <v>0</v>
      </c>
      <c r="Y456" s="222">
        <v>0</v>
      </c>
      <c r="Z456" s="222">
        <v>0</v>
      </c>
      <c r="AA456" s="222">
        <v>0</v>
      </c>
      <c r="AB456" s="222">
        <v>0</v>
      </c>
      <c r="AC456" s="222">
        <v>0</v>
      </c>
      <c r="AD456" s="222">
        <v>0</v>
      </c>
      <c r="AE456" s="222">
        <v>735</v>
      </c>
      <c r="AF456" s="221">
        <f>6436.53*AE456/I456</f>
        <v>4959.4816542614526</v>
      </c>
      <c r="AG456" s="222">
        <v>0</v>
      </c>
      <c r="AH456" s="221">
        <v>0</v>
      </c>
      <c r="AI456" s="222">
        <v>0</v>
      </c>
      <c r="AJ456" s="221">
        <v>0</v>
      </c>
      <c r="AK456" s="222">
        <v>0</v>
      </c>
      <c r="AL456" s="222">
        <v>0</v>
      </c>
      <c r="AM456" s="222">
        <v>0</v>
      </c>
      <c r="AN456" s="222"/>
      <c r="AO456" s="222">
        <v>0</v>
      </c>
    </row>
    <row r="457" spans="1:41" s="223" customFormat="1" ht="36" customHeight="1" x14ac:dyDescent="0.25">
      <c r="B457" s="215" t="s">
        <v>849</v>
      </c>
      <c r="C457" s="227"/>
      <c r="D457" s="217" t="s">
        <v>751</v>
      </c>
      <c r="E457" s="217" t="s">
        <v>751</v>
      </c>
      <c r="F457" s="217" t="s">
        <v>751</v>
      </c>
      <c r="G457" s="217" t="s">
        <v>751</v>
      </c>
      <c r="H457" s="217" t="s">
        <v>751</v>
      </c>
      <c r="I457" s="190">
        <f>I458</f>
        <v>1446.38</v>
      </c>
      <c r="J457" s="190">
        <f>J458</f>
        <v>996.18</v>
      </c>
      <c r="K457" s="190">
        <f>K458</f>
        <v>996.18</v>
      </c>
      <c r="L457" s="231">
        <f>L458</f>
        <v>78</v>
      </c>
      <c r="M457" s="217" t="s">
        <v>751</v>
      </c>
      <c r="N457" s="217" t="s">
        <v>751</v>
      </c>
      <c r="O457" s="220" t="s">
        <v>751</v>
      </c>
      <c r="P457" s="190">
        <v>127877.6</v>
      </c>
      <c r="Q457" s="190">
        <f>Q458</f>
        <v>0</v>
      </c>
      <c r="R457" s="190">
        <f>R458</f>
        <v>0</v>
      </c>
      <c r="S457" s="190">
        <f>S458</f>
        <v>127877.6</v>
      </c>
      <c r="T457" s="190">
        <f t="shared" si="42"/>
        <v>88.412173840899342</v>
      </c>
      <c r="U457" s="190">
        <f>MAX(U458)</f>
        <v>88.412173840899342</v>
      </c>
      <c r="V457" s="221">
        <f t="shared" si="46"/>
        <v>0</v>
      </c>
      <c r="W457" s="221"/>
      <c r="X457" s="221"/>
      <c r="Y457" s="222"/>
      <c r="Z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  <c r="AL457" s="222"/>
      <c r="AM457" s="222"/>
      <c r="AN457" s="222"/>
      <c r="AO457" s="222"/>
    </row>
    <row r="458" spans="1:41" s="223" customFormat="1" ht="36" customHeight="1" x14ac:dyDescent="0.25">
      <c r="A458" s="223">
        <v>1</v>
      </c>
      <c r="B458" s="225">
        <f>SUBTOTAL(103,$A$16:A458)</f>
        <v>398</v>
      </c>
      <c r="C458" s="215" t="s">
        <v>139</v>
      </c>
      <c r="D458" s="217">
        <v>1969</v>
      </c>
      <c r="E458" s="217"/>
      <c r="F458" s="226" t="s">
        <v>267</v>
      </c>
      <c r="G458" s="217">
        <v>2</v>
      </c>
      <c r="H458" s="217" t="s">
        <v>304</v>
      </c>
      <c r="I458" s="190">
        <v>1446.38</v>
      </c>
      <c r="J458" s="190">
        <v>996.18</v>
      </c>
      <c r="K458" s="190">
        <v>996.18</v>
      </c>
      <c r="L458" s="219">
        <v>78</v>
      </c>
      <c r="M458" s="217" t="s">
        <v>265</v>
      </c>
      <c r="N458" s="217" t="s">
        <v>269</v>
      </c>
      <c r="O458" s="220" t="s">
        <v>993</v>
      </c>
      <c r="P458" s="190">
        <v>127877.6</v>
      </c>
      <c r="Q458" s="190">
        <v>0</v>
      </c>
      <c r="R458" s="190">
        <v>0</v>
      </c>
      <c r="S458" s="190">
        <f>P458-Q458-R458</f>
        <v>127877.6</v>
      </c>
      <c r="T458" s="190">
        <f t="shared" si="42"/>
        <v>88.412173840899342</v>
      </c>
      <c r="U458" s="190">
        <v>88.412173840899342</v>
      </c>
      <c r="V458" s="221">
        <f>U458-T458</f>
        <v>0</v>
      </c>
      <c r="W458" s="221">
        <f>X458+Y458+Z458+AA458+AB458+AD458+AF458+AH458+AJ458+AL458+AN458+AO458</f>
        <v>4227.1960342371985</v>
      </c>
      <c r="X458" s="221">
        <v>0</v>
      </c>
      <c r="Y458" s="222">
        <v>0</v>
      </c>
      <c r="Z458" s="222">
        <v>0</v>
      </c>
      <c r="AA458" s="222">
        <v>0</v>
      </c>
      <c r="AB458" s="222">
        <v>0</v>
      </c>
      <c r="AC458" s="222">
        <v>0</v>
      </c>
      <c r="AD458" s="222">
        <v>0</v>
      </c>
      <c r="AE458" s="222">
        <v>980</v>
      </c>
      <c r="AF458" s="221">
        <f>6238.91*AE458/I458</f>
        <v>4227.1960342371985</v>
      </c>
      <c r="AG458" s="222">
        <v>0</v>
      </c>
      <c r="AH458" s="221">
        <v>0</v>
      </c>
      <c r="AI458" s="222">
        <v>0</v>
      </c>
      <c r="AJ458" s="221">
        <v>0</v>
      </c>
      <c r="AK458" s="222">
        <v>0</v>
      </c>
      <c r="AL458" s="222">
        <v>0</v>
      </c>
      <c r="AM458" s="222">
        <v>0</v>
      </c>
      <c r="AN458" s="222"/>
      <c r="AO458" s="222">
        <v>0</v>
      </c>
    </row>
    <row r="459" spans="1:41" s="223" customFormat="1" ht="36" customHeight="1" x14ac:dyDescent="0.25">
      <c r="B459" s="215" t="s">
        <v>850</v>
      </c>
      <c r="C459" s="215"/>
      <c r="D459" s="217" t="s">
        <v>751</v>
      </c>
      <c r="E459" s="217" t="s">
        <v>751</v>
      </c>
      <c r="F459" s="217" t="s">
        <v>751</v>
      </c>
      <c r="G459" s="217" t="s">
        <v>751</v>
      </c>
      <c r="H459" s="217" t="s">
        <v>751</v>
      </c>
      <c r="I459" s="190">
        <f>I460</f>
        <v>676.3</v>
      </c>
      <c r="J459" s="190">
        <f>J460</f>
        <v>633.29999999999995</v>
      </c>
      <c r="K459" s="190">
        <f>K460</f>
        <v>633.29999999999995</v>
      </c>
      <c r="L459" s="231">
        <f>L460</f>
        <v>32</v>
      </c>
      <c r="M459" s="217" t="s">
        <v>751</v>
      </c>
      <c r="N459" s="217" t="s">
        <v>751</v>
      </c>
      <c r="O459" s="220" t="s">
        <v>751</v>
      </c>
      <c r="P459" s="190">
        <v>87573.72</v>
      </c>
      <c r="Q459" s="190">
        <f>Q460</f>
        <v>0</v>
      </c>
      <c r="R459" s="190">
        <f>R460</f>
        <v>0</v>
      </c>
      <c r="S459" s="190">
        <f>S460</f>
        <v>87573.72</v>
      </c>
      <c r="T459" s="190">
        <f t="shared" si="42"/>
        <v>129.48945734141654</v>
      </c>
      <c r="U459" s="190">
        <f>MAX(U460)</f>
        <v>129.48945734141654</v>
      </c>
      <c r="V459" s="221">
        <f t="shared" si="46"/>
        <v>0</v>
      </c>
      <c r="W459" s="221"/>
      <c r="X459" s="221"/>
      <c r="Y459" s="222"/>
      <c r="Z459" s="222"/>
      <c r="AA459" s="222"/>
      <c r="AB459" s="222"/>
      <c r="AC459" s="222"/>
      <c r="AD459" s="222"/>
      <c r="AE459" s="222"/>
      <c r="AF459" s="222"/>
      <c r="AG459" s="222"/>
      <c r="AH459" s="222"/>
      <c r="AI459" s="222"/>
      <c r="AJ459" s="222"/>
      <c r="AK459" s="222"/>
      <c r="AL459" s="222"/>
      <c r="AM459" s="222"/>
      <c r="AN459" s="222"/>
      <c r="AO459" s="222"/>
    </row>
    <row r="460" spans="1:41" s="223" customFormat="1" ht="36" customHeight="1" x14ac:dyDescent="0.25">
      <c r="A460" s="223">
        <v>1</v>
      </c>
      <c r="B460" s="225">
        <f>SUBTOTAL(103,$A$16:A460)</f>
        <v>399</v>
      </c>
      <c r="C460" s="215" t="s">
        <v>144</v>
      </c>
      <c r="D460" s="217">
        <v>1965</v>
      </c>
      <c r="E460" s="217"/>
      <c r="F460" s="226" t="s">
        <v>267</v>
      </c>
      <c r="G460" s="217">
        <v>2</v>
      </c>
      <c r="H460" s="217" t="s">
        <v>303</v>
      </c>
      <c r="I460" s="190">
        <v>676.3</v>
      </c>
      <c r="J460" s="190">
        <v>633.29999999999995</v>
      </c>
      <c r="K460" s="190">
        <v>633.29999999999995</v>
      </c>
      <c r="L460" s="219">
        <v>32</v>
      </c>
      <c r="M460" s="217" t="s">
        <v>265</v>
      </c>
      <c r="N460" s="217" t="s">
        <v>269</v>
      </c>
      <c r="O460" s="220" t="s">
        <v>288</v>
      </c>
      <c r="P460" s="190">
        <v>87573.72</v>
      </c>
      <c r="Q460" s="190">
        <v>0</v>
      </c>
      <c r="R460" s="190">
        <v>0</v>
      </c>
      <c r="S460" s="190">
        <f>P460-Q460-R460</f>
        <v>87573.72</v>
      </c>
      <c r="T460" s="190">
        <f t="shared" si="42"/>
        <v>129.48945734141654</v>
      </c>
      <c r="U460" s="190">
        <v>129.48945734141654</v>
      </c>
      <c r="V460" s="221">
        <f>U460-T460</f>
        <v>0</v>
      </c>
      <c r="W460" s="221">
        <f>X460+Y460+Z460+AA460+AB460+AD460+AF460+AH460+AJ460+AL460+AN460+AO460</f>
        <v>5803.4604739822853</v>
      </c>
      <c r="X460" s="221">
        <v>0</v>
      </c>
      <c r="Y460" s="222">
        <v>0</v>
      </c>
      <c r="Z460" s="222">
        <v>0</v>
      </c>
      <c r="AA460" s="222">
        <v>0</v>
      </c>
      <c r="AB460" s="222">
        <v>0</v>
      </c>
      <c r="AC460" s="222">
        <v>0</v>
      </c>
      <c r="AD460" s="222">
        <v>0</v>
      </c>
      <c r="AE460" s="222">
        <v>629.09712090000005</v>
      </c>
      <c r="AF460" s="221">
        <f>6238.91*AE460/I460</f>
        <v>5803.4604739822853</v>
      </c>
      <c r="AG460" s="222">
        <v>0</v>
      </c>
      <c r="AH460" s="221">
        <v>0</v>
      </c>
      <c r="AI460" s="222">
        <v>0</v>
      </c>
      <c r="AJ460" s="221">
        <v>0</v>
      </c>
      <c r="AK460" s="222">
        <v>0</v>
      </c>
      <c r="AL460" s="222">
        <v>0</v>
      </c>
      <c r="AM460" s="222">
        <v>0</v>
      </c>
      <c r="AN460" s="222"/>
      <c r="AO460" s="222">
        <v>0</v>
      </c>
    </row>
    <row r="461" spans="1:41" s="223" customFormat="1" ht="36" customHeight="1" x14ac:dyDescent="0.25">
      <c r="B461" s="215" t="s">
        <v>851</v>
      </c>
      <c r="C461" s="215"/>
      <c r="D461" s="217" t="s">
        <v>890</v>
      </c>
      <c r="E461" s="217" t="s">
        <v>890</v>
      </c>
      <c r="F461" s="217" t="s">
        <v>890</v>
      </c>
      <c r="G461" s="217" t="s">
        <v>890</v>
      </c>
      <c r="H461" s="217" t="s">
        <v>890</v>
      </c>
      <c r="I461" s="218">
        <f>SUM(I462:I466)</f>
        <v>3130</v>
      </c>
      <c r="J461" s="218">
        <f>SUM(J462:J466)</f>
        <v>2960</v>
      </c>
      <c r="K461" s="218">
        <f>SUM(K462:K466)</f>
        <v>2960</v>
      </c>
      <c r="L461" s="219">
        <f>SUM(L462:L466)</f>
        <v>140</v>
      </c>
      <c r="M461" s="217" t="s">
        <v>890</v>
      </c>
      <c r="N461" s="217" t="s">
        <v>890</v>
      </c>
      <c r="O461" s="220" t="s">
        <v>890</v>
      </c>
      <c r="P461" s="190">
        <v>3911488.5799999996</v>
      </c>
      <c r="Q461" s="190">
        <f>SUM(Q462:Q466)</f>
        <v>0</v>
      </c>
      <c r="R461" s="190">
        <f>SUM(R462:R466)</f>
        <v>0</v>
      </c>
      <c r="S461" s="190">
        <f>SUM(S462:S466)</f>
        <v>3911488.5799999996</v>
      </c>
      <c r="T461" s="190">
        <f t="shared" ref="T461:T524" si="51">P461/I461</f>
        <v>1249.6768626198082</v>
      </c>
      <c r="U461" s="190">
        <f>MAX(U462:U466)</f>
        <v>9525.555317439057</v>
      </c>
      <c r="V461" s="221">
        <f t="shared" si="46"/>
        <v>8275.8784548192489</v>
      </c>
      <c r="W461" s="221"/>
      <c r="X461" s="221"/>
      <c r="Y461" s="222"/>
      <c r="Z461" s="222"/>
      <c r="AA461" s="222"/>
      <c r="AB461" s="222"/>
      <c r="AC461" s="222"/>
      <c r="AD461" s="222"/>
      <c r="AE461" s="222"/>
      <c r="AF461" s="222"/>
      <c r="AG461" s="222"/>
      <c r="AH461" s="222"/>
      <c r="AI461" s="222"/>
      <c r="AJ461" s="222"/>
      <c r="AK461" s="222"/>
      <c r="AL461" s="222"/>
      <c r="AM461" s="222"/>
      <c r="AN461" s="222"/>
      <c r="AO461" s="222"/>
    </row>
    <row r="462" spans="1:41" s="223" customFormat="1" ht="36" customHeight="1" x14ac:dyDescent="0.25">
      <c r="A462" s="223">
        <v>1</v>
      </c>
      <c r="B462" s="225">
        <f>SUBTOTAL(103,$A$16:A462)</f>
        <v>400</v>
      </c>
      <c r="C462" s="215" t="s">
        <v>142</v>
      </c>
      <c r="D462" s="217">
        <v>1983</v>
      </c>
      <c r="E462" s="217"/>
      <c r="F462" s="226" t="s">
        <v>267</v>
      </c>
      <c r="G462" s="217">
        <v>3</v>
      </c>
      <c r="H462" s="217" t="s">
        <v>303</v>
      </c>
      <c r="I462" s="190">
        <v>1387.1</v>
      </c>
      <c r="J462" s="190">
        <v>1285.0999999999999</v>
      </c>
      <c r="K462" s="190">
        <v>1285.0999999999999</v>
      </c>
      <c r="L462" s="219">
        <v>58</v>
      </c>
      <c r="M462" s="217" t="s">
        <v>265</v>
      </c>
      <c r="N462" s="217" t="s">
        <v>269</v>
      </c>
      <c r="O462" s="220" t="s">
        <v>289</v>
      </c>
      <c r="P462" s="190">
        <v>141265.9</v>
      </c>
      <c r="Q462" s="190">
        <v>0</v>
      </c>
      <c r="R462" s="190">
        <v>0</v>
      </c>
      <c r="S462" s="190">
        <f>P462-Q462-R462</f>
        <v>141265.9</v>
      </c>
      <c r="T462" s="190">
        <f t="shared" si="51"/>
        <v>101.84262129622955</v>
      </c>
      <c r="U462" s="190">
        <v>101.84262129622955</v>
      </c>
      <c r="V462" s="221">
        <f t="shared" si="46"/>
        <v>0</v>
      </c>
      <c r="W462" s="221">
        <f>T462</f>
        <v>101.84262129622955</v>
      </c>
      <c r="X462" s="221">
        <v>0</v>
      </c>
      <c r="Y462" s="222">
        <v>0</v>
      </c>
      <c r="Z462" s="222">
        <v>0</v>
      </c>
      <c r="AA462" s="222">
        <v>0</v>
      </c>
      <c r="AB462" s="222">
        <v>0</v>
      </c>
      <c r="AC462" s="222">
        <v>0</v>
      </c>
      <c r="AD462" s="222">
        <v>0</v>
      </c>
      <c r="AE462" s="222">
        <v>0</v>
      </c>
      <c r="AF462" s="221">
        <v>0</v>
      </c>
      <c r="AG462" s="222">
        <v>0</v>
      </c>
      <c r="AH462" s="221">
        <v>0</v>
      </c>
      <c r="AI462" s="222">
        <v>0</v>
      </c>
      <c r="AJ462" s="221">
        <v>0</v>
      </c>
      <c r="AK462" s="222">
        <v>0</v>
      </c>
      <c r="AL462" s="222">
        <v>0</v>
      </c>
      <c r="AM462" s="222">
        <v>583.41</v>
      </c>
      <c r="AN462" s="222">
        <f>6984.52*AM462/I462</f>
        <v>2937.6676614519506</v>
      </c>
      <c r="AO462" s="222">
        <v>0</v>
      </c>
    </row>
    <row r="463" spans="1:41" s="223" customFormat="1" ht="36" customHeight="1" x14ac:dyDescent="0.25">
      <c r="A463" s="223">
        <v>1</v>
      </c>
      <c r="B463" s="225">
        <f>SUBTOTAL(103,$A$16:A463)</f>
        <v>401</v>
      </c>
      <c r="C463" s="215" t="s">
        <v>143</v>
      </c>
      <c r="D463" s="217">
        <v>1964</v>
      </c>
      <c r="E463" s="217"/>
      <c r="F463" s="226" t="s">
        <v>267</v>
      </c>
      <c r="G463" s="217">
        <v>2</v>
      </c>
      <c r="H463" s="217" t="s">
        <v>304</v>
      </c>
      <c r="I463" s="190">
        <v>337.2</v>
      </c>
      <c r="J463" s="190">
        <v>337.2</v>
      </c>
      <c r="K463" s="190">
        <v>337.2</v>
      </c>
      <c r="L463" s="219">
        <v>18</v>
      </c>
      <c r="M463" s="217" t="s">
        <v>265</v>
      </c>
      <c r="N463" s="217" t="s">
        <v>269</v>
      </c>
      <c r="O463" s="220" t="s">
        <v>289</v>
      </c>
      <c r="P463" s="190">
        <v>1216558.3500000001</v>
      </c>
      <c r="Q463" s="190">
        <v>0</v>
      </c>
      <c r="R463" s="190">
        <v>0</v>
      </c>
      <c r="S463" s="190">
        <f>P463-Q463-R463</f>
        <v>1216558.3500000001</v>
      </c>
      <c r="T463" s="190">
        <f t="shared" si="51"/>
        <v>3607.8242882562281</v>
      </c>
      <c r="U463" s="190">
        <v>6133.2949584816133</v>
      </c>
      <c r="V463" s="221">
        <f t="shared" si="46"/>
        <v>2525.4706702253852</v>
      </c>
      <c r="W463" s="221">
        <f>X463+Y463+Z463+AA463+AB463+AD463+AF463+AH463+AJ463+AL463+AN463+AO463</f>
        <v>5879.9691518386717</v>
      </c>
      <c r="X463" s="221">
        <v>0</v>
      </c>
      <c r="Y463" s="222">
        <v>0</v>
      </c>
      <c r="Z463" s="222">
        <v>0</v>
      </c>
      <c r="AA463" s="222">
        <v>0</v>
      </c>
      <c r="AB463" s="222">
        <v>0</v>
      </c>
      <c r="AC463" s="222">
        <v>0</v>
      </c>
      <c r="AD463" s="222">
        <v>0</v>
      </c>
      <c r="AE463" s="222">
        <v>317.8</v>
      </c>
      <c r="AF463" s="221">
        <f>6238.91*AE463/I463</f>
        <v>5879.9691518386717</v>
      </c>
      <c r="AG463" s="222">
        <v>0</v>
      </c>
      <c r="AH463" s="221">
        <v>0</v>
      </c>
      <c r="AI463" s="222">
        <v>0</v>
      </c>
      <c r="AJ463" s="221">
        <v>0</v>
      </c>
      <c r="AK463" s="222">
        <v>0</v>
      </c>
      <c r="AL463" s="222">
        <v>0</v>
      </c>
      <c r="AM463" s="222">
        <v>0</v>
      </c>
      <c r="AN463" s="222"/>
      <c r="AO463" s="222">
        <v>0</v>
      </c>
    </row>
    <row r="464" spans="1:41" s="223" customFormat="1" ht="36" customHeight="1" x14ac:dyDescent="0.25">
      <c r="A464" s="223">
        <v>1</v>
      </c>
      <c r="B464" s="225">
        <f>SUBTOTAL(103,$A$16:A464)</f>
        <v>402</v>
      </c>
      <c r="C464" s="215" t="s">
        <v>1259</v>
      </c>
      <c r="D464" s="217">
        <v>1962</v>
      </c>
      <c r="E464" s="217"/>
      <c r="F464" s="226" t="s">
        <v>267</v>
      </c>
      <c r="G464" s="217">
        <v>2</v>
      </c>
      <c r="H464" s="217" t="s">
        <v>304</v>
      </c>
      <c r="I464" s="190">
        <v>373.3</v>
      </c>
      <c r="J464" s="190">
        <v>373.3</v>
      </c>
      <c r="K464" s="190">
        <v>373.3</v>
      </c>
      <c r="L464" s="219">
        <v>21</v>
      </c>
      <c r="M464" s="217" t="s">
        <v>265</v>
      </c>
      <c r="N464" s="217" t="s">
        <v>266</v>
      </c>
      <c r="O464" s="220" t="s">
        <v>268</v>
      </c>
      <c r="P464" s="190">
        <v>1576619.73</v>
      </c>
      <c r="Q464" s="190">
        <v>0</v>
      </c>
      <c r="R464" s="190">
        <v>0</v>
      </c>
      <c r="S464" s="190">
        <f>P464-Q464-R464</f>
        <v>1576619.73</v>
      </c>
      <c r="T464" s="190">
        <f t="shared" si="51"/>
        <v>4223.4656576480038</v>
      </c>
      <c r="U464" s="190">
        <v>9525.555317439057</v>
      </c>
      <c r="V464" s="221">
        <f t="shared" ref="V464:V465" si="52">U464-T464</f>
        <v>5302.0896597910532</v>
      </c>
      <c r="W464" s="221">
        <f>X464+Y464+Z464+AA464+AB464+AD464+AF464+AH464+AJ464+AL464+AN464+AO464</f>
        <v>6309.1858023037767</v>
      </c>
      <c r="X464" s="221">
        <v>0</v>
      </c>
      <c r="Y464" s="222">
        <v>0</v>
      </c>
      <c r="Z464" s="222">
        <v>0</v>
      </c>
      <c r="AA464" s="222">
        <v>0</v>
      </c>
      <c r="AB464" s="222">
        <v>0</v>
      </c>
      <c r="AC464" s="222">
        <v>0</v>
      </c>
      <c r="AD464" s="222">
        <v>0</v>
      </c>
      <c r="AE464" s="222">
        <v>0</v>
      </c>
      <c r="AF464" s="221">
        <v>0</v>
      </c>
      <c r="AG464" s="222">
        <v>0</v>
      </c>
      <c r="AH464" s="221">
        <v>0</v>
      </c>
      <c r="AI464" s="222">
        <v>316.60000000000002</v>
      </c>
      <c r="AJ464" s="221">
        <f>7439.1*AI464/I464</f>
        <v>6309.1858023037767</v>
      </c>
      <c r="AK464" s="222">
        <v>0</v>
      </c>
      <c r="AL464" s="222">
        <v>0</v>
      </c>
      <c r="AM464" s="222">
        <v>0</v>
      </c>
      <c r="AN464" s="222"/>
      <c r="AO464" s="222">
        <v>0</v>
      </c>
    </row>
    <row r="465" spans="1:41" s="223" customFormat="1" ht="36" customHeight="1" x14ac:dyDescent="0.25">
      <c r="A465" s="223">
        <v>1</v>
      </c>
      <c r="B465" s="225">
        <f>SUBTOTAL(103,$A$16:A465)</f>
        <v>403</v>
      </c>
      <c r="C465" s="215" t="s">
        <v>1260</v>
      </c>
      <c r="D465" s="217">
        <v>1961</v>
      </c>
      <c r="E465" s="217"/>
      <c r="F465" s="226" t="s">
        <v>267</v>
      </c>
      <c r="G465" s="217">
        <v>2</v>
      </c>
      <c r="H465" s="217" t="s">
        <v>304</v>
      </c>
      <c r="I465" s="190">
        <v>230.2</v>
      </c>
      <c r="J465" s="190">
        <v>230.2</v>
      </c>
      <c r="K465" s="190">
        <v>230.2</v>
      </c>
      <c r="L465" s="219">
        <v>7</v>
      </c>
      <c r="M465" s="217" t="s">
        <v>265</v>
      </c>
      <c r="N465" s="217" t="s">
        <v>269</v>
      </c>
      <c r="O465" s="220" t="s">
        <v>289</v>
      </c>
      <c r="P465" s="190">
        <v>890333.29999999993</v>
      </c>
      <c r="Q465" s="190">
        <v>0</v>
      </c>
      <c r="R465" s="190">
        <v>0</v>
      </c>
      <c r="S465" s="190">
        <f>P465-Q465-R465</f>
        <v>890333.29999999993</v>
      </c>
      <c r="T465" s="190">
        <f t="shared" si="51"/>
        <v>3867.6511728931364</v>
      </c>
      <c r="U465" s="190">
        <v>6242.4748913987842</v>
      </c>
      <c r="V465" s="221">
        <f t="shared" si="52"/>
        <v>2374.8237185056478</v>
      </c>
      <c r="W465" s="221">
        <f>T465</f>
        <v>3867.6511728931364</v>
      </c>
      <c r="X465" s="221">
        <v>0</v>
      </c>
      <c r="Y465" s="222">
        <v>0</v>
      </c>
      <c r="Z465" s="222">
        <v>0</v>
      </c>
      <c r="AA465" s="222">
        <v>0</v>
      </c>
      <c r="AB465" s="222">
        <v>0</v>
      </c>
      <c r="AC465" s="222">
        <v>0</v>
      </c>
      <c r="AD465" s="222">
        <v>0</v>
      </c>
      <c r="AE465" s="222">
        <v>189.8</v>
      </c>
      <c r="AF465" s="221">
        <f>6436.53*AE465/I465</f>
        <v>5306.9217810599484</v>
      </c>
      <c r="AG465" s="222">
        <v>0</v>
      </c>
      <c r="AH465" s="221">
        <v>0</v>
      </c>
      <c r="AI465" s="222">
        <v>0</v>
      </c>
      <c r="AJ465" s="221">
        <v>0</v>
      </c>
      <c r="AK465" s="222">
        <v>0</v>
      </c>
      <c r="AL465" s="222">
        <v>0</v>
      </c>
      <c r="AM465" s="222">
        <v>0</v>
      </c>
      <c r="AN465" s="222"/>
      <c r="AO465" s="222">
        <v>0</v>
      </c>
    </row>
    <row r="466" spans="1:41" s="223" customFormat="1" ht="36" customHeight="1" x14ac:dyDescent="0.25">
      <c r="A466" s="223">
        <v>1</v>
      </c>
      <c r="B466" s="225">
        <f>SUBTOTAL(103,$A$16:A466)</f>
        <v>404</v>
      </c>
      <c r="C466" s="215" t="s">
        <v>1295</v>
      </c>
      <c r="D466" s="217">
        <v>1974</v>
      </c>
      <c r="E466" s="217"/>
      <c r="F466" s="226" t="s">
        <v>267</v>
      </c>
      <c r="G466" s="217">
        <v>2</v>
      </c>
      <c r="H466" s="217" t="s">
        <v>303</v>
      </c>
      <c r="I466" s="190">
        <v>802.2</v>
      </c>
      <c r="J466" s="190">
        <v>734.2</v>
      </c>
      <c r="K466" s="190">
        <v>734.2</v>
      </c>
      <c r="L466" s="219">
        <v>36</v>
      </c>
      <c r="M466" s="217" t="s">
        <v>265</v>
      </c>
      <c r="N466" s="217" t="s">
        <v>266</v>
      </c>
      <c r="O466" s="220" t="s">
        <v>268</v>
      </c>
      <c r="P466" s="190">
        <v>86711.3</v>
      </c>
      <c r="Q466" s="190">
        <v>0</v>
      </c>
      <c r="R466" s="190">
        <v>0</v>
      </c>
      <c r="S466" s="190">
        <f>P466-Q466-R466</f>
        <v>86711.3</v>
      </c>
      <c r="T466" s="190">
        <f t="shared" si="51"/>
        <v>108.09187235103465</v>
      </c>
      <c r="U466" s="190">
        <v>108.09187235103465</v>
      </c>
      <c r="V466" s="221">
        <f>U466-T466</f>
        <v>0</v>
      </c>
      <c r="W466" s="221">
        <f>X466+Y466+Z466+AA466+AB466+AD466+AF466+AH466+AJ466+AL466+AN466+AO466</f>
        <v>4641.4628371977051</v>
      </c>
      <c r="X466" s="221">
        <v>0</v>
      </c>
      <c r="Y466" s="222">
        <v>0</v>
      </c>
      <c r="Z466" s="222">
        <v>0</v>
      </c>
      <c r="AA466" s="222">
        <v>0</v>
      </c>
      <c r="AB466" s="222">
        <v>0</v>
      </c>
      <c r="AC466" s="222">
        <v>0</v>
      </c>
      <c r="AD466" s="222">
        <v>0</v>
      </c>
      <c r="AE466" s="222">
        <v>596.79999999999995</v>
      </c>
      <c r="AF466" s="221">
        <f>6238.91*AE466/I466</f>
        <v>4641.4628371977051</v>
      </c>
      <c r="AG466" s="222">
        <v>0</v>
      </c>
      <c r="AH466" s="221">
        <v>0</v>
      </c>
      <c r="AI466" s="222">
        <v>0</v>
      </c>
      <c r="AJ466" s="221">
        <v>0</v>
      </c>
      <c r="AK466" s="222">
        <v>0</v>
      </c>
      <c r="AL466" s="222">
        <v>0</v>
      </c>
      <c r="AM466" s="222">
        <v>0</v>
      </c>
      <c r="AN466" s="222"/>
      <c r="AO466" s="222">
        <v>0</v>
      </c>
    </row>
    <row r="467" spans="1:41" s="223" customFormat="1" ht="36" customHeight="1" x14ac:dyDescent="0.25">
      <c r="B467" s="215" t="s">
        <v>852</v>
      </c>
      <c r="C467" s="215"/>
      <c r="D467" s="217" t="s">
        <v>890</v>
      </c>
      <c r="E467" s="217" t="s">
        <v>890</v>
      </c>
      <c r="F467" s="217" t="s">
        <v>890</v>
      </c>
      <c r="G467" s="217" t="s">
        <v>890</v>
      </c>
      <c r="H467" s="217" t="s">
        <v>890</v>
      </c>
      <c r="I467" s="218">
        <f>SUM(I468:I478)</f>
        <v>36117.07</v>
      </c>
      <c r="J467" s="218">
        <f>SUM(J468:J478)</f>
        <v>29322.149999999998</v>
      </c>
      <c r="K467" s="218">
        <f>SUM(K468:K478)</f>
        <v>29294.05</v>
      </c>
      <c r="L467" s="219">
        <f>SUM(L468:L478)</f>
        <v>1569</v>
      </c>
      <c r="M467" s="217" t="s">
        <v>890</v>
      </c>
      <c r="N467" s="217" t="s">
        <v>890</v>
      </c>
      <c r="O467" s="220" t="s">
        <v>890</v>
      </c>
      <c r="P467" s="218">
        <v>23896075.439999998</v>
      </c>
      <c r="Q467" s="218">
        <f>SUM(Q468:Q478)</f>
        <v>0</v>
      </c>
      <c r="R467" s="218">
        <f>SUM(R468:R478)</f>
        <v>0</v>
      </c>
      <c r="S467" s="218">
        <f>SUM(S468:S478)</f>
        <v>23896075.439999998</v>
      </c>
      <c r="T467" s="190">
        <f t="shared" si="51"/>
        <v>661.62829487552551</v>
      </c>
      <c r="U467" s="190">
        <f>MAX(U468:U478)</f>
        <v>4735.5</v>
      </c>
      <c r="V467" s="221">
        <f t="shared" ref="V467:V530" si="53">U467-T467</f>
        <v>4073.8717051244744</v>
      </c>
      <c r="W467" s="221"/>
      <c r="X467" s="221"/>
      <c r="Y467" s="222"/>
      <c r="Z467" s="222"/>
      <c r="AA467" s="222"/>
      <c r="AB467" s="222"/>
      <c r="AC467" s="222"/>
      <c r="AD467" s="222"/>
      <c r="AE467" s="222"/>
      <c r="AF467" s="222"/>
      <c r="AG467" s="222"/>
      <c r="AH467" s="222"/>
      <c r="AI467" s="222"/>
      <c r="AJ467" s="222"/>
      <c r="AK467" s="222"/>
      <c r="AL467" s="222"/>
      <c r="AM467" s="222"/>
      <c r="AN467" s="222"/>
      <c r="AO467" s="222"/>
    </row>
    <row r="468" spans="1:41" s="223" customFormat="1" ht="36" customHeight="1" x14ac:dyDescent="0.25">
      <c r="A468" s="223">
        <v>1</v>
      </c>
      <c r="B468" s="225">
        <f>SUBTOTAL(103,$A$16:A468)</f>
        <v>405</v>
      </c>
      <c r="C468" s="215" t="s">
        <v>145</v>
      </c>
      <c r="D468" s="217">
        <v>1976</v>
      </c>
      <c r="E468" s="217"/>
      <c r="F468" s="226" t="s">
        <v>287</v>
      </c>
      <c r="G468" s="217">
        <v>5</v>
      </c>
      <c r="H468" s="217" t="s">
        <v>2266</v>
      </c>
      <c r="I468" s="190">
        <v>6622.77</v>
      </c>
      <c r="J468" s="190">
        <v>6062.77</v>
      </c>
      <c r="K468" s="190">
        <v>6062.77</v>
      </c>
      <c r="L468" s="219">
        <v>252</v>
      </c>
      <c r="M468" s="217" t="s">
        <v>265</v>
      </c>
      <c r="N468" s="217" t="s">
        <v>269</v>
      </c>
      <c r="O468" s="220" t="s">
        <v>290</v>
      </c>
      <c r="P468" s="190">
        <v>4629120.46</v>
      </c>
      <c r="Q468" s="190">
        <v>0</v>
      </c>
      <c r="R468" s="190">
        <v>0</v>
      </c>
      <c r="S468" s="190">
        <f t="shared" ref="S468:S475" si="54">P468-Q468-R468</f>
        <v>4629120.46</v>
      </c>
      <c r="T468" s="190">
        <f t="shared" si="51"/>
        <v>698.97043986126641</v>
      </c>
      <c r="U468" s="190">
        <v>1512.1028010938021</v>
      </c>
      <c r="V468" s="221">
        <f t="shared" si="53"/>
        <v>813.13236123253569</v>
      </c>
      <c r="W468" s="221">
        <f t="shared" ref="W468:W478" si="55">X468+Y468+Z468+AA468+AB468+AD468+AF468+AH468+AJ468+AL468+AN468+AO468</f>
        <v>1449.6478459013372</v>
      </c>
      <c r="X468" s="221">
        <v>0</v>
      </c>
      <c r="Y468" s="222">
        <v>0</v>
      </c>
      <c r="Z468" s="222">
        <v>0</v>
      </c>
      <c r="AA468" s="222">
        <v>0</v>
      </c>
      <c r="AB468" s="222">
        <v>0</v>
      </c>
      <c r="AC468" s="222">
        <v>0</v>
      </c>
      <c r="AD468" s="222">
        <v>0</v>
      </c>
      <c r="AE468" s="222">
        <v>1538.84</v>
      </c>
      <c r="AF468" s="221">
        <f>6238.91*AE468/I468</f>
        <v>1449.6478459013372</v>
      </c>
      <c r="AG468" s="222">
        <v>0</v>
      </c>
      <c r="AH468" s="221">
        <v>0</v>
      </c>
      <c r="AI468" s="222">
        <v>0</v>
      </c>
      <c r="AJ468" s="221">
        <v>0</v>
      </c>
      <c r="AK468" s="222">
        <v>0</v>
      </c>
      <c r="AL468" s="222">
        <v>0</v>
      </c>
      <c r="AM468" s="222">
        <v>0</v>
      </c>
      <c r="AN468" s="222"/>
      <c r="AO468" s="222">
        <v>0</v>
      </c>
    </row>
    <row r="469" spans="1:41" s="223" customFormat="1" ht="36" customHeight="1" x14ac:dyDescent="0.25">
      <c r="A469" s="223">
        <v>1</v>
      </c>
      <c r="B469" s="225">
        <f>SUBTOTAL(103,$A$16:A469)</f>
        <v>406</v>
      </c>
      <c r="C469" s="215" t="s">
        <v>140</v>
      </c>
      <c r="D469" s="217">
        <v>1969</v>
      </c>
      <c r="E469" s="217"/>
      <c r="F469" s="226" t="s">
        <v>287</v>
      </c>
      <c r="G469" s="217">
        <v>5</v>
      </c>
      <c r="H469" s="217" t="s">
        <v>351</v>
      </c>
      <c r="I469" s="190">
        <v>4894</v>
      </c>
      <c r="J469" s="190">
        <v>4495.3</v>
      </c>
      <c r="K469" s="190">
        <v>4495.3</v>
      </c>
      <c r="L469" s="219">
        <v>218</v>
      </c>
      <c r="M469" s="217" t="s">
        <v>265</v>
      </c>
      <c r="N469" s="217" t="s">
        <v>269</v>
      </c>
      <c r="O469" s="220" t="s">
        <v>290</v>
      </c>
      <c r="P469" s="190">
        <v>3488886.51</v>
      </c>
      <c r="Q469" s="190">
        <v>0</v>
      </c>
      <c r="R469" s="190">
        <v>0</v>
      </c>
      <c r="S469" s="190">
        <f t="shared" si="54"/>
        <v>3488886.51</v>
      </c>
      <c r="T469" s="190">
        <f t="shared" si="51"/>
        <v>712.8905823457294</v>
      </c>
      <c r="U469" s="190">
        <v>1335.8470412750307</v>
      </c>
      <c r="V469" s="221">
        <f t="shared" si="53"/>
        <v>622.95645892930133</v>
      </c>
      <c r="W469" s="221">
        <f t="shared" si="55"/>
        <v>1588.665639967307</v>
      </c>
      <c r="X469" s="221">
        <v>0</v>
      </c>
      <c r="Y469" s="222">
        <v>0</v>
      </c>
      <c r="Z469" s="222">
        <v>0</v>
      </c>
      <c r="AA469" s="222">
        <v>0</v>
      </c>
      <c r="AB469" s="222">
        <v>0</v>
      </c>
      <c r="AC469" s="222">
        <v>0</v>
      </c>
      <c r="AD469" s="222">
        <v>0</v>
      </c>
      <c r="AE469" s="222">
        <v>1246.2</v>
      </c>
      <c r="AF469" s="221">
        <f>6238.91*AE469/I469</f>
        <v>1588.665639967307</v>
      </c>
      <c r="AG469" s="222">
        <v>0</v>
      </c>
      <c r="AH469" s="221">
        <v>0</v>
      </c>
      <c r="AI469" s="222">
        <v>0</v>
      </c>
      <c r="AJ469" s="221">
        <v>0</v>
      </c>
      <c r="AK469" s="222">
        <v>0</v>
      </c>
      <c r="AL469" s="222">
        <v>0</v>
      </c>
      <c r="AM469" s="222">
        <v>0</v>
      </c>
      <c r="AN469" s="222"/>
      <c r="AO469" s="222">
        <v>0</v>
      </c>
    </row>
    <row r="470" spans="1:41" s="223" customFormat="1" ht="36" customHeight="1" x14ac:dyDescent="0.25">
      <c r="A470" s="223">
        <v>1</v>
      </c>
      <c r="B470" s="225">
        <f>SUBTOTAL(103,$A$16:A470)</f>
        <v>407</v>
      </c>
      <c r="C470" s="215" t="s">
        <v>141</v>
      </c>
      <c r="D470" s="217">
        <v>1987</v>
      </c>
      <c r="E470" s="217"/>
      <c r="F470" s="226" t="s">
        <v>287</v>
      </c>
      <c r="G470" s="217">
        <v>5</v>
      </c>
      <c r="H470" s="217" t="s">
        <v>2267</v>
      </c>
      <c r="I470" s="190">
        <v>7649.2</v>
      </c>
      <c r="J470" s="190">
        <v>5430.3</v>
      </c>
      <c r="K470" s="190">
        <v>5430.3</v>
      </c>
      <c r="L470" s="219">
        <v>315</v>
      </c>
      <c r="M470" s="217" t="s">
        <v>265</v>
      </c>
      <c r="N470" s="217" t="s">
        <v>269</v>
      </c>
      <c r="O470" s="220" t="s">
        <v>290</v>
      </c>
      <c r="P470" s="190">
        <v>4309479.43</v>
      </c>
      <c r="Q470" s="190">
        <v>0</v>
      </c>
      <c r="R470" s="190">
        <v>0</v>
      </c>
      <c r="S470" s="190">
        <f t="shared" si="54"/>
        <v>4309479.43</v>
      </c>
      <c r="T470" s="190">
        <f t="shared" si="51"/>
        <v>563.38956099984307</v>
      </c>
      <c r="U470" s="190">
        <v>1136.8822242848926</v>
      </c>
      <c r="V470" s="221">
        <f t="shared" si="53"/>
        <v>573.4926632850495</v>
      </c>
      <c r="W470" s="221">
        <f t="shared" si="55"/>
        <v>1120.3481116979551</v>
      </c>
      <c r="X470" s="221">
        <v>0</v>
      </c>
      <c r="Y470" s="222">
        <v>0</v>
      </c>
      <c r="Z470" s="222">
        <v>0</v>
      </c>
      <c r="AA470" s="222">
        <v>0</v>
      </c>
      <c r="AB470" s="222">
        <v>0</v>
      </c>
      <c r="AC470" s="222">
        <v>0</v>
      </c>
      <c r="AD470" s="222">
        <v>0</v>
      </c>
      <c r="AE470" s="222">
        <v>1373.6</v>
      </c>
      <c r="AF470" s="221">
        <f>6238.91*AE470/I470</f>
        <v>1120.3481116979551</v>
      </c>
      <c r="AG470" s="222">
        <v>0</v>
      </c>
      <c r="AH470" s="221">
        <v>0</v>
      </c>
      <c r="AI470" s="222">
        <v>0</v>
      </c>
      <c r="AJ470" s="221">
        <v>0</v>
      </c>
      <c r="AK470" s="222">
        <v>0</v>
      </c>
      <c r="AL470" s="222">
        <v>0</v>
      </c>
      <c r="AM470" s="222">
        <v>0</v>
      </c>
      <c r="AN470" s="222"/>
      <c r="AO470" s="222">
        <v>0</v>
      </c>
    </row>
    <row r="471" spans="1:41" s="223" customFormat="1" ht="36" customHeight="1" x14ac:dyDescent="0.25">
      <c r="A471" s="223">
        <v>1</v>
      </c>
      <c r="B471" s="225">
        <f>SUBTOTAL(103,$A$16:A471)</f>
        <v>408</v>
      </c>
      <c r="C471" s="215" t="s">
        <v>1251</v>
      </c>
      <c r="D471" s="217">
        <v>1963</v>
      </c>
      <c r="E471" s="217"/>
      <c r="F471" s="226" t="s">
        <v>267</v>
      </c>
      <c r="G471" s="217">
        <v>2</v>
      </c>
      <c r="H471" s="217" t="s">
        <v>303</v>
      </c>
      <c r="I471" s="190">
        <v>683.63</v>
      </c>
      <c r="J471" s="190">
        <v>683.63</v>
      </c>
      <c r="K471" s="190">
        <v>683.63</v>
      </c>
      <c r="L471" s="219">
        <v>42</v>
      </c>
      <c r="M471" s="217" t="s">
        <v>265</v>
      </c>
      <c r="N471" s="217" t="s">
        <v>269</v>
      </c>
      <c r="O471" s="220" t="s">
        <v>290</v>
      </c>
      <c r="P471" s="190">
        <v>1166940.5799999998</v>
      </c>
      <c r="Q471" s="190">
        <v>0</v>
      </c>
      <c r="R471" s="190">
        <v>0</v>
      </c>
      <c r="S471" s="190">
        <f t="shared" si="54"/>
        <v>1166940.5799999998</v>
      </c>
      <c r="T471" s="190">
        <f t="shared" si="51"/>
        <v>1706.9768441993474</v>
      </c>
      <c r="U471" s="190">
        <v>4735.5</v>
      </c>
      <c r="V471" s="221">
        <f t="shared" si="53"/>
        <v>3028.5231558006526</v>
      </c>
      <c r="W471" s="221">
        <f t="shared" si="55"/>
        <v>4341.5</v>
      </c>
      <c r="X471" s="221">
        <v>101.55</v>
      </c>
      <c r="Y471" s="222">
        <v>0</v>
      </c>
      <c r="Z471" s="222">
        <v>3259.66</v>
      </c>
      <c r="AA471" s="222">
        <v>184.98</v>
      </c>
      <c r="AB471" s="222">
        <v>795.31</v>
      </c>
      <c r="AC471" s="222">
        <v>0</v>
      </c>
      <c r="AD471" s="222">
        <v>0</v>
      </c>
      <c r="AE471" s="222">
        <v>0</v>
      </c>
      <c r="AF471" s="221">
        <v>0</v>
      </c>
      <c r="AG471" s="222">
        <v>0</v>
      </c>
      <c r="AH471" s="221">
        <v>0</v>
      </c>
      <c r="AI471" s="222">
        <v>0</v>
      </c>
      <c r="AJ471" s="221">
        <v>0</v>
      </c>
      <c r="AK471" s="222">
        <v>0</v>
      </c>
      <c r="AL471" s="222">
        <v>0</v>
      </c>
      <c r="AM471" s="222">
        <v>0</v>
      </c>
      <c r="AN471" s="222"/>
      <c r="AO471" s="222">
        <v>0</v>
      </c>
    </row>
    <row r="472" spans="1:41" s="223" customFormat="1" ht="36" customHeight="1" x14ac:dyDescent="0.25">
      <c r="A472" s="223">
        <v>1</v>
      </c>
      <c r="B472" s="225">
        <f>SUBTOTAL(103,$A$16:A472)</f>
        <v>409</v>
      </c>
      <c r="C472" s="215" t="s">
        <v>1252</v>
      </c>
      <c r="D472" s="217" t="s">
        <v>306</v>
      </c>
      <c r="E472" s="217"/>
      <c r="F472" s="226" t="s">
        <v>267</v>
      </c>
      <c r="G472" s="217" t="s">
        <v>303</v>
      </c>
      <c r="H472" s="217" t="s">
        <v>303</v>
      </c>
      <c r="I472" s="190">
        <v>1132.77</v>
      </c>
      <c r="J472" s="190">
        <v>1132.77</v>
      </c>
      <c r="K472" s="190">
        <v>1132.77</v>
      </c>
      <c r="L472" s="219">
        <v>25</v>
      </c>
      <c r="M472" s="217" t="s">
        <v>265</v>
      </c>
      <c r="N472" s="217" t="s">
        <v>269</v>
      </c>
      <c r="O472" s="220" t="s">
        <v>290</v>
      </c>
      <c r="P472" s="190">
        <v>1211378.6199999999</v>
      </c>
      <c r="Q472" s="190">
        <v>0</v>
      </c>
      <c r="R472" s="190">
        <v>0</v>
      </c>
      <c r="S472" s="190">
        <f t="shared" si="54"/>
        <v>1211378.6199999999</v>
      </c>
      <c r="T472" s="190">
        <f t="shared" si="51"/>
        <v>1069.3950404760012</v>
      </c>
      <c r="U472" s="190">
        <v>4735.5</v>
      </c>
      <c r="V472" s="221">
        <f t="shared" si="53"/>
        <v>3666.1049595239988</v>
      </c>
      <c r="W472" s="221">
        <f t="shared" si="55"/>
        <v>4341.5</v>
      </c>
      <c r="X472" s="221">
        <v>101.55</v>
      </c>
      <c r="Y472" s="222">
        <v>0</v>
      </c>
      <c r="Z472" s="222">
        <v>3259.66</v>
      </c>
      <c r="AA472" s="222">
        <v>184.98</v>
      </c>
      <c r="AB472" s="222">
        <v>795.31</v>
      </c>
      <c r="AC472" s="222">
        <v>0</v>
      </c>
      <c r="AD472" s="222">
        <v>0</v>
      </c>
      <c r="AE472" s="222">
        <v>0</v>
      </c>
      <c r="AF472" s="221">
        <v>0</v>
      </c>
      <c r="AG472" s="222">
        <v>0</v>
      </c>
      <c r="AH472" s="221">
        <v>0</v>
      </c>
      <c r="AI472" s="222">
        <v>0</v>
      </c>
      <c r="AJ472" s="221">
        <v>0</v>
      </c>
      <c r="AK472" s="222">
        <v>0</v>
      </c>
      <c r="AL472" s="222">
        <v>0</v>
      </c>
      <c r="AM472" s="222">
        <v>0</v>
      </c>
      <c r="AN472" s="222"/>
      <c r="AO472" s="222">
        <v>0</v>
      </c>
    </row>
    <row r="473" spans="1:41" s="223" customFormat="1" ht="36" customHeight="1" x14ac:dyDescent="0.25">
      <c r="A473" s="223">
        <v>1</v>
      </c>
      <c r="B473" s="225">
        <f>SUBTOTAL(103,$A$16:A473)</f>
        <v>410</v>
      </c>
      <c r="C473" s="215" t="s">
        <v>1253</v>
      </c>
      <c r="D473" s="217">
        <v>1964</v>
      </c>
      <c r="E473" s="217"/>
      <c r="F473" s="226" t="s">
        <v>267</v>
      </c>
      <c r="G473" s="217">
        <v>2</v>
      </c>
      <c r="H473" s="217" t="s">
        <v>308</v>
      </c>
      <c r="I473" s="190">
        <v>768.3</v>
      </c>
      <c r="J473" s="190">
        <v>297</v>
      </c>
      <c r="K473" s="190">
        <v>268.89999999999998</v>
      </c>
      <c r="L473" s="219">
        <v>80</v>
      </c>
      <c r="M473" s="217" t="s">
        <v>265</v>
      </c>
      <c r="N473" s="217" t="s">
        <v>269</v>
      </c>
      <c r="O473" s="220" t="s">
        <v>288</v>
      </c>
      <c r="P473" s="190">
        <v>908111.25</v>
      </c>
      <c r="Q473" s="190">
        <v>0</v>
      </c>
      <c r="R473" s="190">
        <v>0</v>
      </c>
      <c r="S473" s="190">
        <f t="shared" si="54"/>
        <v>908111.25</v>
      </c>
      <c r="T473" s="190">
        <f t="shared" si="51"/>
        <v>1181.974814525576</v>
      </c>
      <c r="U473" s="190">
        <v>3626.97</v>
      </c>
      <c r="V473" s="221">
        <f t="shared" si="53"/>
        <v>2444.995185474424</v>
      </c>
      <c r="W473" s="221">
        <f t="shared" si="55"/>
        <v>3259.66</v>
      </c>
      <c r="X473" s="221">
        <v>0</v>
      </c>
      <c r="Y473" s="222">
        <v>0</v>
      </c>
      <c r="Z473" s="222">
        <v>3259.66</v>
      </c>
      <c r="AA473" s="222">
        <v>0</v>
      </c>
      <c r="AB473" s="222">
        <v>0</v>
      </c>
      <c r="AC473" s="222">
        <v>0</v>
      </c>
      <c r="AD473" s="222">
        <v>0</v>
      </c>
      <c r="AE473" s="222">
        <v>0</v>
      </c>
      <c r="AF473" s="221">
        <v>0</v>
      </c>
      <c r="AG473" s="222">
        <v>0</v>
      </c>
      <c r="AH473" s="221">
        <v>0</v>
      </c>
      <c r="AI473" s="222">
        <v>0</v>
      </c>
      <c r="AJ473" s="221">
        <v>0</v>
      </c>
      <c r="AK473" s="222">
        <v>0</v>
      </c>
      <c r="AL473" s="222">
        <v>0</v>
      </c>
      <c r="AM473" s="222">
        <v>0</v>
      </c>
      <c r="AN473" s="222"/>
      <c r="AO473" s="222">
        <v>0</v>
      </c>
    </row>
    <row r="474" spans="1:41" s="223" customFormat="1" ht="36" customHeight="1" x14ac:dyDescent="0.25">
      <c r="A474" s="223">
        <v>1</v>
      </c>
      <c r="B474" s="225">
        <f>SUBTOTAL(103,$A$16:A474)</f>
        <v>411</v>
      </c>
      <c r="C474" s="215" t="s">
        <v>1281</v>
      </c>
      <c r="D474" s="217">
        <v>1958</v>
      </c>
      <c r="E474" s="217"/>
      <c r="F474" s="226" t="s">
        <v>267</v>
      </c>
      <c r="G474" s="217">
        <v>2</v>
      </c>
      <c r="H474" s="217" t="s">
        <v>303</v>
      </c>
      <c r="I474" s="190">
        <v>554</v>
      </c>
      <c r="J474" s="190">
        <v>554</v>
      </c>
      <c r="K474" s="190">
        <v>554</v>
      </c>
      <c r="L474" s="219">
        <v>30</v>
      </c>
      <c r="M474" s="217" t="s">
        <v>265</v>
      </c>
      <c r="N474" s="217" t="s">
        <v>269</v>
      </c>
      <c r="O474" s="220" t="s">
        <v>288</v>
      </c>
      <c r="P474" s="190">
        <v>55068.52</v>
      </c>
      <c r="Q474" s="190">
        <v>0</v>
      </c>
      <c r="R474" s="190">
        <v>0</v>
      </c>
      <c r="S474" s="190">
        <f t="shared" si="54"/>
        <v>55068.52</v>
      </c>
      <c r="T474" s="190">
        <f t="shared" si="51"/>
        <v>99.40166064981949</v>
      </c>
      <c r="U474" s="190">
        <v>99.40166064981949</v>
      </c>
      <c r="V474" s="221">
        <f t="shared" si="53"/>
        <v>0</v>
      </c>
      <c r="W474" s="221">
        <f>T474</f>
        <v>99.40166064981949</v>
      </c>
      <c r="X474" s="221">
        <v>0</v>
      </c>
      <c r="Y474" s="222">
        <v>0</v>
      </c>
      <c r="Z474" s="222">
        <v>0</v>
      </c>
      <c r="AA474" s="222">
        <v>0</v>
      </c>
      <c r="AB474" s="222">
        <v>0</v>
      </c>
      <c r="AC474" s="222">
        <v>0</v>
      </c>
      <c r="AD474" s="222">
        <v>0</v>
      </c>
      <c r="AE474" s="222">
        <v>500</v>
      </c>
      <c r="AF474" s="221">
        <f>6436.53*AE474/I474</f>
        <v>5809.1425992779787</v>
      </c>
      <c r="AG474" s="222">
        <v>0</v>
      </c>
      <c r="AH474" s="221">
        <v>0</v>
      </c>
      <c r="AI474" s="222">
        <v>0</v>
      </c>
      <c r="AJ474" s="221">
        <v>0</v>
      </c>
      <c r="AK474" s="222">
        <v>0</v>
      </c>
      <c r="AL474" s="222">
        <v>0</v>
      </c>
      <c r="AM474" s="222">
        <v>0</v>
      </c>
      <c r="AN474" s="222"/>
      <c r="AO474" s="222">
        <v>0</v>
      </c>
    </row>
    <row r="475" spans="1:41" s="223" customFormat="1" ht="36" customHeight="1" x14ac:dyDescent="0.25">
      <c r="A475" s="223">
        <v>1</v>
      </c>
      <c r="B475" s="225">
        <f>SUBTOTAL(103,$A$16:A475)</f>
        <v>412</v>
      </c>
      <c r="C475" s="215" t="s">
        <v>1282</v>
      </c>
      <c r="D475" s="217">
        <v>1973</v>
      </c>
      <c r="E475" s="217"/>
      <c r="F475" s="226" t="s">
        <v>267</v>
      </c>
      <c r="G475" s="217">
        <v>5</v>
      </c>
      <c r="H475" s="217" t="s">
        <v>312</v>
      </c>
      <c r="I475" s="190">
        <v>3131.46</v>
      </c>
      <c r="J475" s="190">
        <v>3131.28</v>
      </c>
      <c r="K475" s="190">
        <v>3131.28</v>
      </c>
      <c r="L475" s="219">
        <v>208</v>
      </c>
      <c r="M475" s="217" t="s">
        <v>265</v>
      </c>
      <c r="N475" s="217" t="s">
        <v>269</v>
      </c>
      <c r="O475" s="220" t="s">
        <v>1354</v>
      </c>
      <c r="P475" s="190">
        <v>98964.25</v>
      </c>
      <c r="Q475" s="190">
        <v>0</v>
      </c>
      <c r="R475" s="190">
        <v>0</v>
      </c>
      <c r="S475" s="190">
        <f t="shared" si="54"/>
        <v>98964.25</v>
      </c>
      <c r="T475" s="190">
        <f t="shared" si="51"/>
        <v>31.603229803350512</v>
      </c>
      <c r="U475" s="190">
        <v>31.603229803350512</v>
      </c>
      <c r="V475" s="221">
        <f t="shared" si="53"/>
        <v>0</v>
      </c>
      <c r="W475" s="221">
        <f t="shared" si="55"/>
        <v>1908.6546786482984</v>
      </c>
      <c r="X475" s="221">
        <v>0</v>
      </c>
      <c r="Y475" s="222">
        <v>0</v>
      </c>
      <c r="Z475" s="222">
        <v>0</v>
      </c>
      <c r="AA475" s="222">
        <v>0</v>
      </c>
      <c r="AB475" s="222">
        <v>0</v>
      </c>
      <c r="AC475" s="222">
        <v>0</v>
      </c>
      <c r="AD475" s="222">
        <v>0</v>
      </c>
      <c r="AE475" s="222">
        <v>958</v>
      </c>
      <c r="AF475" s="221">
        <f>6238.91*AE475/I475</f>
        <v>1908.6546786482984</v>
      </c>
      <c r="AG475" s="222">
        <v>0</v>
      </c>
      <c r="AH475" s="221">
        <v>0</v>
      </c>
      <c r="AI475" s="222">
        <v>0</v>
      </c>
      <c r="AJ475" s="221">
        <v>0</v>
      </c>
      <c r="AK475" s="222">
        <v>0</v>
      </c>
      <c r="AL475" s="222">
        <v>0</v>
      </c>
      <c r="AM475" s="222">
        <v>0</v>
      </c>
      <c r="AN475" s="222"/>
      <c r="AO475" s="222">
        <v>0</v>
      </c>
    </row>
    <row r="476" spans="1:41" s="223" customFormat="1" ht="36" customHeight="1" x14ac:dyDescent="0.25">
      <c r="A476" s="223">
        <v>1</v>
      </c>
      <c r="B476" s="225">
        <f>SUBTOTAL(103,$A$16:A476)</f>
        <v>413</v>
      </c>
      <c r="C476" s="215" t="s">
        <v>1555</v>
      </c>
      <c r="D476" s="217">
        <v>1961</v>
      </c>
      <c r="E476" s="217"/>
      <c r="F476" s="226" t="s">
        <v>1571</v>
      </c>
      <c r="G476" s="217">
        <v>2</v>
      </c>
      <c r="H476" s="217" t="s">
        <v>303</v>
      </c>
      <c r="I476" s="190">
        <v>970.74</v>
      </c>
      <c r="J476" s="190">
        <v>543.79999999999995</v>
      </c>
      <c r="K476" s="190">
        <v>543.79999999999995</v>
      </c>
      <c r="L476" s="219">
        <v>42</v>
      </c>
      <c r="M476" s="217" t="s">
        <v>265</v>
      </c>
      <c r="N476" s="217" t="s">
        <v>266</v>
      </c>
      <c r="O476" s="220" t="s">
        <v>268</v>
      </c>
      <c r="P476" s="190">
        <v>2347663.2300000004</v>
      </c>
      <c r="Q476" s="190">
        <v>0</v>
      </c>
      <c r="R476" s="190">
        <v>0</v>
      </c>
      <c r="S476" s="190">
        <f>P476-R476-Q476</f>
        <v>2347663.2300000004</v>
      </c>
      <c r="T476" s="190">
        <f t="shared" si="51"/>
        <v>2418.426386055999</v>
      </c>
      <c r="U476" s="190">
        <v>3442.4294352761808</v>
      </c>
      <c r="V476" s="221">
        <f t="shared" si="53"/>
        <v>1024.0030492201818</v>
      </c>
      <c r="W476" s="221">
        <f t="shared" si="55"/>
        <v>3370.0422848548528</v>
      </c>
      <c r="X476" s="221">
        <v>0</v>
      </c>
      <c r="Y476" s="222">
        <v>0</v>
      </c>
      <c r="Z476" s="222">
        <v>0</v>
      </c>
      <c r="AA476" s="222">
        <v>0</v>
      </c>
      <c r="AB476" s="222">
        <v>0</v>
      </c>
      <c r="AC476" s="222">
        <v>0</v>
      </c>
      <c r="AD476" s="222">
        <v>0</v>
      </c>
      <c r="AE476" s="222">
        <v>524.36</v>
      </c>
      <c r="AF476" s="221">
        <f>6238.91*AE476/I476</f>
        <v>3370.0422848548528</v>
      </c>
      <c r="AG476" s="222">
        <v>0</v>
      </c>
      <c r="AH476" s="221">
        <v>0</v>
      </c>
      <c r="AI476" s="222">
        <v>0</v>
      </c>
      <c r="AJ476" s="221">
        <v>0</v>
      </c>
      <c r="AK476" s="222">
        <v>0</v>
      </c>
      <c r="AL476" s="222">
        <v>0</v>
      </c>
      <c r="AM476" s="222">
        <v>0</v>
      </c>
      <c r="AN476" s="222"/>
      <c r="AO476" s="222">
        <v>0</v>
      </c>
    </row>
    <row r="477" spans="1:41" s="223" customFormat="1" ht="36" customHeight="1" x14ac:dyDescent="0.25">
      <c r="A477" s="223">
        <v>1</v>
      </c>
      <c r="B477" s="225">
        <f>SUBTOTAL(103,$A$16:A477)</f>
        <v>414</v>
      </c>
      <c r="C477" s="215" t="s">
        <v>151</v>
      </c>
      <c r="D477" s="217">
        <v>1983</v>
      </c>
      <c r="E477" s="217"/>
      <c r="F477" s="226" t="s">
        <v>287</v>
      </c>
      <c r="G477" s="217">
        <v>5</v>
      </c>
      <c r="H477" s="217" t="s">
        <v>308</v>
      </c>
      <c r="I477" s="218">
        <v>4333.8</v>
      </c>
      <c r="J477" s="218">
        <v>3128.2</v>
      </c>
      <c r="K477" s="218">
        <v>3128.2</v>
      </c>
      <c r="L477" s="219">
        <v>151</v>
      </c>
      <c r="M477" s="217" t="s">
        <v>265</v>
      </c>
      <c r="N477" s="217" t="s">
        <v>269</v>
      </c>
      <c r="O477" s="220" t="s">
        <v>293</v>
      </c>
      <c r="P477" s="190">
        <v>2512797.5499999998</v>
      </c>
      <c r="Q477" s="190">
        <v>0</v>
      </c>
      <c r="R477" s="190">
        <v>0</v>
      </c>
      <c r="S477" s="190">
        <f>P477-Q477-R477</f>
        <v>2512797.5499999998</v>
      </c>
      <c r="T477" s="190">
        <f t="shared" si="51"/>
        <v>579.81391619364058</v>
      </c>
      <c r="U477" s="190">
        <v>1187.9578254649498</v>
      </c>
      <c r="V477" s="221">
        <f t="shared" si="53"/>
        <v>608.14390927130921</v>
      </c>
      <c r="W477" s="221">
        <f t="shared" si="55"/>
        <v>1200.4769599427752</v>
      </c>
      <c r="X477" s="221">
        <v>0</v>
      </c>
      <c r="Y477" s="222">
        <v>0</v>
      </c>
      <c r="Z477" s="222">
        <v>0</v>
      </c>
      <c r="AA477" s="222">
        <v>0</v>
      </c>
      <c r="AB477" s="222">
        <v>0</v>
      </c>
      <c r="AC477" s="222">
        <v>0</v>
      </c>
      <c r="AD477" s="222">
        <v>0</v>
      </c>
      <c r="AE477" s="222">
        <v>833.9</v>
      </c>
      <c r="AF477" s="221">
        <f>6238.91*AE477/I477</f>
        <v>1200.4769599427752</v>
      </c>
      <c r="AG477" s="222">
        <v>0</v>
      </c>
      <c r="AH477" s="221">
        <v>0</v>
      </c>
      <c r="AI477" s="222">
        <v>0</v>
      </c>
      <c r="AJ477" s="221">
        <v>0</v>
      </c>
      <c r="AK477" s="222">
        <v>0</v>
      </c>
      <c r="AL477" s="222">
        <v>0</v>
      </c>
      <c r="AM477" s="222">
        <v>0</v>
      </c>
      <c r="AN477" s="222"/>
      <c r="AO477" s="222">
        <v>0</v>
      </c>
    </row>
    <row r="478" spans="1:41" s="223" customFormat="1" ht="36" customHeight="1" x14ac:dyDescent="0.25">
      <c r="A478" s="223">
        <v>1</v>
      </c>
      <c r="B478" s="225">
        <f>SUBTOTAL(103,$A$16:A478)</f>
        <v>415</v>
      </c>
      <c r="C478" s="215" t="s">
        <v>152</v>
      </c>
      <c r="D478" s="217">
        <v>1985</v>
      </c>
      <c r="E478" s="217"/>
      <c r="F478" s="226" t="s">
        <v>287</v>
      </c>
      <c r="G478" s="217">
        <v>5</v>
      </c>
      <c r="H478" s="217" t="s">
        <v>351</v>
      </c>
      <c r="I478" s="218">
        <v>5376.4</v>
      </c>
      <c r="J478" s="218">
        <v>3863.1</v>
      </c>
      <c r="K478" s="218">
        <v>3863.1</v>
      </c>
      <c r="L478" s="219">
        <v>206</v>
      </c>
      <c r="M478" s="217" t="s">
        <v>265</v>
      </c>
      <c r="N478" s="217" t="s">
        <v>269</v>
      </c>
      <c r="O478" s="220" t="s">
        <v>293</v>
      </c>
      <c r="P478" s="190">
        <v>3167665.04</v>
      </c>
      <c r="Q478" s="190">
        <v>0</v>
      </c>
      <c r="R478" s="190">
        <v>0</v>
      </c>
      <c r="S478" s="190">
        <f>P478-Q478-R478</f>
        <v>3167665.04</v>
      </c>
      <c r="T478" s="190">
        <f t="shared" si="51"/>
        <v>589.17956997247234</v>
      </c>
      <c r="U478" s="190">
        <v>1199.9857945837364</v>
      </c>
      <c r="V478" s="221">
        <f t="shared" si="53"/>
        <v>610.80622461126404</v>
      </c>
      <c r="W478" s="221">
        <f t="shared" si="55"/>
        <v>1202.0844559556583</v>
      </c>
      <c r="X478" s="221">
        <v>0</v>
      </c>
      <c r="Y478" s="222">
        <v>0</v>
      </c>
      <c r="Z478" s="222">
        <v>0</v>
      </c>
      <c r="AA478" s="222">
        <v>0</v>
      </c>
      <c r="AB478" s="222">
        <v>0</v>
      </c>
      <c r="AC478" s="222">
        <v>0</v>
      </c>
      <c r="AD478" s="222">
        <v>0</v>
      </c>
      <c r="AE478" s="222">
        <v>1035.9000000000001</v>
      </c>
      <c r="AF478" s="221">
        <f>6238.91*AE478/I478</f>
        <v>1202.0844559556583</v>
      </c>
      <c r="AG478" s="222">
        <v>0</v>
      </c>
      <c r="AH478" s="221">
        <v>0</v>
      </c>
      <c r="AI478" s="222">
        <v>0</v>
      </c>
      <c r="AJ478" s="221">
        <v>0</v>
      </c>
      <c r="AK478" s="222">
        <v>0</v>
      </c>
      <c r="AL478" s="222">
        <v>0</v>
      </c>
      <c r="AM478" s="222">
        <v>0</v>
      </c>
      <c r="AN478" s="222"/>
      <c r="AO478" s="222">
        <v>0</v>
      </c>
    </row>
    <row r="479" spans="1:41" s="223" customFormat="1" ht="36" customHeight="1" x14ac:dyDescent="0.25">
      <c r="B479" s="215" t="s">
        <v>853</v>
      </c>
      <c r="C479" s="215"/>
      <c r="D479" s="217" t="s">
        <v>890</v>
      </c>
      <c r="E479" s="217" t="s">
        <v>890</v>
      </c>
      <c r="F479" s="217" t="s">
        <v>890</v>
      </c>
      <c r="G479" s="217" t="s">
        <v>890</v>
      </c>
      <c r="H479" s="217" t="s">
        <v>890</v>
      </c>
      <c r="I479" s="218">
        <f>SUM(I480:I487)</f>
        <v>32478.429999999997</v>
      </c>
      <c r="J479" s="218">
        <f>SUM(J480:J487)</f>
        <v>21805.200000000001</v>
      </c>
      <c r="K479" s="218">
        <f>SUM(K480:K487)</f>
        <v>20949.2</v>
      </c>
      <c r="L479" s="219">
        <f>SUM(L480:L487)</f>
        <v>1444</v>
      </c>
      <c r="M479" s="217" t="s">
        <v>890</v>
      </c>
      <c r="N479" s="217" t="s">
        <v>890</v>
      </c>
      <c r="O479" s="220" t="s">
        <v>890</v>
      </c>
      <c r="P479" s="190">
        <v>24440368.16</v>
      </c>
      <c r="Q479" s="190">
        <f>SUM(Q480:Q487)</f>
        <v>0</v>
      </c>
      <c r="R479" s="190">
        <f>SUM(R480:R487)</f>
        <v>0</v>
      </c>
      <c r="S479" s="190">
        <f>SUM(S480:S487)</f>
        <v>24440368.16</v>
      </c>
      <c r="T479" s="190">
        <f t="shared" si="51"/>
        <v>752.51076360526054</v>
      </c>
      <c r="U479" s="190">
        <f>MAX(U480:U487)</f>
        <v>3985.0653090389428</v>
      </c>
      <c r="V479" s="221">
        <f t="shared" si="53"/>
        <v>3232.5545454336825</v>
      </c>
      <c r="W479" s="221"/>
      <c r="X479" s="221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</row>
    <row r="480" spans="1:41" s="223" customFormat="1" ht="36" customHeight="1" x14ac:dyDescent="0.25">
      <c r="A480" s="223">
        <v>1</v>
      </c>
      <c r="B480" s="225">
        <f>SUBTOTAL(103,$A$16:A480)</f>
        <v>416</v>
      </c>
      <c r="C480" s="215" t="s">
        <v>137</v>
      </c>
      <c r="D480" s="217">
        <v>1982</v>
      </c>
      <c r="E480" s="217"/>
      <c r="F480" s="226" t="s">
        <v>267</v>
      </c>
      <c r="G480" s="217">
        <v>5</v>
      </c>
      <c r="H480" s="217" t="s">
        <v>371</v>
      </c>
      <c r="I480" s="190">
        <v>3868.3</v>
      </c>
      <c r="J480" s="190">
        <v>2289.6</v>
      </c>
      <c r="K480" s="190">
        <v>2289.6</v>
      </c>
      <c r="L480" s="219">
        <v>192</v>
      </c>
      <c r="M480" s="217" t="s">
        <v>265</v>
      </c>
      <c r="N480" s="217" t="s">
        <v>291</v>
      </c>
      <c r="O480" s="220" t="s">
        <v>301</v>
      </c>
      <c r="P480" s="190">
        <v>2050029.61</v>
      </c>
      <c r="Q480" s="190">
        <v>0</v>
      </c>
      <c r="R480" s="190">
        <v>0</v>
      </c>
      <c r="S480" s="190">
        <f t="shared" ref="S480:S487" si="56">P480-Q480-R480</f>
        <v>2050029.61</v>
      </c>
      <c r="T480" s="190">
        <f t="shared" si="51"/>
        <v>529.95621073856728</v>
      </c>
      <c r="U480" s="190">
        <v>1732.5828079518135</v>
      </c>
      <c r="V480" s="221">
        <f t="shared" si="53"/>
        <v>1202.6265972132462</v>
      </c>
      <c r="W480" s="221">
        <f t="shared" ref="W480:W487" si="57">X480+Y480+Z480+AA480+AB480+AD480+AF480+AH480+AJ480+AL480+AN480+AO480</f>
        <v>1661.0212834578497</v>
      </c>
      <c r="X480" s="221">
        <v>0</v>
      </c>
      <c r="Y480" s="222">
        <v>0</v>
      </c>
      <c r="Z480" s="222">
        <v>0</v>
      </c>
      <c r="AA480" s="222">
        <v>0</v>
      </c>
      <c r="AB480" s="222">
        <v>0</v>
      </c>
      <c r="AC480" s="222">
        <v>0</v>
      </c>
      <c r="AD480" s="222">
        <v>0</v>
      </c>
      <c r="AE480" s="222">
        <v>1029.8800000000001</v>
      </c>
      <c r="AF480" s="221">
        <f t="shared" ref="AF480:AF485" si="58">6238.91*AE480/I480</f>
        <v>1661.0212834578497</v>
      </c>
      <c r="AG480" s="222">
        <v>0</v>
      </c>
      <c r="AH480" s="221">
        <v>0</v>
      </c>
      <c r="AI480" s="222">
        <v>0</v>
      </c>
      <c r="AJ480" s="221">
        <v>0</v>
      </c>
      <c r="AK480" s="222">
        <v>0</v>
      </c>
      <c r="AL480" s="222">
        <v>0</v>
      </c>
      <c r="AM480" s="222">
        <v>0</v>
      </c>
      <c r="AN480" s="222"/>
      <c r="AO480" s="222">
        <v>0</v>
      </c>
    </row>
    <row r="481" spans="1:41" s="223" customFormat="1" ht="36" customHeight="1" x14ac:dyDescent="0.25">
      <c r="A481" s="223">
        <v>1</v>
      </c>
      <c r="B481" s="225">
        <f>SUBTOTAL(103,$A$16:A481)</f>
        <v>417</v>
      </c>
      <c r="C481" s="215" t="s">
        <v>138</v>
      </c>
      <c r="D481" s="217">
        <v>1964</v>
      </c>
      <c r="E481" s="217"/>
      <c r="F481" s="226" t="s">
        <v>267</v>
      </c>
      <c r="G481" s="217">
        <v>4</v>
      </c>
      <c r="H481" s="217" t="s">
        <v>303</v>
      </c>
      <c r="I481" s="190">
        <v>839.7</v>
      </c>
      <c r="J481" s="190">
        <v>839.7</v>
      </c>
      <c r="K481" s="190">
        <v>839.7</v>
      </c>
      <c r="L481" s="219">
        <v>75</v>
      </c>
      <c r="M481" s="217" t="s">
        <v>265</v>
      </c>
      <c r="N481" s="217" t="s">
        <v>291</v>
      </c>
      <c r="O481" s="220" t="s">
        <v>292</v>
      </c>
      <c r="P481" s="190">
        <v>1928448.7800000003</v>
      </c>
      <c r="Q481" s="190">
        <v>0</v>
      </c>
      <c r="R481" s="190">
        <v>0</v>
      </c>
      <c r="S481" s="190">
        <f t="shared" si="56"/>
        <v>1928448.7800000003</v>
      </c>
      <c r="T481" s="190">
        <f t="shared" si="51"/>
        <v>2296.5925687745626</v>
      </c>
      <c r="U481" s="190">
        <v>3985.0653090389428</v>
      </c>
      <c r="V481" s="221">
        <f t="shared" si="53"/>
        <v>1688.4727402643803</v>
      </c>
      <c r="W481" s="221">
        <f t="shared" si="57"/>
        <v>3829.90465368584</v>
      </c>
      <c r="X481" s="221">
        <v>0</v>
      </c>
      <c r="Y481" s="222">
        <v>0</v>
      </c>
      <c r="Z481" s="222">
        <v>0</v>
      </c>
      <c r="AA481" s="222">
        <v>0</v>
      </c>
      <c r="AB481" s="222">
        <v>0</v>
      </c>
      <c r="AC481" s="222">
        <v>0</v>
      </c>
      <c r="AD481" s="222">
        <v>0</v>
      </c>
      <c r="AE481" s="222">
        <v>515.47</v>
      </c>
      <c r="AF481" s="221">
        <f t="shared" si="58"/>
        <v>3829.90465368584</v>
      </c>
      <c r="AG481" s="222">
        <v>0</v>
      </c>
      <c r="AH481" s="221">
        <v>0</v>
      </c>
      <c r="AI481" s="222">
        <v>0</v>
      </c>
      <c r="AJ481" s="221">
        <v>0</v>
      </c>
      <c r="AK481" s="222">
        <v>0</v>
      </c>
      <c r="AL481" s="222">
        <v>0</v>
      </c>
      <c r="AM481" s="222">
        <v>0</v>
      </c>
      <c r="AN481" s="222"/>
      <c r="AO481" s="222">
        <v>0</v>
      </c>
    </row>
    <row r="482" spans="1:41" s="223" customFormat="1" ht="36" customHeight="1" x14ac:dyDescent="0.25">
      <c r="A482" s="223">
        <v>1</v>
      </c>
      <c r="B482" s="225">
        <f>SUBTOTAL(103,$A$16:A482)</f>
        <v>418</v>
      </c>
      <c r="C482" s="215" t="s">
        <v>147</v>
      </c>
      <c r="D482" s="217">
        <v>1972</v>
      </c>
      <c r="E482" s="217"/>
      <c r="F482" s="226" t="s">
        <v>267</v>
      </c>
      <c r="G482" s="217">
        <v>5</v>
      </c>
      <c r="H482" s="217" t="s">
        <v>2266</v>
      </c>
      <c r="I482" s="190">
        <v>8090.9</v>
      </c>
      <c r="J482" s="190">
        <v>6096.3</v>
      </c>
      <c r="K482" s="190">
        <v>6096.3</v>
      </c>
      <c r="L482" s="219">
        <v>307</v>
      </c>
      <c r="M482" s="217" t="s">
        <v>265</v>
      </c>
      <c r="N482" s="217" t="s">
        <v>269</v>
      </c>
      <c r="O482" s="220" t="s">
        <v>294</v>
      </c>
      <c r="P482" s="190">
        <v>9931926.4399999995</v>
      </c>
      <c r="Q482" s="190">
        <v>0</v>
      </c>
      <c r="R482" s="190">
        <v>0</v>
      </c>
      <c r="S482" s="190">
        <f t="shared" si="56"/>
        <v>9931926.4399999995</v>
      </c>
      <c r="T482" s="190">
        <f t="shared" si="51"/>
        <v>1227.542849373988</v>
      </c>
      <c r="U482" s="190">
        <v>1571.9213459565685</v>
      </c>
      <c r="V482" s="221">
        <f t="shared" si="53"/>
        <v>344.37849658258051</v>
      </c>
      <c r="W482" s="221">
        <f t="shared" si="57"/>
        <v>1283.1447424143173</v>
      </c>
      <c r="X482" s="221">
        <v>0</v>
      </c>
      <c r="Y482" s="222">
        <v>0</v>
      </c>
      <c r="Z482" s="222">
        <v>0</v>
      </c>
      <c r="AA482" s="222">
        <v>0</v>
      </c>
      <c r="AB482" s="222">
        <v>0</v>
      </c>
      <c r="AC482" s="222">
        <v>0</v>
      </c>
      <c r="AD482" s="222">
        <v>0</v>
      </c>
      <c r="AE482" s="222">
        <v>1664.04</v>
      </c>
      <c r="AF482" s="221">
        <f t="shared" si="58"/>
        <v>1283.1447424143173</v>
      </c>
      <c r="AG482" s="222">
        <v>0</v>
      </c>
      <c r="AH482" s="221">
        <v>0</v>
      </c>
      <c r="AI482" s="222">
        <v>0</v>
      </c>
      <c r="AJ482" s="221">
        <v>0</v>
      </c>
      <c r="AK482" s="222">
        <v>0</v>
      </c>
      <c r="AL482" s="222">
        <v>0</v>
      </c>
      <c r="AM482" s="222">
        <v>0</v>
      </c>
      <c r="AN482" s="222"/>
      <c r="AO482" s="222">
        <v>0</v>
      </c>
    </row>
    <row r="483" spans="1:41" s="223" customFormat="1" ht="36" customHeight="1" x14ac:dyDescent="0.25">
      <c r="A483" s="223">
        <v>1</v>
      </c>
      <c r="B483" s="225">
        <f>SUBTOTAL(103,$A$16:A483)</f>
        <v>419</v>
      </c>
      <c r="C483" s="215" t="s">
        <v>1256</v>
      </c>
      <c r="D483" s="217">
        <v>1928</v>
      </c>
      <c r="E483" s="217"/>
      <c r="F483" s="226" t="s">
        <v>267</v>
      </c>
      <c r="G483" s="217">
        <v>3</v>
      </c>
      <c r="H483" s="217" t="s">
        <v>312</v>
      </c>
      <c r="I483" s="190">
        <v>1739</v>
      </c>
      <c r="J483" s="190">
        <v>1665.2</v>
      </c>
      <c r="K483" s="190">
        <v>998.7</v>
      </c>
      <c r="L483" s="219">
        <v>235</v>
      </c>
      <c r="M483" s="217" t="s">
        <v>265</v>
      </c>
      <c r="N483" s="217" t="s">
        <v>269</v>
      </c>
      <c r="O483" s="220" t="s">
        <v>288</v>
      </c>
      <c r="P483" s="190">
        <v>29614.32</v>
      </c>
      <c r="Q483" s="190">
        <v>0</v>
      </c>
      <c r="R483" s="190">
        <v>0</v>
      </c>
      <c r="S483" s="190">
        <f t="shared" si="56"/>
        <v>29614.32</v>
      </c>
      <c r="T483" s="190">
        <f t="shared" si="51"/>
        <v>17.029511213340999</v>
      </c>
      <c r="U483" s="190">
        <v>17.029511213340999</v>
      </c>
      <c r="V483" s="221">
        <f t="shared" si="53"/>
        <v>0</v>
      </c>
      <c r="W483" s="221">
        <f t="shared" si="57"/>
        <v>3964.3447671075328</v>
      </c>
      <c r="X483" s="221">
        <v>0</v>
      </c>
      <c r="Y483" s="222">
        <v>0</v>
      </c>
      <c r="Z483" s="222">
        <v>0</v>
      </c>
      <c r="AA483" s="222">
        <v>0</v>
      </c>
      <c r="AB483" s="222">
        <v>0</v>
      </c>
      <c r="AC483" s="222">
        <v>0</v>
      </c>
      <c r="AD483" s="222">
        <v>0</v>
      </c>
      <c r="AE483" s="222">
        <v>1105</v>
      </c>
      <c r="AF483" s="221">
        <f t="shared" si="58"/>
        <v>3964.3447671075328</v>
      </c>
      <c r="AG483" s="222">
        <v>0</v>
      </c>
      <c r="AH483" s="221">
        <v>0</v>
      </c>
      <c r="AI483" s="222">
        <v>0</v>
      </c>
      <c r="AJ483" s="221">
        <v>0</v>
      </c>
      <c r="AK483" s="222">
        <v>0</v>
      </c>
      <c r="AL483" s="222">
        <v>0</v>
      </c>
      <c r="AM483" s="222">
        <v>0</v>
      </c>
      <c r="AN483" s="222"/>
      <c r="AO483" s="222">
        <v>0</v>
      </c>
    </row>
    <row r="484" spans="1:41" s="223" customFormat="1" ht="36" customHeight="1" x14ac:dyDescent="0.25">
      <c r="A484" s="223">
        <v>1</v>
      </c>
      <c r="B484" s="225">
        <f>SUBTOTAL(103,$A$16:A484)</f>
        <v>420</v>
      </c>
      <c r="C484" s="215" t="s">
        <v>1257</v>
      </c>
      <c r="D484" s="217">
        <v>1962</v>
      </c>
      <c r="E484" s="217"/>
      <c r="F484" s="226" t="s">
        <v>267</v>
      </c>
      <c r="G484" s="217">
        <v>3</v>
      </c>
      <c r="H484" s="217" t="s">
        <v>312</v>
      </c>
      <c r="I484" s="190">
        <v>1520.4</v>
      </c>
      <c r="J484" s="190">
        <v>1093.04</v>
      </c>
      <c r="K484" s="190">
        <v>903.54</v>
      </c>
      <c r="L484" s="219">
        <v>135</v>
      </c>
      <c r="M484" s="217" t="s">
        <v>265</v>
      </c>
      <c r="N484" s="217" t="s">
        <v>269</v>
      </c>
      <c r="O484" s="220" t="s">
        <v>1335</v>
      </c>
      <c r="P484" s="190">
        <v>3373126.15</v>
      </c>
      <c r="Q484" s="190">
        <v>0</v>
      </c>
      <c r="R484" s="190">
        <v>0</v>
      </c>
      <c r="S484" s="190">
        <f t="shared" si="56"/>
        <v>3373126.15</v>
      </c>
      <c r="T484" s="190">
        <f t="shared" si="51"/>
        <v>2218.5781044461983</v>
      </c>
      <c r="U484" s="190">
        <v>3575.8535983951588</v>
      </c>
      <c r="V484" s="221">
        <f t="shared" si="53"/>
        <v>1357.2754939489605</v>
      </c>
      <c r="W484" s="221">
        <f t="shared" si="57"/>
        <v>3428.1587617074451</v>
      </c>
      <c r="X484" s="221">
        <v>0</v>
      </c>
      <c r="Y484" s="222">
        <v>0</v>
      </c>
      <c r="Z484" s="222">
        <v>0</v>
      </c>
      <c r="AA484" s="222">
        <v>0</v>
      </c>
      <c r="AB484" s="222">
        <v>0</v>
      </c>
      <c r="AC484" s="222">
        <v>0</v>
      </c>
      <c r="AD484" s="222">
        <v>0</v>
      </c>
      <c r="AE484" s="222">
        <v>835.43</v>
      </c>
      <c r="AF484" s="221">
        <f t="shared" si="58"/>
        <v>3428.1587617074451</v>
      </c>
      <c r="AG484" s="222">
        <v>0</v>
      </c>
      <c r="AH484" s="221">
        <v>0</v>
      </c>
      <c r="AI484" s="222">
        <v>0</v>
      </c>
      <c r="AJ484" s="221">
        <v>0</v>
      </c>
      <c r="AK484" s="222">
        <v>0</v>
      </c>
      <c r="AL484" s="222">
        <v>0</v>
      </c>
      <c r="AM484" s="222">
        <v>0</v>
      </c>
      <c r="AN484" s="222"/>
      <c r="AO484" s="222">
        <v>0</v>
      </c>
    </row>
    <row r="485" spans="1:41" s="223" customFormat="1" ht="36" customHeight="1" x14ac:dyDescent="0.25">
      <c r="A485" s="223">
        <v>1</v>
      </c>
      <c r="B485" s="225">
        <f>SUBTOTAL(103,$A$16:A485)</f>
        <v>421</v>
      </c>
      <c r="C485" s="215" t="s">
        <v>1258</v>
      </c>
      <c r="D485" s="217">
        <v>1970</v>
      </c>
      <c r="E485" s="217"/>
      <c r="F485" s="226" t="s">
        <v>267</v>
      </c>
      <c r="G485" s="217">
        <v>5</v>
      </c>
      <c r="H485" s="217" t="s">
        <v>371</v>
      </c>
      <c r="I485" s="190">
        <v>7885.15</v>
      </c>
      <c r="J485" s="190">
        <v>4459.3599999999997</v>
      </c>
      <c r="K485" s="190">
        <v>4459.3599999999997</v>
      </c>
      <c r="L485" s="219">
        <v>224</v>
      </c>
      <c r="M485" s="217" t="s">
        <v>265</v>
      </c>
      <c r="N485" s="217" t="s">
        <v>269</v>
      </c>
      <c r="O485" s="220" t="s">
        <v>1336</v>
      </c>
      <c r="P485" s="190">
        <v>5805618.4400000004</v>
      </c>
      <c r="Q485" s="190">
        <v>0</v>
      </c>
      <c r="R485" s="190">
        <v>0</v>
      </c>
      <c r="S485" s="190">
        <f t="shared" si="56"/>
        <v>5805618.4400000004</v>
      </c>
      <c r="T485" s="190">
        <f t="shared" si="51"/>
        <v>736.27241587033859</v>
      </c>
      <c r="U485" s="190">
        <v>1166.3293203046235</v>
      </c>
      <c r="V485" s="221">
        <f t="shared" si="53"/>
        <v>430.05690443428489</v>
      </c>
      <c r="W485" s="221">
        <f t="shared" si="57"/>
        <v>1108.8195499134449</v>
      </c>
      <c r="X485" s="221">
        <v>0</v>
      </c>
      <c r="Y485" s="222">
        <v>0</v>
      </c>
      <c r="Z485" s="222">
        <v>0</v>
      </c>
      <c r="AA485" s="222">
        <v>0</v>
      </c>
      <c r="AB485" s="222">
        <v>0</v>
      </c>
      <c r="AC485" s="222">
        <v>0</v>
      </c>
      <c r="AD485" s="222">
        <v>0</v>
      </c>
      <c r="AE485" s="222">
        <v>1401.4</v>
      </c>
      <c r="AF485" s="221">
        <f t="shared" si="58"/>
        <v>1108.8195499134449</v>
      </c>
      <c r="AG485" s="222">
        <v>0</v>
      </c>
      <c r="AH485" s="221">
        <v>0</v>
      </c>
      <c r="AI485" s="222">
        <v>0</v>
      </c>
      <c r="AJ485" s="221">
        <v>0</v>
      </c>
      <c r="AK485" s="222">
        <v>0</v>
      </c>
      <c r="AL485" s="222">
        <v>0</v>
      </c>
      <c r="AM485" s="222">
        <v>0</v>
      </c>
      <c r="AN485" s="222"/>
      <c r="AO485" s="222">
        <v>0</v>
      </c>
    </row>
    <row r="486" spans="1:41" s="223" customFormat="1" ht="36" customHeight="1" x14ac:dyDescent="0.25">
      <c r="A486" s="223">
        <v>1</v>
      </c>
      <c r="B486" s="225">
        <f>SUBTOTAL(103,$A$16:A486)</f>
        <v>422</v>
      </c>
      <c r="C486" s="215" t="s">
        <v>166</v>
      </c>
      <c r="D486" s="217">
        <v>1966</v>
      </c>
      <c r="E486" s="217"/>
      <c r="F486" s="226" t="s">
        <v>267</v>
      </c>
      <c r="G486" s="217">
        <v>4</v>
      </c>
      <c r="H486" s="217" t="s">
        <v>303</v>
      </c>
      <c r="I486" s="190">
        <v>1285.3</v>
      </c>
      <c r="J486" s="190">
        <v>836.8</v>
      </c>
      <c r="K486" s="190">
        <v>836.8</v>
      </c>
      <c r="L486" s="219">
        <v>76</v>
      </c>
      <c r="M486" s="217" t="s">
        <v>265</v>
      </c>
      <c r="N486" s="217" t="s">
        <v>291</v>
      </c>
      <c r="O486" s="220" t="s">
        <v>300</v>
      </c>
      <c r="P486" s="190">
        <v>303399.58999999997</v>
      </c>
      <c r="Q486" s="190">
        <v>0</v>
      </c>
      <c r="R486" s="190">
        <v>0</v>
      </c>
      <c r="S486" s="190">
        <f t="shared" si="56"/>
        <v>303399.58999999997</v>
      </c>
      <c r="T486" s="190">
        <f t="shared" si="51"/>
        <v>236.05352057885318</v>
      </c>
      <c r="U486" s="190">
        <v>3168.0843056095855</v>
      </c>
      <c r="V486" s="221">
        <f t="shared" si="53"/>
        <v>2932.0307850307322</v>
      </c>
      <c r="W486" s="221">
        <f t="shared" si="57"/>
        <v>1325.0673928265776</v>
      </c>
      <c r="X486" s="221">
        <v>0</v>
      </c>
      <c r="Y486" s="222">
        <v>0</v>
      </c>
      <c r="Z486" s="222">
        <v>0</v>
      </c>
      <c r="AA486" s="222">
        <v>0</v>
      </c>
      <c r="AB486" s="222">
        <v>0</v>
      </c>
      <c r="AC486" s="222">
        <v>0</v>
      </c>
      <c r="AD486" s="222">
        <v>0</v>
      </c>
      <c r="AE486" s="222">
        <v>0</v>
      </c>
      <c r="AF486" s="221">
        <v>0</v>
      </c>
      <c r="AG486" s="222">
        <v>192</v>
      </c>
      <c r="AH486" s="221">
        <f>8870.36*AG486/I486</f>
        <v>1325.0673928265776</v>
      </c>
      <c r="AI486" s="222">
        <v>0</v>
      </c>
      <c r="AJ486" s="221">
        <v>0</v>
      </c>
      <c r="AK486" s="222">
        <v>0</v>
      </c>
      <c r="AL486" s="222">
        <v>0</v>
      </c>
      <c r="AM486" s="222">
        <v>0</v>
      </c>
      <c r="AN486" s="222"/>
      <c r="AO486" s="222">
        <v>0</v>
      </c>
    </row>
    <row r="487" spans="1:41" s="223" customFormat="1" ht="36" customHeight="1" x14ac:dyDescent="0.25">
      <c r="A487" s="223">
        <v>1</v>
      </c>
      <c r="B487" s="225">
        <f>SUBTOTAL(103,$A$16:A487)</f>
        <v>423</v>
      </c>
      <c r="C487" s="215" t="s">
        <v>1280</v>
      </c>
      <c r="D487" s="217">
        <v>1983</v>
      </c>
      <c r="E487" s="217"/>
      <c r="F487" s="226" t="s">
        <v>267</v>
      </c>
      <c r="G487" s="217">
        <v>5</v>
      </c>
      <c r="H487" s="217" t="s">
        <v>371</v>
      </c>
      <c r="I487" s="190">
        <v>7249.68</v>
      </c>
      <c r="J487" s="190">
        <v>4525.2</v>
      </c>
      <c r="K487" s="190">
        <v>4525.2</v>
      </c>
      <c r="L487" s="219">
        <v>200</v>
      </c>
      <c r="M487" s="217" t="s">
        <v>265</v>
      </c>
      <c r="N487" s="217" t="s">
        <v>341</v>
      </c>
      <c r="O487" s="220" t="s">
        <v>1355</v>
      </c>
      <c r="P487" s="190">
        <v>1018204.83</v>
      </c>
      <c r="Q487" s="190">
        <v>0</v>
      </c>
      <c r="R487" s="190">
        <v>0</v>
      </c>
      <c r="S487" s="190">
        <f t="shared" si="56"/>
        <v>1018204.83</v>
      </c>
      <c r="T487" s="190">
        <f t="shared" si="51"/>
        <v>140.44824461217598</v>
      </c>
      <c r="U487" s="190">
        <v>3626.97</v>
      </c>
      <c r="V487" s="221">
        <f t="shared" si="53"/>
        <v>3486.5217553878238</v>
      </c>
      <c r="W487" s="221">
        <f t="shared" si="57"/>
        <v>3259.66</v>
      </c>
      <c r="X487" s="221">
        <v>0</v>
      </c>
      <c r="Y487" s="222">
        <v>0</v>
      </c>
      <c r="Z487" s="222">
        <v>3259.66</v>
      </c>
      <c r="AA487" s="222">
        <v>0</v>
      </c>
      <c r="AB487" s="222">
        <v>0</v>
      </c>
      <c r="AC487" s="222">
        <v>0</v>
      </c>
      <c r="AD487" s="222">
        <v>0</v>
      </c>
      <c r="AE487" s="222">
        <v>0</v>
      </c>
      <c r="AF487" s="221">
        <v>0</v>
      </c>
      <c r="AG487" s="222">
        <v>0</v>
      </c>
      <c r="AH487" s="221">
        <v>0</v>
      </c>
      <c r="AI487" s="222">
        <v>0</v>
      </c>
      <c r="AJ487" s="221">
        <v>0</v>
      </c>
      <c r="AK487" s="222">
        <v>0</v>
      </c>
      <c r="AL487" s="222">
        <v>0</v>
      </c>
      <c r="AM487" s="222">
        <v>0</v>
      </c>
      <c r="AN487" s="222"/>
      <c r="AO487" s="222">
        <v>0</v>
      </c>
    </row>
    <row r="488" spans="1:41" s="223" customFormat="1" ht="36" customHeight="1" x14ac:dyDescent="0.25">
      <c r="B488" s="215" t="s">
        <v>1254</v>
      </c>
      <c r="C488" s="215"/>
      <c r="D488" s="217" t="s">
        <v>890</v>
      </c>
      <c r="E488" s="217" t="s">
        <v>890</v>
      </c>
      <c r="F488" s="217" t="s">
        <v>890</v>
      </c>
      <c r="G488" s="217" t="s">
        <v>890</v>
      </c>
      <c r="H488" s="217" t="s">
        <v>890</v>
      </c>
      <c r="I488" s="218">
        <f>SUM(I489:I489)</f>
        <v>546.02</v>
      </c>
      <c r="J488" s="218">
        <f>SUM(J489:J489)</f>
        <v>546.02</v>
      </c>
      <c r="K488" s="218">
        <f>SUM(K489:K489)</f>
        <v>546.02</v>
      </c>
      <c r="L488" s="219">
        <f>SUM(L489:L489)</f>
        <v>20</v>
      </c>
      <c r="M488" s="217" t="s">
        <v>890</v>
      </c>
      <c r="N488" s="217" t="s">
        <v>890</v>
      </c>
      <c r="O488" s="220" t="s">
        <v>890</v>
      </c>
      <c r="P488" s="190">
        <v>1483737.75</v>
      </c>
      <c r="Q488" s="190">
        <f>Q489</f>
        <v>0</v>
      </c>
      <c r="R488" s="190">
        <f>R489</f>
        <v>0</v>
      </c>
      <c r="S488" s="190">
        <f>S489</f>
        <v>1483737.75</v>
      </c>
      <c r="T488" s="190">
        <f t="shared" si="51"/>
        <v>2717.368869272188</v>
      </c>
      <c r="U488" s="190">
        <f>MAX(U489)</f>
        <v>5774.3591315336434</v>
      </c>
      <c r="V488" s="221">
        <f t="shared" si="53"/>
        <v>3056.9902622614554</v>
      </c>
      <c r="W488" s="221"/>
      <c r="X488" s="221"/>
      <c r="Y488" s="222"/>
      <c r="Z488" s="222"/>
      <c r="AA488" s="222"/>
      <c r="AB488" s="222"/>
      <c r="AC488" s="222"/>
      <c r="AD488" s="222"/>
      <c r="AE488" s="222"/>
      <c r="AF488" s="222"/>
      <c r="AG488" s="222"/>
      <c r="AH488" s="222"/>
      <c r="AI488" s="222"/>
      <c r="AJ488" s="222"/>
      <c r="AK488" s="222"/>
      <c r="AL488" s="222"/>
      <c r="AM488" s="222"/>
      <c r="AN488" s="222"/>
      <c r="AO488" s="222"/>
    </row>
    <row r="489" spans="1:41" s="223" customFormat="1" ht="36" customHeight="1" x14ac:dyDescent="0.25">
      <c r="A489" s="223">
        <v>1</v>
      </c>
      <c r="B489" s="225">
        <f>SUBTOTAL(103,$A$16:A489)</f>
        <v>424</v>
      </c>
      <c r="C489" s="215" t="s">
        <v>1255</v>
      </c>
      <c r="D489" s="217">
        <v>1976</v>
      </c>
      <c r="E489" s="217"/>
      <c r="F489" s="226" t="s">
        <v>267</v>
      </c>
      <c r="G489" s="217">
        <v>2</v>
      </c>
      <c r="H489" s="217" t="s">
        <v>303</v>
      </c>
      <c r="I489" s="190">
        <v>546.02</v>
      </c>
      <c r="J489" s="190">
        <v>546.02</v>
      </c>
      <c r="K489" s="190">
        <v>546.02</v>
      </c>
      <c r="L489" s="219">
        <v>20</v>
      </c>
      <c r="M489" s="217" t="s">
        <v>265</v>
      </c>
      <c r="N489" s="217" t="s">
        <v>269</v>
      </c>
      <c r="O489" s="220" t="s">
        <v>288</v>
      </c>
      <c r="P489" s="190">
        <v>1483737.75</v>
      </c>
      <c r="Q489" s="190">
        <v>0</v>
      </c>
      <c r="R489" s="190">
        <v>0</v>
      </c>
      <c r="S489" s="190">
        <f>P489-Q489-R489</f>
        <v>1483737.75</v>
      </c>
      <c r="T489" s="190">
        <f t="shared" si="51"/>
        <v>2717.368869272188</v>
      </c>
      <c r="U489" s="190">
        <v>5774.3591315336434</v>
      </c>
      <c r="V489" s="221">
        <f>U489-T489</f>
        <v>3056.9902622614554</v>
      </c>
      <c r="W489" s="221">
        <f>X489+Y489+Z489+AA489+AB489+AD489+AF489+AH489+AJ489+AL489+AN489+AO489</f>
        <v>5535.8585874143801</v>
      </c>
      <c r="X489" s="221">
        <v>0</v>
      </c>
      <c r="Y489" s="222">
        <v>0</v>
      </c>
      <c r="Z489" s="222">
        <v>0</v>
      </c>
      <c r="AA489" s="222">
        <v>0</v>
      </c>
      <c r="AB489" s="222">
        <v>0</v>
      </c>
      <c r="AC489" s="222">
        <v>0</v>
      </c>
      <c r="AD489" s="222">
        <v>0</v>
      </c>
      <c r="AE489" s="222">
        <v>484.49</v>
      </c>
      <c r="AF489" s="221">
        <f>6238.91*AE489/I489</f>
        <v>5535.8585874143801</v>
      </c>
      <c r="AG489" s="222">
        <v>0</v>
      </c>
      <c r="AH489" s="221">
        <v>0</v>
      </c>
      <c r="AI489" s="222">
        <v>0</v>
      </c>
      <c r="AJ489" s="221">
        <v>0</v>
      </c>
      <c r="AK489" s="222">
        <v>0</v>
      </c>
      <c r="AL489" s="222">
        <v>0</v>
      </c>
      <c r="AM489" s="222">
        <v>0</v>
      </c>
      <c r="AN489" s="222"/>
      <c r="AO489" s="222">
        <v>0</v>
      </c>
    </row>
    <row r="490" spans="1:41" s="223" customFormat="1" ht="36" customHeight="1" x14ac:dyDescent="0.25">
      <c r="B490" s="215" t="s">
        <v>1047</v>
      </c>
      <c r="C490" s="215"/>
      <c r="D490" s="217" t="s">
        <v>890</v>
      </c>
      <c r="E490" s="217" t="s">
        <v>890</v>
      </c>
      <c r="F490" s="217" t="s">
        <v>890</v>
      </c>
      <c r="G490" s="217" t="s">
        <v>890</v>
      </c>
      <c r="H490" s="217" t="s">
        <v>890</v>
      </c>
      <c r="I490" s="218">
        <f>I491</f>
        <v>1598.9</v>
      </c>
      <c r="J490" s="218">
        <f>J491</f>
        <v>874</v>
      </c>
      <c r="K490" s="218">
        <f>K491</f>
        <v>874</v>
      </c>
      <c r="L490" s="219">
        <f>L491</f>
        <v>38</v>
      </c>
      <c r="M490" s="217" t="s">
        <v>890</v>
      </c>
      <c r="N490" s="217" t="s">
        <v>890</v>
      </c>
      <c r="O490" s="220" t="s">
        <v>890</v>
      </c>
      <c r="P490" s="190">
        <v>446142.85</v>
      </c>
      <c r="Q490" s="190">
        <f>Q491</f>
        <v>0</v>
      </c>
      <c r="R490" s="190">
        <f>R491</f>
        <v>0</v>
      </c>
      <c r="S490" s="190">
        <f>S491</f>
        <v>446142.85</v>
      </c>
      <c r="T490" s="190">
        <f t="shared" si="51"/>
        <v>279.03111514165988</v>
      </c>
      <c r="U490" s="190">
        <f>MAX(U491)</f>
        <v>279.03111514165988</v>
      </c>
      <c r="V490" s="221">
        <f t="shared" si="53"/>
        <v>0</v>
      </c>
      <c r="W490" s="221"/>
      <c r="X490" s="221"/>
      <c r="Y490" s="222"/>
      <c r="Z490" s="222"/>
      <c r="AA490" s="222"/>
      <c r="AB490" s="222"/>
      <c r="AC490" s="222"/>
      <c r="AD490" s="222"/>
      <c r="AE490" s="222"/>
      <c r="AF490" s="222"/>
      <c r="AG490" s="222"/>
      <c r="AH490" s="222"/>
      <c r="AI490" s="222"/>
      <c r="AJ490" s="222"/>
      <c r="AK490" s="222"/>
      <c r="AL490" s="222"/>
      <c r="AM490" s="222"/>
      <c r="AN490" s="222"/>
      <c r="AO490" s="222"/>
    </row>
    <row r="491" spans="1:41" s="223" customFormat="1" ht="36" customHeight="1" x14ac:dyDescent="0.25">
      <c r="A491" s="223">
        <v>1</v>
      </c>
      <c r="B491" s="225">
        <f>SUBTOTAL(103,$A$16:A491)</f>
        <v>425</v>
      </c>
      <c r="C491" s="215" t="s">
        <v>1035</v>
      </c>
      <c r="D491" s="217">
        <v>1974</v>
      </c>
      <c r="E491" s="217"/>
      <c r="F491" s="226" t="s">
        <v>267</v>
      </c>
      <c r="G491" s="217">
        <v>2</v>
      </c>
      <c r="H491" s="217" t="s">
        <v>312</v>
      </c>
      <c r="I491" s="190">
        <v>1598.9</v>
      </c>
      <c r="J491" s="190">
        <v>874</v>
      </c>
      <c r="K491" s="190">
        <v>874</v>
      </c>
      <c r="L491" s="219">
        <v>38</v>
      </c>
      <c r="M491" s="217" t="s">
        <v>265</v>
      </c>
      <c r="N491" s="217" t="s">
        <v>269</v>
      </c>
      <c r="O491" s="220" t="s">
        <v>294</v>
      </c>
      <c r="P491" s="190">
        <v>446142.85</v>
      </c>
      <c r="Q491" s="190">
        <v>0</v>
      </c>
      <c r="R491" s="190">
        <v>0</v>
      </c>
      <c r="S491" s="190">
        <f>P491-Q491-R491</f>
        <v>446142.85</v>
      </c>
      <c r="T491" s="190">
        <f t="shared" si="51"/>
        <v>279.03111514165988</v>
      </c>
      <c r="U491" s="190">
        <v>279.03111514165988</v>
      </c>
      <c r="V491" s="221">
        <f>U491-T491</f>
        <v>0</v>
      </c>
      <c r="W491" s="221">
        <f>X491+Y491+Z491+AA491+AB491+AD491+AF491+AH491+AJ491+AL491+AN491+AO491</f>
        <v>555.05949715429358</v>
      </c>
      <c r="X491" s="221">
        <v>0</v>
      </c>
      <c r="Y491" s="222">
        <v>0</v>
      </c>
      <c r="Z491" s="222">
        <v>0</v>
      </c>
      <c r="AA491" s="222">
        <v>0</v>
      </c>
      <c r="AB491" s="222">
        <v>0</v>
      </c>
      <c r="AC491" s="222">
        <v>0</v>
      </c>
      <c r="AD491" s="222">
        <v>0</v>
      </c>
      <c r="AE491" s="222">
        <v>0</v>
      </c>
      <c r="AF491" s="221">
        <v>0</v>
      </c>
      <c r="AG491" s="222">
        <v>0</v>
      </c>
      <c r="AH491" s="221">
        <v>0</v>
      </c>
      <c r="AI491" s="222">
        <v>119.3</v>
      </c>
      <c r="AJ491" s="221">
        <f>7439.1*AI491/I491</f>
        <v>555.05949715429358</v>
      </c>
      <c r="AK491" s="222">
        <v>0</v>
      </c>
      <c r="AL491" s="222">
        <v>0</v>
      </c>
      <c r="AM491" s="222">
        <v>0</v>
      </c>
      <c r="AN491" s="222"/>
      <c r="AO491" s="222">
        <v>0</v>
      </c>
    </row>
    <row r="492" spans="1:41" s="223" customFormat="1" ht="36" customHeight="1" x14ac:dyDescent="0.25">
      <c r="B492" s="215" t="s">
        <v>882</v>
      </c>
      <c r="C492" s="227"/>
      <c r="D492" s="217" t="s">
        <v>890</v>
      </c>
      <c r="E492" s="217" t="s">
        <v>890</v>
      </c>
      <c r="F492" s="217" t="s">
        <v>890</v>
      </c>
      <c r="G492" s="217" t="s">
        <v>890</v>
      </c>
      <c r="H492" s="217" t="s">
        <v>890</v>
      </c>
      <c r="I492" s="218">
        <f>SUM(I493:I496)</f>
        <v>9103.2800000000007</v>
      </c>
      <c r="J492" s="218">
        <f>SUM(J493:J496)</f>
        <v>6597.92</v>
      </c>
      <c r="K492" s="218">
        <f>SUM(K493:K496)</f>
        <v>6581.6</v>
      </c>
      <c r="L492" s="219">
        <f>SUM(L493:L496)</f>
        <v>365</v>
      </c>
      <c r="M492" s="217" t="s">
        <v>890</v>
      </c>
      <c r="N492" s="217" t="s">
        <v>890</v>
      </c>
      <c r="O492" s="220" t="s">
        <v>890</v>
      </c>
      <c r="P492" s="190">
        <v>3380450.98</v>
      </c>
      <c r="Q492" s="190">
        <f>SUM(Q493:Q496)</f>
        <v>0</v>
      </c>
      <c r="R492" s="190">
        <f>SUM(R493:R496)</f>
        <v>0</v>
      </c>
      <c r="S492" s="190">
        <f>SUM(S493:S496)</f>
        <v>3380450.98</v>
      </c>
      <c r="T492" s="190">
        <f t="shared" si="51"/>
        <v>371.34428250037348</v>
      </c>
      <c r="U492" s="190">
        <f>MAX(U493:U496)</f>
        <v>879.4065848527348</v>
      </c>
      <c r="V492" s="221">
        <f t="shared" si="53"/>
        <v>508.06230235236131</v>
      </c>
      <c r="W492" s="221"/>
      <c r="X492" s="221"/>
      <c r="Y492" s="222"/>
      <c r="Z492" s="222"/>
      <c r="AA492" s="222"/>
      <c r="AB492" s="222"/>
      <c r="AC492" s="222"/>
      <c r="AD492" s="222"/>
      <c r="AE492" s="222"/>
      <c r="AF492" s="222"/>
      <c r="AG492" s="222"/>
      <c r="AH492" s="222"/>
      <c r="AI492" s="222"/>
      <c r="AJ492" s="222"/>
      <c r="AK492" s="222"/>
      <c r="AL492" s="222"/>
      <c r="AM492" s="222"/>
      <c r="AN492" s="222"/>
      <c r="AO492" s="222"/>
    </row>
    <row r="493" spans="1:41" s="223" customFormat="1" ht="36" customHeight="1" x14ac:dyDescent="0.25">
      <c r="A493" s="223">
        <v>1</v>
      </c>
      <c r="B493" s="225">
        <f>SUBTOTAL(103,$A$16:A493)</f>
        <v>426</v>
      </c>
      <c r="C493" s="215" t="s">
        <v>1678</v>
      </c>
      <c r="D493" s="217">
        <v>1978</v>
      </c>
      <c r="E493" s="217"/>
      <c r="F493" s="226" t="s">
        <v>318</v>
      </c>
      <c r="G493" s="217">
        <v>3</v>
      </c>
      <c r="H493" s="217" t="s">
        <v>2267</v>
      </c>
      <c r="I493" s="218">
        <v>3214.48</v>
      </c>
      <c r="J493" s="218">
        <v>1869.92</v>
      </c>
      <c r="K493" s="218">
        <v>1853.6</v>
      </c>
      <c r="L493" s="219">
        <v>124</v>
      </c>
      <c r="M493" s="217" t="s">
        <v>265</v>
      </c>
      <c r="N493" s="217" t="s">
        <v>266</v>
      </c>
      <c r="O493" s="220" t="s">
        <v>268</v>
      </c>
      <c r="P493" s="190">
        <v>824971.76</v>
      </c>
      <c r="Q493" s="190">
        <v>0</v>
      </c>
      <c r="R493" s="190">
        <v>0</v>
      </c>
      <c r="S493" s="190">
        <f>P493-Q493-R493</f>
        <v>824971.76</v>
      </c>
      <c r="T493" s="190">
        <f t="shared" si="51"/>
        <v>256.6423682835171</v>
      </c>
      <c r="U493" s="190">
        <v>415.02155869689653</v>
      </c>
      <c r="V493" s="221">
        <f t="shared" si="53"/>
        <v>158.37919041337943</v>
      </c>
      <c r="W493" s="221">
        <f>X493+Y493+Z493+AA493+AB493+AD493+AF493+AH493+AJ493+AL493+AN493+AO493</f>
        <v>376.14194457579458</v>
      </c>
      <c r="X493" s="221">
        <v>0</v>
      </c>
      <c r="Y493" s="222">
        <v>0</v>
      </c>
      <c r="Z493" s="222">
        <v>0</v>
      </c>
      <c r="AA493" s="222">
        <v>0</v>
      </c>
      <c r="AB493" s="222">
        <v>0</v>
      </c>
      <c r="AC493" s="222">
        <v>0</v>
      </c>
      <c r="AD493" s="222">
        <v>0</v>
      </c>
      <c r="AE493" s="222">
        <v>193.8</v>
      </c>
      <c r="AF493" s="221">
        <f>6238.91*AE493/I493</f>
        <v>376.14194457579458</v>
      </c>
      <c r="AG493" s="222">
        <v>0</v>
      </c>
      <c r="AH493" s="221">
        <v>0</v>
      </c>
      <c r="AI493" s="222">
        <v>0</v>
      </c>
      <c r="AJ493" s="221">
        <v>0</v>
      </c>
      <c r="AK493" s="222">
        <v>0</v>
      </c>
      <c r="AL493" s="222">
        <v>0</v>
      </c>
      <c r="AM493" s="222">
        <v>0</v>
      </c>
      <c r="AN493" s="222"/>
      <c r="AO493" s="222">
        <v>0</v>
      </c>
    </row>
    <row r="494" spans="1:41" s="223" customFormat="1" ht="36" customHeight="1" x14ac:dyDescent="0.25">
      <c r="A494" s="223">
        <v>1</v>
      </c>
      <c r="B494" s="225">
        <f>SUBTOTAL(103,$A$16:A494)</f>
        <v>427</v>
      </c>
      <c r="C494" s="215" t="s">
        <v>1679</v>
      </c>
      <c r="D494" s="217">
        <v>1980</v>
      </c>
      <c r="E494" s="217"/>
      <c r="F494" s="226" t="s">
        <v>318</v>
      </c>
      <c r="G494" s="217">
        <v>5</v>
      </c>
      <c r="H494" s="217" t="s">
        <v>303</v>
      </c>
      <c r="I494" s="218">
        <v>2143.8000000000002</v>
      </c>
      <c r="J494" s="218">
        <v>2143.8000000000002</v>
      </c>
      <c r="K494" s="218">
        <v>2143.8000000000002</v>
      </c>
      <c r="L494" s="219">
        <v>95</v>
      </c>
      <c r="M494" s="217" t="s">
        <v>265</v>
      </c>
      <c r="N494" s="217" t="s">
        <v>266</v>
      </c>
      <c r="O494" s="220" t="s">
        <v>268</v>
      </c>
      <c r="P494" s="190">
        <v>848636.41</v>
      </c>
      <c r="Q494" s="190">
        <v>0</v>
      </c>
      <c r="R494" s="190">
        <v>0</v>
      </c>
      <c r="S494" s="190">
        <f>P494-Q494-R494</f>
        <v>848636.41</v>
      </c>
      <c r="T494" s="190">
        <f t="shared" si="51"/>
        <v>395.85614796156358</v>
      </c>
      <c r="U494" s="190">
        <v>589.2082143856702</v>
      </c>
      <c r="V494" s="221">
        <f t="shared" si="53"/>
        <v>193.35206642410662</v>
      </c>
      <c r="W494" s="221">
        <f>X494+Y494+Z494+AA494+AB494+AD494+AF494+AH494+AJ494+AL494+AN494+AO494</f>
        <v>631.60305872749325</v>
      </c>
      <c r="X494" s="221">
        <v>0</v>
      </c>
      <c r="Y494" s="222">
        <v>0</v>
      </c>
      <c r="Z494" s="222">
        <v>0</v>
      </c>
      <c r="AA494" s="222">
        <v>0</v>
      </c>
      <c r="AB494" s="222">
        <v>0</v>
      </c>
      <c r="AC494" s="222">
        <v>0</v>
      </c>
      <c r="AD494" s="222">
        <v>0</v>
      </c>
      <c r="AE494" s="222">
        <v>217.03</v>
      </c>
      <c r="AF494" s="221">
        <f>6238.91*AE494/I494</f>
        <v>631.60305872749325</v>
      </c>
      <c r="AG494" s="222">
        <v>0</v>
      </c>
      <c r="AH494" s="221">
        <v>0</v>
      </c>
      <c r="AI494" s="222">
        <v>0</v>
      </c>
      <c r="AJ494" s="221">
        <v>0</v>
      </c>
      <c r="AK494" s="222">
        <v>0</v>
      </c>
      <c r="AL494" s="222">
        <v>0</v>
      </c>
      <c r="AM494" s="222">
        <v>0</v>
      </c>
      <c r="AN494" s="222"/>
      <c r="AO494" s="222">
        <v>0</v>
      </c>
    </row>
    <row r="495" spans="1:41" s="223" customFormat="1" ht="36" customHeight="1" x14ac:dyDescent="0.25">
      <c r="A495" s="223">
        <v>1</v>
      </c>
      <c r="B495" s="225">
        <f>SUBTOTAL(103,$A$16:A495)</f>
        <v>428</v>
      </c>
      <c r="C495" s="215" t="s">
        <v>1680</v>
      </c>
      <c r="D495" s="217">
        <v>1982</v>
      </c>
      <c r="E495" s="217"/>
      <c r="F495" s="226" t="s">
        <v>318</v>
      </c>
      <c r="G495" s="217">
        <v>5</v>
      </c>
      <c r="H495" s="217" t="s">
        <v>312</v>
      </c>
      <c r="I495" s="218">
        <v>2319</v>
      </c>
      <c r="J495" s="218">
        <v>1158.2</v>
      </c>
      <c r="K495" s="218">
        <v>1158.2</v>
      </c>
      <c r="L495" s="219">
        <v>93</v>
      </c>
      <c r="M495" s="217" t="s">
        <v>265</v>
      </c>
      <c r="N495" s="217" t="s">
        <v>266</v>
      </c>
      <c r="O495" s="220" t="s">
        <v>268</v>
      </c>
      <c r="P495" s="190">
        <v>854226.54</v>
      </c>
      <c r="Q495" s="190">
        <v>0</v>
      </c>
      <c r="R495" s="190">
        <v>0</v>
      </c>
      <c r="S495" s="190">
        <f>P495-Q495-R495</f>
        <v>854226.54</v>
      </c>
      <c r="T495" s="190">
        <f t="shared" si="51"/>
        <v>368.35987063389393</v>
      </c>
      <c r="U495" s="190">
        <v>542.16802069857692</v>
      </c>
      <c r="V495" s="221">
        <f t="shared" si="53"/>
        <v>173.80815006468299</v>
      </c>
      <c r="W495" s="221">
        <f>X495+Y495+Z495+AA495+AB495+AD495+AF495+AH495+AJ495+AL495+AN495+AO495</f>
        <v>581.51806662354466</v>
      </c>
      <c r="X495" s="221">
        <v>0</v>
      </c>
      <c r="Y495" s="222">
        <v>0</v>
      </c>
      <c r="Z495" s="222">
        <v>0</v>
      </c>
      <c r="AA495" s="222">
        <v>0</v>
      </c>
      <c r="AB495" s="222">
        <v>0</v>
      </c>
      <c r="AC495" s="222">
        <v>0</v>
      </c>
      <c r="AD495" s="222">
        <v>0</v>
      </c>
      <c r="AE495" s="222">
        <v>216.15</v>
      </c>
      <c r="AF495" s="221">
        <f>6238.91*AE495/I495</f>
        <v>581.51806662354466</v>
      </c>
      <c r="AG495" s="222">
        <v>0</v>
      </c>
      <c r="AH495" s="221">
        <v>0</v>
      </c>
      <c r="AI495" s="222">
        <v>0</v>
      </c>
      <c r="AJ495" s="221">
        <v>0</v>
      </c>
      <c r="AK495" s="222">
        <v>0</v>
      </c>
      <c r="AL495" s="222">
        <v>0</v>
      </c>
      <c r="AM495" s="222">
        <v>0</v>
      </c>
      <c r="AN495" s="222"/>
      <c r="AO495" s="222">
        <v>0</v>
      </c>
    </row>
    <row r="496" spans="1:41" s="223" customFormat="1" ht="36" customHeight="1" x14ac:dyDescent="0.25">
      <c r="A496" s="223">
        <v>1</v>
      </c>
      <c r="B496" s="225">
        <f>SUBTOTAL(103,$A$16:A496)</f>
        <v>429</v>
      </c>
      <c r="C496" s="215" t="s">
        <v>1677</v>
      </c>
      <c r="D496" s="217">
        <v>1983</v>
      </c>
      <c r="E496" s="217"/>
      <c r="F496" s="226" t="s">
        <v>318</v>
      </c>
      <c r="G496" s="217">
        <v>5</v>
      </c>
      <c r="H496" s="217" t="s">
        <v>303</v>
      </c>
      <c r="I496" s="218">
        <v>1426</v>
      </c>
      <c r="J496" s="218">
        <v>1426</v>
      </c>
      <c r="K496" s="218">
        <v>1426</v>
      </c>
      <c r="L496" s="219">
        <v>53</v>
      </c>
      <c r="M496" s="217" t="s">
        <v>265</v>
      </c>
      <c r="N496" s="217" t="s">
        <v>266</v>
      </c>
      <c r="O496" s="220" t="s">
        <v>268</v>
      </c>
      <c r="P496" s="190">
        <v>852616.27</v>
      </c>
      <c r="Q496" s="190">
        <v>0</v>
      </c>
      <c r="R496" s="190">
        <v>0</v>
      </c>
      <c r="S496" s="190">
        <f>P496-Q496-R496</f>
        <v>852616.27</v>
      </c>
      <c r="T496" s="190">
        <f t="shared" si="51"/>
        <v>597.90762272089762</v>
      </c>
      <c r="U496" s="190">
        <v>879.4065848527348</v>
      </c>
      <c r="V496" s="221">
        <f t="shared" si="53"/>
        <v>281.49896213183717</v>
      </c>
      <c r="W496" s="221">
        <f>X496+Y496+Z496+AA496+AB496+AD496+AF496+AH496+AJ496+AL496+AN496+AO496</f>
        <v>942.9679328892006</v>
      </c>
      <c r="X496" s="221">
        <v>0</v>
      </c>
      <c r="Y496" s="222">
        <v>0</v>
      </c>
      <c r="Z496" s="222">
        <v>0</v>
      </c>
      <c r="AA496" s="222">
        <v>0</v>
      </c>
      <c r="AB496" s="222">
        <v>0</v>
      </c>
      <c r="AC496" s="222">
        <v>0</v>
      </c>
      <c r="AD496" s="222">
        <v>0</v>
      </c>
      <c r="AE496" s="222">
        <v>215.53</v>
      </c>
      <c r="AF496" s="221">
        <f>6238.91*AE496/I496</f>
        <v>942.9679328892006</v>
      </c>
      <c r="AG496" s="222">
        <v>0</v>
      </c>
      <c r="AH496" s="221">
        <v>0</v>
      </c>
      <c r="AI496" s="222">
        <v>0</v>
      </c>
      <c r="AJ496" s="221">
        <v>0</v>
      </c>
      <c r="AK496" s="222">
        <v>0</v>
      </c>
      <c r="AL496" s="222">
        <v>0</v>
      </c>
      <c r="AM496" s="222">
        <v>0</v>
      </c>
      <c r="AN496" s="222"/>
      <c r="AO496" s="222">
        <v>0</v>
      </c>
    </row>
    <row r="497" spans="1:41" s="223" customFormat="1" ht="36" customHeight="1" x14ac:dyDescent="0.25">
      <c r="B497" s="215" t="s">
        <v>854</v>
      </c>
      <c r="C497" s="227"/>
      <c r="D497" s="217" t="s">
        <v>890</v>
      </c>
      <c r="E497" s="217" t="s">
        <v>890</v>
      </c>
      <c r="F497" s="217" t="s">
        <v>890</v>
      </c>
      <c r="G497" s="217" t="s">
        <v>890</v>
      </c>
      <c r="H497" s="217" t="s">
        <v>890</v>
      </c>
      <c r="I497" s="218">
        <f>SUM(I498:I502)</f>
        <v>2977.1</v>
      </c>
      <c r="J497" s="218">
        <f>SUM(J498:J502)</f>
        <v>2780.3</v>
      </c>
      <c r="K497" s="218">
        <f>SUM(K498:K502)</f>
        <v>2727.3</v>
      </c>
      <c r="L497" s="219">
        <f>SUM(L498:L502)</f>
        <v>125</v>
      </c>
      <c r="M497" s="217" t="s">
        <v>890</v>
      </c>
      <c r="N497" s="217" t="s">
        <v>890</v>
      </c>
      <c r="O497" s="220" t="s">
        <v>890</v>
      </c>
      <c r="P497" s="190">
        <v>7738017.7799999993</v>
      </c>
      <c r="Q497" s="190">
        <f>SUM(Q498:Q502)</f>
        <v>0</v>
      </c>
      <c r="R497" s="190">
        <f>SUM(R498:R502)</f>
        <v>0</v>
      </c>
      <c r="S497" s="190">
        <f>SUM(S498:S502)</f>
        <v>7738017.7799999993</v>
      </c>
      <c r="T497" s="190">
        <f t="shared" si="51"/>
        <v>2599.179664774445</v>
      </c>
      <c r="U497" s="190">
        <f>MAX(U498:U502)</f>
        <v>9465.485926216641</v>
      </c>
      <c r="V497" s="221">
        <f t="shared" si="53"/>
        <v>6866.306261442196</v>
      </c>
      <c r="W497" s="221"/>
      <c r="X497" s="221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</row>
    <row r="498" spans="1:41" s="223" customFormat="1" ht="36" customHeight="1" x14ac:dyDescent="0.25">
      <c r="A498" s="223">
        <v>1</v>
      </c>
      <c r="B498" s="225">
        <f>SUBTOTAL(103,$A$16:A498)</f>
        <v>430</v>
      </c>
      <c r="C498" s="215" t="s">
        <v>89</v>
      </c>
      <c r="D498" s="217">
        <v>1969</v>
      </c>
      <c r="E498" s="217"/>
      <c r="F498" s="226" t="s">
        <v>267</v>
      </c>
      <c r="G498" s="217">
        <v>2</v>
      </c>
      <c r="H498" s="217" t="s">
        <v>303</v>
      </c>
      <c r="I498" s="190">
        <v>773.4</v>
      </c>
      <c r="J498" s="190">
        <v>714.5</v>
      </c>
      <c r="K498" s="190">
        <v>714.5</v>
      </c>
      <c r="L498" s="219">
        <v>41</v>
      </c>
      <c r="M498" s="217" t="s">
        <v>265</v>
      </c>
      <c r="N498" s="217" t="s">
        <v>269</v>
      </c>
      <c r="O498" s="220" t="s">
        <v>280</v>
      </c>
      <c r="P498" s="190">
        <v>2421334.88</v>
      </c>
      <c r="Q498" s="190">
        <v>0</v>
      </c>
      <c r="R498" s="190">
        <v>0</v>
      </c>
      <c r="S498" s="190">
        <f>P498-Q498-R498</f>
        <v>2421334.88</v>
      </c>
      <c r="T498" s="190">
        <f t="shared" si="51"/>
        <v>3130.7665890871476</v>
      </c>
      <c r="U498" s="190">
        <v>5292.6600724075506</v>
      </c>
      <c r="V498" s="221">
        <f t="shared" si="53"/>
        <v>2161.893483320403</v>
      </c>
      <c r="W498" s="221">
        <f>X498+Y498+Z498+AA498+AB498+AD498+AF498+AH498+AJ498+AL498+AN498+AO498</f>
        <v>5074.0553271269719</v>
      </c>
      <c r="X498" s="221">
        <v>0</v>
      </c>
      <c r="Y498" s="222">
        <v>0</v>
      </c>
      <c r="Z498" s="222">
        <v>0</v>
      </c>
      <c r="AA498" s="222">
        <v>0</v>
      </c>
      <c r="AB498" s="222">
        <v>0</v>
      </c>
      <c r="AC498" s="222">
        <v>0</v>
      </c>
      <c r="AD498" s="222">
        <v>0</v>
      </c>
      <c r="AE498" s="222">
        <v>629</v>
      </c>
      <c r="AF498" s="221">
        <f>6238.91*AE498/I498</f>
        <v>5074.0553271269719</v>
      </c>
      <c r="AG498" s="222">
        <v>0</v>
      </c>
      <c r="AH498" s="221">
        <v>0</v>
      </c>
      <c r="AI498" s="222">
        <v>0</v>
      </c>
      <c r="AJ498" s="221">
        <v>0</v>
      </c>
      <c r="AK498" s="222">
        <v>0</v>
      </c>
      <c r="AL498" s="222">
        <v>0</v>
      </c>
      <c r="AM498" s="222">
        <v>0</v>
      </c>
      <c r="AN498" s="222"/>
      <c r="AO498" s="222">
        <v>0</v>
      </c>
    </row>
    <row r="499" spans="1:41" s="223" customFormat="1" ht="36" customHeight="1" x14ac:dyDescent="0.25">
      <c r="A499" s="223">
        <v>1</v>
      </c>
      <c r="B499" s="225">
        <f>SUBTOTAL(103,$A$16:A499)</f>
        <v>431</v>
      </c>
      <c r="C499" s="215" t="s">
        <v>90</v>
      </c>
      <c r="D499" s="217">
        <v>1960</v>
      </c>
      <c r="E499" s="217"/>
      <c r="F499" s="226" t="s">
        <v>267</v>
      </c>
      <c r="G499" s="217">
        <v>2</v>
      </c>
      <c r="H499" s="217" t="s">
        <v>304</v>
      </c>
      <c r="I499" s="190">
        <v>382.2</v>
      </c>
      <c r="J499" s="190">
        <v>358.4</v>
      </c>
      <c r="K499" s="190">
        <v>358.4</v>
      </c>
      <c r="L499" s="219">
        <v>21</v>
      </c>
      <c r="M499" s="217" t="s">
        <v>265</v>
      </c>
      <c r="N499" s="217" t="s">
        <v>269</v>
      </c>
      <c r="O499" s="220" t="s">
        <v>280</v>
      </c>
      <c r="P499" s="190">
        <v>1656413.77</v>
      </c>
      <c r="Q499" s="190">
        <v>0</v>
      </c>
      <c r="R499" s="190">
        <v>0</v>
      </c>
      <c r="S499" s="190">
        <f>P499-Q499-R499</f>
        <v>1656413.77</v>
      </c>
      <c r="T499" s="190">
        <f t="shared" si="51"/>
        <v>4333.892647828362</v>
      </c>
      <c r="U499" s="190">
        <v>9465.485926216641</v>
      </c>
      <c r="V499" s="221">
        <f t="shared" si="53"/>
        <v>5131.593278388279</v>
      </c>
      <c r="W499" s="221">
        <f>X499+Y499+Z499+AA499+AB499+AD499+AF499+AH499+AJ499+AL499+AN499+AO499</f>
        <v>9465.485926216641</v>
      </c>
      <c r="X499" s="221">
        <v>0</v>
      </c>
      <c r="Y499" s="222">
        <v>0</v>
      </c>
      <c r="Z499" s="222">
        <v>0</v>
      </c>
      <c r="AA499" s="222">
        <v>0</v>
      </c>
      <c r="AB499" s="222">
        <v>0</v>
      </c>
      <c r="AC499" s="222">
        <v>0</v>
      </c>
      <c r="AD499" s="222">
        <v>0</v>
      </c>
      <c r="AE499" s="222">
        <v>0</v>
      </c>
      <c r="AF499" s="221">
        <v>0</v>
      </c>
      <c r="AG499" s="222">
        <v>0</v>
      </c>
      <c r="AH499" s="221">
        <v>0</v>
      </c>
      <c r="AI499" s="222">
        <v>486.31</v>
      </c>
      <c r="AJ499" s="221">
        <f>7439.1*AI499/I499</f>
        <v>9465.485926216641</v>
      </c>
      <c r="AK499" s="222">
        <v>0</v>
      </c>
      <c r="AL499" s="222">
        <v>0</v>
      </c>
      <c r="AM499" s="222">
        <v>0</v>
      </c>
      <c r="AN499" s="222"/>
      <c r="AO499" s="222">
        <v>0</v>
      </c>
    </row>
    <row r="500" spans="1:41" s="223" customFormat="1" ht="36" customHeight="1" x14ac:dyDescent="0.25">
      <c r="A500" s="223">
        <v>1</v>
      </c>
      <c r="B500" s="225">
        <f>SUBTOTAL(103,$A$16:A500)</f>
        <v>432</v>
      </c>
      <c r="C500" s="215" t="s">
        <v>1261</v>
      </c>
      <c r="D500" s="217">
        <v>1965</v>
      </c>
      <c r="E500" s="217"/>
      <c r="F500" s="226" t="s">
        <v>330</v>
      </c>
      <c r="G500" s="217">
        <v>2</v>
      </c>
      <c r="H500" s="217" t="s">
        <v>304</v>
      </c>
      <c r="I500" s="190">
        <v>377</v>
      </c>
      <c r="J500" s="190">
        <v>377</v>
      </c>
      <c r="K500" s="190">
        <v>377</v>
      </c>
      <c r="L500" s="219">
        <v>23</v>
      </c>
      <c r="M500" s="217" t="s">
        <v>265</v>
      </c>
      <c r="N500" s="217" t="s">
        <v>269</v>
      </c>
      <c r="O500" s="220" t="s">
        <v>280</v>
      </c>
      <c r="P500" s="190">
        <v>507522.62999999995</v>
      </c>
      <c r="Q500" s="190">
        <v>0</v>
      </c>
      <c r="R500" s="190">
        <v>0</v>
      </c>
      <c r="S500" s="190">
        <f>P500-Q500-R500</f>
        <v>507522.62999999995</v>
      </c>
      <c r="T500" s="190">
        <f t="shared" si="51"/>
        <v>1346.2138726790449</v>
      </c>
      <c r="U500" s="190">
        <v>4631.2681034482757</v>
      </c>
      <c r="V500" s="221">
        <f t="shared" si="53"/>
        <v>3285.0542307692308</v>
      </c>
      <c r="W500" s="221">
        <f>X500+Y500+Z500+AA500+AB500+AD500+AF500+AH500+AJ500+AL500+AN500+AO500</f>
        <v>4631.2681034482757</v>
      </c>
      <c r="X500" s="221">
        <v>0</v>
      </c>
      <c r="Y500" s="222">
        <v>0</v>
      </c>
      <c r="Z500" s="222">
        <v>0</v>
      </c>
      <c r="AA500" s="222">
        <v>0</v>
      </c>
      <c r="AB500" s="222">
        <v>0</v>
      </c>
      <c r="AC500" s="222">
        <v>0</v>
      </c>
      <c r="AD500" s="222">
        <v>0</v>
      </c>
      <c r="AE500" s="222">
        <v>0</v>
      </c>
      <c r="AF500" s="221">
        <v>0</v>
      </c>
      <c r="AG500" s="222">
        <v>0</v>
      </c>
      <c r="AH500" s="221">
        <v>0</v>
      </c>
      <c r="AI500" s="222">
        <v>438.75</v>
      </c>
      <c r="AJ500" s="221">
        <f>3979.46*AI500/I500</f>
        <v>4631.2681034482757</v>
      </c>
      <c r="AK500" s="222">
        <v>0</v>
      </c>
      <c r="AL500" s="222">
        <v>0</v>
      </c>
      <c r="AM500" s="222">
        <v>0</v>
      </c>
      <c r="AN500" s="222"/>
      <c r="AO500" s="222">
        <v>0</v>
      </c>
    </row>
    <row r="501" spans="1:41" s="223" customFormat="1" ht="36" customHeight="1" x14ac:dyDescent="0.25">
      <c r="A501" s="223">
        <v>1</v>
      </c>
      <c r="B501" s="225">
        <f>SUBTOTAL(103,$A$16:A501)</f>
        <v>433</v>
      </c>
      <c r="C501" s="215" t="s">
        <v>1262</v>
      </c>
      <c r="D501" s="217">
        <v>1917</v>
      </c>
      <c r="E501" s="217"/>
      <c r="F501" s="226" t="s">
        <v>267</v>
      </c>
      <c r="G501" s="217">
        <v>2</v>
      </c>
      <c r="H501" s="217" t="s">
        <v>304</v>
      </c>
      <c r="I501" s="190">
        <v>319.3</v>
      </c>
      <c r="J501" s="190">
        <v>205.2</v>
      </c>
      <c r="K501" s="190">
        <v>152.19999999999999</v>
      </c>
      <c r="L501" s="219">
        <v>14</v>
      </c>
      <c r="M501" s="217" t="s">
        <v>265</v>
      </c>
      <c r="N501" s="217" t="s">
        <v>266</v>
      </c>
      <c r="O501" s="220" t="s">
        <v>268</v>
      </c>
      <c r="P501" s="190">
        <v>81322.009999999995</v>
      </c>
      <c r="Q501" s="190">
        <v>0</v>
      </c>
      <c r="R501" s="190">
        <v>0</v>
      </c>
      <c r="S501" s="190">
        <f>P501-Q501-R501</f>
        <v>81322.009999999995</v>
      </c>
      <c r="T501" s="190">
        <f t="shared" si="51"/>
        <v>254.68841215158156</v>
      </c>
      <c r="U501" s="190">
        <v>254.68841215158156</v>
      </c>
      <c r="V501" s="221">
        <f t="shared" si="53"/>
        <v>0</v>
      </c>
      <c r="W501" s="221">
        <f>X501+Y501+Z501+AA501+AB501+AD501+AF501+AH501+AJ501+AL501+AN501+AO501</f>
        <v>16986.682774819921</v>
      </c>
      <c r="X501" s="221">
        <v>0</v>
      </c>
      <c r="Y501" s="222">
        <v>0</v>
      </c>
      <c r="Z501" s="222">
        <v>0</v>
      </c>
      <c r="AA501" s="222">
        <v>0</v>
      </c>
      <c r="AB501" s="222">
        <v>0</v>
      </c>
      <c r="AC501" s="222">
        <v>0</v>
      </c>
      <c r="AD501" s="222">
        <v>0</v>
      </c>
      <c r="AE501" s="222">
        <v>0</v>
      </c>
      <c r="AF501" s="221">
        <v>0</v>
      </c>
      <c r="AG501" s="222">
        <v>0</v>
      </c>
      <c r="AH501" s="221">
        <v>0</v>
      </c>
      <c r="AI501" s="222">
        <v>729.1</v>
      </c>
      <c r="AJ501" s="221">
        <f>7439.1*AI501/I501</f>
        <v>16986.682774819921</v>
      </c>
      <c r="AK501" s="222">
        <v>0</v>
      </c>
      <c r="AL501" s="222">
        <v>0</v>
      </c>
      <c r="AM501" s="222">
        <v>0</v>
      </c>
      <c r="AN501" s="222"/>
      <c r="AO501" s="222">
        <v>0</v>
      </c>
    </row>
    <row r="502" spans="1:41" s="223" customFormat="1" ht="36" customHeight="1" x14ac:dyDescent="0.25">
      <c r="A502" s="223">
        <v>1</v>
      </c>
      <c r="B502" s="225">
        <f>SUBTOTAL(103,$A$16:A502)</f>
        <v>434</v>
      </c>
      <c r="C502" s="215" t="s">
        <v>1263</v>
      </c>
      <c r="D502" s="217">
        <v>1978</v>
      </c>
      <c r="E502" s="217"/>
      <c r="F502" s="226" t="s">
        <v>1341</v>
      </c>
      <c r="G502" s="217">
        <v>2</v>
      </c>
      <c r="H502" s="217" t="s">
        <v>308</v>
      </c>
      <c r="I502" s="190">
        <v>1125.2</v>
      </c>
      <c r="J502" s="190">
        <v>1125.2</v>
      </c>
      <c r="K502" s="190">
        <v>1125.2</v>
      </c>
      <c r="L502" s="219">
        <v>26</v>
      </c>
      <c r="M502" s="217" t="s">
        <v>265</v>
      </c>
      <c r="N502" s="217" t="s">
        <v>269</v>
      </c>
      <c r="O502" s="220" t="s">
        <v>1342</v>
      </c>
      <c r="P502" s="190">
        <v>3071424.4899999998</v>
      </c>
      <c r="Q502" s="190">
        <v>0</v>
      </c>
      <c r="R502" s="190">
        <v>0</v>
      </c>
      <c r="S502" s="190">
        <f>P502-Q502-R502</f>
        <v>3071424.4899999998</v>
      </c>
      <c r="T502" s="190">
        <f t="shared" si="51"/>
        <v>2729.6698275862068</v>
      </c>
      <c r="U502" s="190">
        <v>5345.1976004265907</v>
      </c>
      <c r="V502" s="221">
        <f t="shared" si="53"/>
        <v>2615.5277728403839</v>
      </c>
      <c r="W502" s="221">
        <f>X502+Y502+Z502+AA502+AB502+AD502+AF502+AH502+AJ502+AL502+AN502+AO502</f>
        <v>5124.4228777106291</v>
      </c>
      <c r="X502" s="221">
        <v>0</v>
      </c>
      <c r="Y502" s="222">
        <v>0</v>
      </c>
      <c r="Z502" s="222">
        <v>0</v>
      </c>
      <c r="AA502" s="222">
        <v>0</v>
      </c>
      <c r="AB502" s="222">
        <v>0</v>
      </c>
      <c r="AC502" s="222">
        <v>0</v>
      </c>
      <c r="AD502" s="222">
        <v>0</v>
      </c>
      <c r="AE502" s="222">
        <v>924.2</v>
      </c>
      <c r="AF502" s="221">
        <f>6238.91*AE502/I502</f>
        <v>5124.4228777106291</v>
      </c>
      <c r="AG502" s="222">
        <v>0</v>
      </c>
      <c r="AH502" s="221">
        <v>0</v>
      </c>
      <c r="AI502" s="222">
        <v>0</v>
      </c>
      <c r="AJ502" s="221">
        <v>0</v>
      </c>
      <c r="AK502" s="222">
        <v>0</v>
      </c>
      <c r="AL502" s="222">
        <v>0</v>
      </c>
      <c r="AM502" s="222">
        <v>0</v>
      </c>
      <c r="AN502" s="222"/>
      <c r="AO502" s="222">
        <v>0</v>
      </c>
    </row>
    <row r="503" spans="1:41" s="223" customFormat="1" ht="36" customHeight="1" x14ac:dyDescent="0.25">
      <c r="B503" s="215" t="s">
        <v>881</v>
      </c>
      <c r="C503" s="215"/>
      <c r="D503" s="217" t="s">
        <v>890</v>
      </c>
      <c r="E503" s="217" t="s">
        <v>890</v>
      </c>
      <c r="F503" s="217" t="s">
        <v>890</v>
      </c>
      <c r="G503" s="217" t="s">
        <v>890</v>
      </c>
      <c r="H503" s="217" t="s">
        <v>890</v>
      </c>
      <c r="I503" s="218">
        <f>I504</f>
        <v>1191.0999999999999</v>
      </c>
      <c r="J503" s="218">
        <f>J504</f>
        <v>714.7</v>
      </c>
      <c r="K503" s="218">
        <f>K504</f>
        <v>714.7</v>
      </c>
      <c r="L503" s="219">
        <f>L504</f>
        <v>26</v>
      </c>
      <c r="M503" s="217" t="s">
        <v>890</v>
      </c>
      <c r="N503" s="217" t="s">
        <v>890</v>
      </c>
      <c r="O503" s="220" t="s">
        <v>890</v>
      </c>
      <c r="P503" s="190">
        <v>2846268.34</v>
      </c>
      <c r="Q503" s="190">
        <f>Q504</f>
        <v>0</v>
      </c>
      <c r="R503" s="190">
        <f>R504</f>
        <v>0</v>
      </c>
      <c r="S503" s="190">
        <f>S504</f>
        <v>2846268.34</v>
      </c>
      <c r="T503" s="190">
        <f t="shared" si="51"/>
        <v>2389.6132482579128</v>
      </c>
      <c r="U503" s="190">
        <f>MAX(U504)</f>
        <v>3350.2826295021414</v>
      </c>
      <c r="V503" s="221">
        <f t="shared" si="53"/>
        <v>960.66938124422859</v>
      </c>
      <c r="W503" s="221"/>
      <c r="X503" s="221"/>
      <c r="Y503" s="222"/>
      <c r="Z503" s="222"/>
      <c r="AA503" s="222"/>
      <c r="AB503" s="222"/>
      <c r="AC503" s="222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</row>
    <row r="504" spans="1:41" s="223" customFormat="1" ht="36" customHeight="1" x14ac:dyDescent="0.25">
      <c r="A504" s="223">
        <v>1</v>
      </c>
      <c r="B504" s="225">
        <f>SUBTOTAL(103,$A$16:A504)</f>
        <v>435</v>
      </c>
      <c r="C504" s="215" t="s">
        <v>91</v>
      </c>
      <c r="D504" s="217">
        <v>1967</v>
      </c>
      <c r="E504" s="217"/>
      <c r="F504" s="226" t="s">
        <v>267</v>
      </c>
      <c r="G504" s="217">
        <v>2</v>
      </c>
      <c r="H504" s="217" t="s">
        <v>303</v>
      </c>
      <c r="I504" s="190">
        <v>1191.0999999999999</v>
      </c>
      <c r="J504" s="190">
        <v>714.7</v>
      </c>
      <c r="K504" s="190">
        <v>714.7</v>
      </c>
      <c r="L504" s="219">
        <v>26</v>
      </c>
      <c r="M504" s="217" t="s">
        <v>265</v>
      </c>
      <c r="N504" s="217" t="s">
        <v>269</v>
      </c>
      <c r="O504" s="220" t="s">
        <v>281</v>
      </c>
      <c r="P504" s="190">
        <v>2846268.34</v>
      </c>
      <c r="Q504" s="190">
        <v>0</v>
      </c>
      <c r="R504" s="190">
        <v>0</v>
      </c>
      <c r="S504" s="190">
        <f>P504-Q504-R504</f>
        <v>2846268.34</v>
      </c>
      <c r="T504" s="190">
        <f t="shared" si="51"/>
        <v>2389.6132482579128</v>
      </c>
      <c r="U504" s="190">
        <v>3350.2826295021414</v>
      </c>
      <c r="V504" s="221">
        <f>U504-T504</f>
        <v>960.66938124422859</v>
      </c>
      <c r="W504" s="221">
        <f>X504+Y504+Z504+AA504+AB504+AD504+AF504+AH504+AJ504+AL504+AN504+AO504</f>
        <v>3211.90463605071</v>
      </c>
      <c r="X504" s="221">
        <v>0</v>
      </c>
      <c r="Y504" s="222">
        <v>0</v>
      </c>
      <c r="Z504" s="222">
        <v>0</v>
      </c>
      <c r="AA504" s="222">
        <v>0</v>
      </c>
      <c r="AB504" s="222">
        <v>0</v>
      </c>
      <c r="AC504" s="222">
        <v>0</v>
      </c>
      <c r="AD504" s="222">
        <v>0</v>
      </c>
      <c r="AE504" s="222">
        <v>613.20000000000005</v>
      </c>
      <c r="AF504" s="221">
        <f>6238.91*AE504/I504</f>
        <v>3211.90463605071</v>
      </c>
      <c r="AG504" s="222">
        <v>0</v>
      </c>
      <c r="AH504" s="221">
        <v>0</v>
      </c>
      <c r="AI504" s="222">
        <v>0</v>
      </c>
      <c r="AJ504" s="221">
        <v>0</v>
      </c>
      <c r="AK504" s="222">
        <v>0</v>
      </c>
      <c r="AL504" s="222">
        <v>0</v>
      </c>
      <c r="AM504" s="222">
        <v>0</v>
      </c>
      <c r="AN504" s="222"/>
      <c r="AO504" s="222">
        <v>0</v>
      </c>
    </row>
    <row r="505" spans="1:41" s="223" customFormat="1" ht="36" customHeight="1" x14ac:dyDescent="0.25">
      <c r="B505" s="215" t="s">
        <v>855</v>
      </c>
      <c r="C505" s="215"/>
      <c r="D505" s="217" t="s">
        <v>890</v>
      </c>
      <c r="E505" s="217" t="s">
        <v>890</v>
      </c>
      <c r="F505" s="217" t="s">
        <v>890</v>
      </c>
      <c r="G505" s="217" t="s">
        <v>890</v>
      </c>
      <c r="H505" s="217" t="s">
        <v>890</v>
      </c>
      <c r="I505" s="218">
        <f>SUM(I506:I507)</f>
        <v>1414.1</v>
      </c>
      <c r="J505" s="218">
        <f>SUM(J506:J507)</f>
        <v>1414.1</v>
      </c>
      <c r="K505" s="218">
        <f>SUM(K506:K507)</f>
        <v>1414.1</v>
      </c>
      <c r="L505" s="219">
        <f>SUM(L506:L507)</f>
        <v>84</v>
      </c>
      <c r="M505" s="217" t="s">
        <v>890</v>
      </c>
      <c r="N505" s="217" t="s">
        <v>890</v>
      </c>
      <c r="O505" s="220" t="s">
        <v>890</v>
      </c>
      <c r="P505" s="190">
        <v>2794020.73</v>
      </c>
      <c r="Q505" s="218">
        <f>SUM(Q506:Q507)</f>
        <v>0</v>
      </c>
      <c r="R505" s="218">
        <f>SUM(R506:R507)</f>
        <v>0</v>
      </c>
      <c r="S505" s="218">
        <f>SUM(S506:S507)</f>
        <v>2794020.73</v>
      </c>
      <c r="T505" s="190">
        <f t="shared" si="51"/>
        <v>1975.829665511633</v>
      </c>
      <c r="U505" s="190">
        <f>MAX(U506:U507)</f>
        <v>5616.1635354107648</v>
      </c>
      <c r="V505" s="221">
        <f t="shared" si="53"/>
        <v>3640.333869899132</v>
      </c>
      <c r="W505" s="221"/>
      <c r="X505" s="221"/>
      <c r="Y505" s="222"/>
      <c r="Z505" s="222"/>
      <c r="AA505" s="222"/>
      <c r="AB505" s="222"/>
      <c r="AC505" s="222"/>
      <c r="AD505" s="222"/>
      <c r="AE505" s="222"/>
      <c r="AF505" s="222"/>
      <c r="AG505" s="222"/>
      <c r="AH505" s="222"/>
      <c r="AI505" s="222"/>
      <c r="AJ505" s="222"/>
      <c r="AK505" s="222"/>
      <c r="AL505" s="222"/>
      <c r="AM505" s="222"/>
      <c r="AN505" s="222"/>
      <c r="AO505" s="222"/>
    </row>
    <row r="506" spans="1:41" s="223" customFormat="1" ht="36" customHeight="1" x14ac:dyDescent="0.25">
      <c r="A506" s="223">
        <v>1</v>
      </c>
      <c r="B506" s="225">
        <f>SUBTOTAL(103,$A$16:A506)</f>
        <v>436</v>
      </c>
      <c r="C506" s="215" t="s">
        <v>92</v>
      </c>
      <c r="D506" s="217">
        <v>1979</v>
      </c>
      <c r="E506" s="217"/>
      <c r="F506" s="226" t="s">
        <v>267</v>
      </c>
      <c r="G506" s="217">
        <v>2</v>
      </c>
      <c r="H506" s="217" t="s">
        <v>303</v>
      </c>
      <c r="I506" s="190">
        <v>706</v>
      </c>
      <c r="J506" s="190">
        <v>706</v>
      </c>
      <c r="K506" s="190">
        <v>706</v>
      </c>
      <c r="L506" s="219">
        <v>42</v>
      </c>
      <c r="M506" s="217" t="s">
        <v>265</v>
      </c>
      <c r="N506" s="217" t="s">
        <v>269</v>
      </c>
      <c r="O506" s="220" t="s">
        <v>994</v>
      </c>
      <c r="P506" s="190">
        <v>2718963.56</v>
      </c>
      <c r="Q506" s="190">
        <v>0</v>
      </c>
      <c r="R506" s="190">
        <v>0</v>
      </c>
      <c r="S506" s="190">
        <f>P506-Q506-R506</f>
        <v>2718963.56</v>
      </c>
      <c r="T506" s="190">
        <f t="shared" si="51"/>
        <v>3851.2231728045326</v>
      </c>
      <c r="U506" s="190">
        <v>5616.1635354107648</v>
      </c>
      <c r="V506" s="221">
        <f>U506-T506</f>
        <v>1764.9403626062322</v>
      </c>
      <c r="W506" s="221">
        <f>X506+Y506+Z506+AA506+AB506+AD506+AF506+AH506+AJ506+AL506+AN506+AO506</f>
        <v>5384.1970039660055</v>
      </c>
      <c r="X506" s="221">
        <v>0</v>
      </c>
      <c r="Y506" s="222">
        <v>0</v>
      </c>
      <c r="Z506" s="222">
        <v>0</v>
      </c>
      <c r="AA506" s="222">
        <v>0</v>
      </c>
      <c r="AB506" s="222">
        <v>0</v>
      </c>
      <c r="AC506" s="222">
        <v>0</v>
      </c>
      <c r="AD506" s="222">
        <v>0</v>
      </c>
      <c r="AE506" s="222">
        <v>609.28</v>
      </c>
      <c r="AF506" s="221">
        <f>6238.91*AE506/I506</f>
        <v>5384.1970039660055</v>
      </c>
      <c r="AG506" s="222">
        <v>0</v>
      </c>
      <c r="AH506" s="221">
        <v>0</v>
      </c>
      <c r="AI506" s="222">
        <v>0</v>
      </c>
      <c r="AJ506" s="221">
        <v>0</v>
      </c>
      <c r="AK506" s="222">
        <v>0</v>
      </c>
      <c r="AL506" s="222">
        <v>0</v>
      </c>
      <c r="AM506" s="222">
        <v>0</v>
      </c>
      <c r="AN506" s="222"/>
      <c r="AO506" s="222">
        <v>0</v>
      </c>
    </row>
    <row r="507" spans="1:41" s="223" customFormat="1" ht="36" customHeight="1" x14ac:dyDescent="0.25">
      <c r="A507" s="223">
        <v>1</v>
      </c>
      <c r="B507" s="225">
        <f>SUBTOTAL(103,$A$16:A507)</f>
        <v>437</v>
      </c>
      <c r="C507" s="215" t="s">
        <v>97</v>
      </c>
      <c r="D507" s="217">
        <v>1969</v>
      </c>
      <c r="E507" s="217"/>
      <c r="F507" s="226" t="s">
        <v>267</v>
      </c>
      <c r="G507" s="217">
        <v>2</v>
      </c>
      <c r="H507" s="217" t="s">
        <v>303</v>
      </c>
      <c r="I507" s="190">
        <v>708.1</v>
      </c>
      <c r="J507" s="190">
        <v>708.1</v>
      </c>
      <c r="K507" s="190">
        <v>708.1</v>
      </c>
      <c r="L507" s="219">
        <v>42</v>
      </c>
      <c r="M507" s="217" t="s">
        <v>265</v>
      </c>
      <c r="N507" s="217" t="s">
        <v>269</v>
      </c>
      <c r="O507" s="220" t="s">
        <v>994</v>
      </c>
      <c r="P507" s="190">
        <v>75057.17</v>
      </c>
      <c r="Q507" s="190">
        <v>0</v>
      </c>
      <c r="R507" s="190">
        <v>0</v>
      </c>
      <c r="S507" s="190">
        <f>P507-Q507-R507</f>
        <v>75057.17</v>
      </c>
      <c r="T507" s="190">
        <f t="shared" si="51"/>
        <v>105.99798051122723</v>
      </c>
      <c r="U507" s="190">
        <v>105.99798051122723</v>
      </c>
      <c r="V507" s="221">
        <f>U507-T507</f>
        <v>0</v>
      </c>
      <c r="W507" s="221">
        <f>X507+Y507+Z507+AA507+AB507+AD507+AF507+AH507+AJ507+AL507+AN507+AO507</f>
        <v>5368.229183448665</v>
      </c>
      <c r="X507" s="221">
        <v>0</v>
      </c>
      <c r="Y507" s="222">
        <v>0</v>
      </c>
      <c r="Z507" s="222">
        <v>0</v>
      </c>
      <c r="AA507" s="222">
        <v>0</v>
      </c>
      <c r="AB507" s="222">
        <v>0</v>
      </c>
      <c r="AC507" s="222">
        <v>0</v>
      </c>
      <c r="AD507" s="222">
        <v>0</v>
      </c>
      <c r="AE507" s="222">
        <v>609.28</v>
      </c>
      <c r="AF507" s="221">
        <f>6238.91*AE507/I507</f>
        <v>5368.229183448665</v>
      </c>
      <c r="AG507" s="222">
        <v>0</v>
      </c>
      <c r="AH507" s="221">
        <v>0</v>
      </c>
      <c r="AI507" s="222">
        <v>0</v>
      </c>
      <c r="AJ507" s="221">
        <v>0</v>
      </c>
      <c r="AK507" s="222">
        <v>0</v>
      </c>
      <c r="AL507" s="222">
        <v>0</v>
      </c>
      <c r="AM507" s="222">
        <v>0</v>
      </c>
      <c r="AN507" s="222"/>
      <c r="AO507" s="222">
        <v>0</v>
      </c>
    </row>
    <row r="508" spans="1:41" s="223" customFormat="1" ht="36" customHeight="1" x14ac:dyDescent="0.25">
      <c r="B508" s="215" t="s">
        <v>856</v>
      </c>
      <c r="C508" s="215"/>
      <c r="D508" s="217" t="s">
        <v>890</v>
      </c>
      <c r="E508" s="217" t="s">
        <v>890</v>
      </c>
      <c r="F508" s="217" t="s">
        <v>890</v>
      </c>
      <c r="G508" s="217" t="s">
        <v>890</v>
      </c>
      <c r="H508" s="217" t="s">
        <v>890</v>
      </c>
      <c r="I508" s="218">
        <f>SUM(I509:I510)</f>
        <v>2762.9</v>
      </c>
      <c r="J508" s="218">
        <f>SUM(J509:J510)</f>
        <v>2645</v>
      </c>
      <c r="K508" s="218">
        <f>SUM(K509:K510)</f>
        <v>2645</v>
      </c>
      <c r="L508" s="219">
        <f>SUM(L509:L510)</f>
        <v>125</v>
      </c>
      <c r="M508" s="217" t="s">
        <v>890</v>
      </c>
      <c r="N508" s="217" t="s">
        <v>890</v>
      </c>
      <c r="O508" s="220" t="s">
        <v>890</v>
      </c>
      <c r="P508" s="218">
        <v>4868704.13</v>
      </c>
      <c r="Q508" s="218">
        <f>SUM(Q509:Q510)</f>
        <v>0</v>
      </c>
      <c r="R508" s="218">
        <f>SUM(R509:R510)</f>
        <v>0</v>
      </c>
      <c r="S508" s="218">
        <f>SUM(S509:S510)</f>
        <v>4868704.13</v>
      </c>
      <c r="T508" s="190">
        <f t="shared" si="51"/>
        <v>1762.171678309023</v>
      </c>
      <c r="U508" s="190">
        <f>MAX(U509:U510)</f>
        <v>3525.2747256036714</v>
      </c>
      <c r="V508" s="221">
        <f t="shared" si="53"/>
        <v>1763.1030472946484</v>
      </c>
      <c r="W508" s="221"/>
      <c r="X508" s="221"/>
      <c r="Y508" s="222"/>
      <c r="Z508" s="222"/>
      <c r="AA508" s="222"/>
      <c r="AB508" s="222"/>
      <c r="AC508" s="222"/>
      <c r="AD508" s="222"/>
      <c r="AE508" s="222"/>
      <c r="AF508" s="222"/>
      <c r="AG508" s="222"/>
      <c r="AH508" s="222"/>
      <c r="AI508" s="222"/>
      <c r="AJ508" s="222"/>
      <c r="AK508" s="222"/>
      <c r="AL508" s="222"/>
      <c r="AM508" s="222"/>
      <c r="AN508" s="222"/>
      <c r="AO508" s="222"/>
    </row>
    <row r="509" spans="1:41" s="223" customFormat="1" ht="36" customHeight="1" x14ac:dyDescent="0.25">
      <c r="A509" s="223">
        <v>1</v>
      </c>
      <c r="B509" s="225">
        <f>SUBTOTAL(103,$A$16:A509)</f>
        <v>438</v>
      </c>
      <c r="C509" s="215" t="s">
        <v>93</v>
      </c>
      <c r="D509" s="217">
        <v>1980</v>
      </c>
      <c r="E509" s="217"/>
      <c r="F509" s="226" t="s">
        <v>267</v>
      </c>
      <c r="G509" s="217" t="s">
        <v>312</v>
      </c>
      <c r="H509" s="217" t="s">
        <v>312</v>
      </c>
      <c r="I509" s="190">
        <v>2004.4</v>
      </c>
      <c r="J509" s="190">
        <v>1886.5</v>
      </c>
      <c r="K509" s="190">
        <v>1886.5</v>
      </c>
      <c r="L509" s="219">
        <v>94</v>
      </c>
      <c r="M509" s="217" t="s">
        <v>265</v>
      </c>
      <c r="N509" s="217" t="s">
        <v>269</v>
      </c>
      <c r="O509" s="220" t="s">
        <v>280</v>
      </c>
      <c r="P509" s="190">
        <v>4831403.93</v>
      </c>
      <c r="Q509" s="190">
        <v>0</v>
      </c>
      <c r="R509" s="190">
        <v>0</v>
      </c>
      <c r="S509" s="190">
        <f>P509-Q509-R509</f>
        <v>4831403.93</v>
      </c>
      <c r="T509" s="190">
        <f t="shared" si="51"/>
        <v>2410.3990870085809</v>
      </c>
      <c r="U509" s="190">
        <v>3525.2747256036714</v>
      </c>
      <c r="V509" s="221">
        <f t="shared" si="53"/>
        <v>1114.8756385950905</v>
      </c>
      <c r="W509" s="221">
        <f>X509+Y509+Z509+AA509+AB509+AD509+AF509+AH509+AJ509+AL509+AN509+AO509</f>
        <v>3557.7101027738972</v>
      </c>
      <c r="X509" s="221">
        <v>0</v>
      </c>
      <c r="Y509" s="222">
        <v>0</v>
      </c>
      <c r="Z509" s="222">
        <v>0</v>
      </c>
      <c r="AA509" s="222">
        <v>0</v>
      </c>
      <c r="AB509" s="222">
        <v>0</v>
      </c>
      <c r="AC509" s="222">
        <v>0</v>
      </c>
      <c r="AD509" s="222">
        <v>0</v>
      </c>
      <c r="AE509" s="222">
        <v>1143</v>
      </c>
      <c r="AF509" s="221">
        <f>6238.91*AE509/I509</f>
        <v>3557.7101027738972</v>
      </c>
      <c r="AG509" s="222">
        <v>0</v>
      </c>
      <c r="AH509" s="221">
        <v>0</v>
      </c>
      <c r="AI509" s="222">
        <v>0</v>
      </c>
      <c r="AJ509" s="221">
        <v>0</v>
      </c>
      <c r="AK509" s="222">
        <v>0</v>
      </c>
      <c r="AL509" s="222">
        <v>0</v>
      </c>
      <c r="AM509" s="222">
        <v>0</v>
      </c>
      <c r="AN509" s="222"/>
      <c r="AO509" s="222">
        <v>0</v>
      </c>
    </row>
    <row r="510" spans="1:41" s="223" customFormat="1" ht="36" customHeight="1" x14ac:dyDescent="0.25">
      <c r="A510" s="223">
        <v>1</v>
      </c>
      <c r="B510" s="225">
        <f>SUBTOTAL(103,$A$16:A510)</f>
        <v>439</v>
      </c>
      <c r="C510" s="215" t="s">
        <v>1607</v>
      </c>
      <c r="D510" s="217">
        <v>1974</v>
      </c>
      <c r="E510" s="217"/>
      <c r="F510" s="226" t="s">
        <v>1341</v>
      </c>
      <c r="G510" s="217">
        <v>2</v>
      </c>
      <c r="H510" s="217" t="s">
        <v>312</v>
      </c>
      <c r="I510" s="218">
        <v>758.5</v>
      </c>
      <c r="J510" s="218">
        <v>758.5</v>
      </c>
      <c r="K510" s="218">
        <v>758.5</v>
      </c>
      <c r="L510" s="219">
        <v>31</v>
      </c>
      <c r="M510" s="217" t="s">
        <v>265</v>
      </c>
      <c r="N510" s="217" t="s">
        <v>266</v>
      </c>
      <c r="O510" s="220" t="s">
        <v>268</v>
      </c>
      <c r="P510" s="190">
        <v>37300.199999999997</v>
      </c>
      <c r="Q510" s="190">
        <v>0</v>
      </c>
      <c r="R510" s="190">
        <v>0</v>
      </c>
      <c r="S510" s="190">
        <f>P510-Q510-R510</f>
        <v>37300.199999999997</v>
      </c>
      <c r="T510" s="190">
        <f t="shared" si="51"/>
        <v>49.176268951878704</v>
      </c>
      <c r="U510" s="190">
        <v>49.176268951878704</v>
      </c>
      <c r="V510" s="221">
        <f t="shared" si="53"/>
        <v>0</v>
      </c>
      <c r="W510" s="221">
        <f>T510</f>
        <v>49.176268951878704</v>
      </c>
      <c r="X510" s="221">
        <v>0</v>
      </c>
      <c r="Y510" s="222">
        <v>0</v>
      </c>
      <c r="Z510" s="222">
        <v>0</v>
      </c>
      <c r="AA510" s="222">
        <v>184.98</v>
      </c>
      <c r="AB510" s="222">
        <v>0</v>
      </c>
      <c r="AC510" s="222">
        <v>0</v>
      </c>
      <c r="AD510" s="222">
        <v>0</v>
      </c>
      <c r="AE510" s="222">
        <v>0</v>
      </c>
      <c r="AF510" s="221">
        <v>0</v>
      </c>
      <c r="AG510" s="222">
        <v>0</v>
      </c>
      <c r="AH510" s="221">
        <v>0</v>
      </c>
      <c r="AI510" s="222">
        <v>0</v>
      </c>
      <c r="AJ510" s="221">
        <v>0</v>
      </c>
      <c r="AK510" s="222">
        <v>0</v>
      </c>
      <c r="AL510" s="222">
        <v>0</v>
      </c>
      <c r="AM510" s="222">
        <v>0</v>
      </c>
      <c r="AN510" s="222"/>
      <c r="AO510" s="222">
        <v>0</v>
      </c>
    </row>
    <row r="511" spans="1:41" s="223" customFormat="1" ht="36" customHeight="1" x14ac:dyDescent="0.25">
      <c r="B511" s="215" t="s">
        <v>857</v>
      </c>
      <c r="C511" s="215"/>
      <c r="D511" s="217" t="s">
        <v>890</v>
      </c>
      <c r="E511" s="217" t="s">
        <v>890</v>
      </c>
      <c r="F511" s="217" t="s">
        <v>890</v>
      </c>
      <c r="G511" s="217" t="s">
        <v>890</v>
      </c>
      <c r="H511" s="217" t="s">
        <v>890</v>
      </c>
      <c r="I511" s="218">
        <f>I512</f>
        <v>702.7</v>
      </c>
      <c r="J511" s="218">
        <f>J512</f>
        <v>702.7</v>
      </c>
      <c r="K511" s="218">
        <f>K512</f>
        <v>702.7</v>
      </c>
      <c r="L511" s="219">
        <f>L512</f>
        <v>16</v>
      </c>
      <c r="M511" s="217" t="s">
        <v>890</v>
      </c>
      <c r="N511" s="217" t="s">
        <v>890</v>
      </c>
      <c r="O511" s="220" t="s">
        <v>890</v>
      </c>
      <c r="P511" s="190">
        <v>2570556.2200000002</v>
      </c>
      <c r="Q511" s="190">
        <f>Q512</f>
        <v>0</v>
      </c>
      <c r="R511" s="190">
        <f>R512</f>
        <v>0</v>
      </c>
      <c r="S511" s="190">
        <f>S512</f>
        <v>2570556.2200000002</v>
      </c>
      <c r="T511" s="190">
        <f t="shared" si="51"/>
        <v>3658.1133058204073</v>
      </c>
      <c r="U511" s="190">
        <f>MAX(U512)</f>
        <v>6433.6120535078981</v>
      </c>
      <c r="V511" s="221">
        <f t="shared" si="53"/>
        <v>2775.4987476874908</v>
      </c>
      <c r="W511" s="221"/>
      <c r="X511" s="221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</row>
    <row r="512" spans="1:41" s="223" customFormat="1" ht="36" customHeight="1" x14ac:dyDescent="0.25">
      <c r="A512" s="223">
        <v>1</v>
      </c>
      <c r="B512" s="225">
        <f>SUBTOTAL(103,$A$16:A512)</f>
        <v>440</v>
      </c>
      <c r="C512" s="215" t="s">
        <v>94</v>
      </c>
      <c r="D512" s="217">
        <v>1969</v>
      </c>
      <c r="E512" s="217"/>
      <c r="F512" s="226" t="s">
        <v>267</v>
      </c>
      <c r="G512" s="217">
        <v>2</v>
      </c>
      <c r="H512" s="217" t="s">
        <v>303</v>
      </c>
      <c r="I512" s="190">
        <v>702.7</v>
      </c>
      <c r="J512" s="190">
        <v>702.7</v>
      </c>
      <c r="K512" s="190">
        <v>702.7</v>
      </c>
      <c r="L512" s="219">
        <v>16</v>
      </c>
      <c r="M512" s="217" t="s">
        <v>265</v>
      </c>
      <c r="N512" s="217" t="s">
        <v>269</v>
      </c>
      <c r="O512" s="220" t="s">
        <v>282</v>
      </c>
      <c r="P512" s="190">
        <v>2570556.2200000002</v>
      </c>
      <c r="Q512" s="190">
        <v>0</v>
      </c>
      <c r="R512" s="190">
        <v>0</v>
      </c>
      <c r="S512" s="190">
        <f>P512-Q512-R512</f>
        <v>2570556.2200000002</v>
      </c>
      <c r="T512" s="190">
        <f t="shared" si="51"/>
        <v>3658.1133058204073</v>
      </c>
      <c r="U512" s="190">
        <v>6433.6120535078981</v>
      </c>
      <c r="V512" s="221">
        <f>U512-T512</f>
        <v>2775.4987476874908</v>
      </c>
      <c r="W512" s="221">
        <f>X512+Y512+Z512+AA512+AB512+AD512+AF512+AH512+AJ512+AL512+AN512+AO512</f>
        <v>6167.8821360466764</v>
      </c>
      <c r="X512" s="221">
        <v>0</v>
      </c>
      <c r="Y512" s="222">
        <v>0</v>
      </c>
      <c r="Z512" s="222">
        <v>0</v>
      </c>
      <c r="AA512" s="222">
        <v>0</v>
      </c>
      <c r="AB512" s="222">
        <v>0</v>
      </c>
      <c r="AC512" s="222">
        <v>0</v>
      </c>
      <c r="AD512" s="222">
        <v>0</v>
      </c>
      <c r="AE512" s="222">
        <v>694.7</v>
      </c>
      <c r="AF512" s="221">
        <f>6238.91*AE512/I512</f>
        <v>6167.8821360466764</v>
      </c>
      <c r="AG512" s="222">
        <v>0</v>
      </c>
      <c r="AH512" s="221">
        <v>0</v>
      </c>
      <c r="AI512" s="222">
        <v>0</v>
      </c>
      <c r="AJ512" s="221">
        <v>0</v>
      </c>
      <c r="AK512" s="222">
        <v>0</v>
      </c>
      <c r="AL512" s="222">
        <v>0</v>
      </c>
      <c r="AM512" s="222">
        <v>0</v>
      </c>
      <c r="AN512" s="222"/>
      <c r="AO512" s="222">
        <v>0</v>
      </c>
    </row>
    <row r="513" spans="1:41" s="223" customFormat="1" ht="36" customHeight="1" x14ac:dyDescent="0.25">
      <c r="B513" s="215" t="s">
        <v>1264</v>
      </c>
      <c r="C513" s="215"/>
      <c r="D513" s="217" t="s">
        <v>890</v>
      </c>
      <c r="E513" s="217" t="s">
        <v>890</v>
      </c>
      <c r="F513" s="217" t="s">
        <v>890</v>
      </c>
      <c r="G513" s="217" t="s">
        <v>890</v>
      </c>
      <c r="H513" s="217" t="s">
        <v>890</v>
      </c>
      <c r="I513" s="218">
        <f>SUM(I514:I515)</f>
        <v>1625.9</v>
      </c>
      <c r="J513" s="218">
        <f>SUM(J514:J515)</f>
        <v>1564.5</v>
      </c>
      <c r="K513" s="218">
        <f>SUM(K514:K515)</f>
        <v>1564.5</v>
      </c>
      <c r="L513" s="219">
        <f>SUM(L514:L515)</f>
        <v>63</v>
      </c>
      <c r="M513" s="217" t="s">
        <v>890</v>
      </c>
      <c r="N513" s="217" t="s">
        <v>890</v>
      </c>
      <c r="O513" s="220" t="s">
        <v>890</v>
      </c>
      <c r="P513" s="190">
        <v>1181101.69</v>
      </c>
      <c r="Q513" s="218">
        <f>SUM(Q514:Q515)</f>
        <v>0</v>
      </c>
      <c r="R513" s="218">
        <f>SUM(R514:R515)</f>
        <v>0</v>
      </c>
      <c r="S513" s="218">
        <f>SUM(S514:S515)</f>
        <v>1181101.69</v>
      </c>
      <c r="T513" s="190">
        <f t="shared" si="51"/>
        <v>726.42947905775259</v>
      </c>
      <c r="U513" s="190">
        <f>MAX(U514:U515)</f>
        <v>4622.41</v>
      </c>
      <c r="V513" s="221">
        <f t="shared" si="53"/>
        <v>3895.9805209422475</v>
      </c>
      <c r="W513" s="221"/>
      <c r="X513" s="221"/>
      <c r="Y513" s="222"/>
      <c r="Z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  <c r="AL513" s="222"/>
      <c r="AM513" s="222"/>
      <c r="AN513" s="222"/>
      <c r="AO513" s="222"/>
    </row>
    <row r="514" spans="1:41" s="223" customFormat="1" ht="36" customHeight="1" x14ac:dyDescent="0.25">
      <c r="A514" s="223">
        <v>1</v>
      </c>
      <c r="B514" s="225">
        <f>SUBTOTAL(103,$A$16:A514)</f>
        <v>441</v>
      </c>
      <c r="C514" s="215" t="s">
        <v>1265</v>
      </c>
      <c r="D514" s="217">
        <v>1981</v>
      </c>
      <c r="E514" s="217"/>
      <c r="F514" s="226" t="s">
        <v>336</v>
      </c>
      <c r="G514" s="217">
        <v>2</v>
      </c>
      <c r="H514" s="217" t="s">
        <v>312</v>
      </c>
      <c r="I514" s="190">
        <v>837.6</v>
      </c>
      <c r="J514" s="190">
        <v>837.6</v>
      </c>
      <c r="K514" s="190">
        <v>837.6</v>
      </c>
      <c r="L514" s="219">
        <v>47</v>
      </c>
      <c r="M514" s="217" t="s">
        <v>265</v>
      </c>
      <c r="N514" s="217" t="s">
        <v>269</v>
      </c>
      <c r="O514" s="220" t="s">
        <v>1296</v>
      </c>
      <c r="P514" s="190">
        <v>1104118.98</v>
      </c>
      <c r="Q514" s="190">
        <v>0</v>
      </c>
      <c r="R514" s="190">
        <v>0</v>
      </c>
      <c r="S514" s="190">
        <f>P514-Q514-R514</f>
        <v>1104118.98</v>
      </c>
      <c r="T514" s="190">
        <f t="shared" si="51"/>
        <v>1318.1936246418338</v>
      </c>
      <c r="U514" s="190">
        <v>4622.41</v>
      </c>
      <c r="V514" s="221">
        <f>U514-T514</f>
        <v>3304.2163753581663</v>
      </c>
      <c r="W514" s="221">
        <f>X514+Y514+Z514+AA514+AB514+AD514+AF514+AH514+AJ514+AL514+AN514+AO514</f>
        <v>4239.95</v>
      </c>
      <c r="X514" s="221">
        <v>0</v>
      </c>
      <c r="Y514" s="222">
        <v>0</v>
      </c>
      <c r="Z514" s="222">
        <v>3259.66</v>
      </c>
      <c r="AA514" s="222">
        <v>184.98</v>
      </c>
      <c r="AB514" s="222">
        <v>795.31</v>
      </c>
      <c r="AC514" s="222">
        <v>0</v>
      </c>
      <c r="AD514" s="222">
        <v>0</v>
      </c>
      <c r="AE514" s="222">
        <v>0</v>
      </c>
      <c r="AF514" s="221">
        <v>0</v>
      </c>
      <c r="AG514" s="222">
        <v>0</v>
      </c>
      <c r="AH514" s="221">
        <v>0</v>
      </c>
      <c r="AI514" s="222">
        <v>0</v>
      </c>
      <c r="AJ514" s="221">
        <v>0</v>
      </c>
      <c r="AK514" s="222">
        <v>0</v>
      </c>
      <c r="AL514" s="222">
        <v>0</v>
      </c>
      <c r="AM514" s="222">
        <v>0</v>
      </c>
      <c r="AN514" s="222"/>
      <c r="AO514" s="222">
        <v>0</v>
      </c>
    </row>
    <row r="515" spans="1:41" s="223" customFormat="1" ht="36" customHeight="1" x14ac:dyDescent="0.25">
      <c r="A515" s="223">
        <v>1</v>
      </c>
      <c r="B515" s="225">
        <f>SUBTOTAL(103,$A$16:A515)</f>
        <v>442</v>
      </c>
      <c r="C515" s="215" t="s">
        <v>98</v>
      </c>
      <c r="D515" s="217">
        <v>1972</v>
      </c>
      <c r="E515" s="217"/>
      <c r="F515" s="226" t="s">
        <v>267</v>
      </c>
      <c r="G515" s="217">
        <v>2</v>
      </c>
      <c r="H515" s="217" t="s">
        <v>303</v>
      </c>
      <c r="I515" s="190">
        <v>788.3</v>
      </c>
      <c r="J515" s="190">
        <v>726.9</v>
      </c>
      <c r="K515" s="190">
        <v>726.9</v>
      </c>
      <c r="L515" s="219">
        <v>16</v>
      </c>
      <c r="M515" s="217" t="s">
        <v>265</v>
      </c>
      <c r="N515" s="217" t="s">
        <v>283</v>
      </c>
      <c r="O515" s="220" t="s">
        <v>268</v>
      </c>
      <c r="P515" s="190">
        <v>76982.710000000006</v>
      </c>
      <c r="Q515" s="190">
        <v>0</v>
      </c>
      <c r="R515" s="190">
        <v>0</v>
      </c>
      <c r="S515" s="190">
        <f>P515-Q515-R515</f>
        <v>76982.710000000006</v>
      </c>
      <c r="T515" s="190">
        <f t="shared" si="51"/>
        <v>97.656615501712565</v>
      </c>
      <c r="U515" s="190">
        <v>97.656615501712565</v>
      </c>
      <c r="V515" s="221">
        <f>U515-T515</f>
        <v>0</v>
      </c>
      <c r="W515" s="221">
        <f>X515+Y515+Z515+AA515+AB515+AD515+AF515+AH515+AJ515+AL515+AN515+AO515</f>
        <v>4239.95</v>
      </c>
      <c r="X515" s="221">
        <v>0</v>
      </c>
      <c r="Y515" s="222">
        <v>0</v>
      </c>
      <c r="Z515" s="222">
        <v>3259.66</v>
      </c>
      <c r="AA515" s="222">
        <v>184.98</v>
      </c>
      <c r="AB515" s="222">
        <v>795.31</v>
      </c>
      <c r="AC515" s="222">
        <v>0</v>
      </c>
      <c r="AD515" s="222">
        <v>0</v>
      </c>
      <c r="AE515" s="222">
        <v>0</v>
      </c>
      <c r="AF515" s="221">
        <v>0</v>
      </c>
      <c r="AG515" s="222">
        <v>0</v>
      </c>
      <c r="AH515" s="221">
        <v>0</v>
      </c>
      <c r="AI515" s="222">
        <v>0</v>
      </c>
      <c r="AJ515" s="221">
        <v>0</v>
      </c>
      <c r="AK515" s="222">
        <v>0</v>
      </c>
      <c r="AL515" s="222">
        <v>0</v>
      </c>
      <c r="AM515" s="222">
        <v>0</v>
      </c>
      <c r="AN515" s="222"/>
      <c r="AO515" s="222">
        <v>0</v>
      </c>
    </row>
    <row r="516" spans="1:41" s="223" customFormat="1" ht="36" customHeight="1" x14ac:dyDescent="0.25">
      <c r="B516" s="215" t="s">
        <v>858</v>
      </c>
      <c r="C516" s="227"/>
      <c r="D516" s="217" t="s">
        <v>890</v>
      </c>
      <c r="E516" s="217" t="s">
        <v>890</v>
      </c>
      <c r="F516" s="217" t="s">
        <v>890</v>
      </c>
      <c r="G516" s="217" t="s">
        <v>890</v>
      </c>
      <c r="H516" s="217" t="s">
        <v>890</v>
      </c>
      <c r="I516" s="218">
        <f>SUM(I517:I521)</f>
        <v>2462.8000000000002</v>
      </c>
      <c r="J516" s="218">
        <f>SUM(J517:J521)</f>
        <v>2411.3999999999996</v>
      </c>
      <c r="K516" s="218">
        <f>SUM(K517:K521)</f>
        <v>2411.3999999999996</v>
      </c>
      <c r="L516" s="219">
        <f>SUM(L517:L521)</f>
        <v>120</v>
      </c>
      <c r="M516" s="217" t="s">
        <v>890</v>
      </c>
      <c r="N516" s="217" t="s">
        <v>890</v>
      </c>
      <c r="O516" s="220" t="s">
        <v>890</v>
      </c>
      <c r="P516" s="190">
        <v>5058199.54</v>
      </c>
      <c r="Q516" s="190">
        <f>SUM(Q517:Q521)</f>
        <v>0</v>
      </c>
      <c r="R516" s="190">
        <f>SUM(R517:R521)</f>
        <v>0</v>
      </c>
      <c r="S516" s="190">
        <f>SUM(S517:S521)</f>
        <v>5058199.54</v>
      </c>
      <c r="T516" s="190">
        <f t="shared" si="51"/>
        <v>2053.8409696280655</v>
      </c>
      <c r="U516" s="190">
        <f>MAX(U517:U521)</f>
        <v>6563.5952702702707</v>
      </c>
      <c r="V516" s="221">
        <f t="shared" si="53"/>
        <v>4509.7543006422056</v>
      </c>
      <c r="W516" s="221"/>
      <c r="X516" s="221"/>
      <c r="Y516" s="222"/>
      <c r="Z516" s="222"/>
      <c r="AA516" s="222"/>
      <c r="AB516" s="222"/>
      <c r="AC516" s="222"/>
      <c r="AD516" s="222"/>
      <c r="AE516" s="222"/>
      <c r="AF516" s="222"/>
      <c r="AG516" s="222"/>
      <c r="AH516" s="222"/>
      <c r="AI516" s="222"/>
      <c r="AJ516" s="222"/>
      <c r="AK516" s="222"/>
      <c r="AL516" s="222"/>
      <c r="AM516" s="222"/>
      <c r="AN516" s="222"/>
      <c r="AO516" s="222"/>
    </row>
    <row r="517" spans="1:41" s="223" customFormat="1" ht="36" customHeight="1" x14ac:dyDescent="0.25">
      <c r="A517" s="223">
        <v>1</v>
      </c>
      <c r="B517" s="225">
        <f>SUBTOTAL(103,$A$16:A517)</f>
        <v>443</v>
      </c>
      <c r="C517" s="215" t="s">
        <v>184</v>
      </c>
      <c r="D517" s="217" t="s">
        <v>302</v>
      </c>
      <c r="E517" s="217"/>
      <c r="F517" s="226" t="s">
        <v>267</v>
      </c>
      <c r="G517" s="217" t="s">
        <v>303</v>
      </c>
      <c r="H517" s="217" t="s">
        <v>304</v>
      </c>
      <c r="I517" s="190">
        <v>259.5</v>
      </c>
      <c r="J517" s="190">
        <v>250.8</v>
      </c>
      <c r="K517" s="190">
        <v>250.8</v>
      </c>
      <c r="L517" s="219">
        <v>16</v>
      </c>
      <c r="M517" s="217" t="s">
        <v>265</v>
      </c>
      <c r="N517" s="217" t="s">
        <v>269</v>
      </c>
      <c r="O517" s="220" t="s">
        <v>995</v>
      </c>
      <c r="P517" s="190">
        <v>1255071.44</v>
      </c>
      <c r="Q517" s="190">
        <v>0</v>
      </c>
      <c r="R517" s="190">
        <v>0</v>
      </c>
      <c r="S517" s="190">
        <f>P517-Q517-R517</f>
        <v>1255071.44</v>
      </c>
      <c r="T517" s="190">
        <f t="shared" si="51"/>
        <v>4836.4988053949901</v>
      </c>
      <c r="U517" s="190">
        <v>4836.4988053949901</v>
      </c>
      <c r="V517" s="221">
        <f t="shared" si="53"/>
        <v>0</v>
      </c>
      <c r="W517" s="221">
        <f>X517+Y517+Z517+AA517+AB517+AD517+AF517+AH517+AJ517+AL517+AN517+AO517</f>
        <v>6135.5292177263964</v>
      </c>
      <c r="X517" s="221">
        <v>0</v>
      </c>
      <c r="Y517" s="222">
        <v>0</v>
      </c>
      <c r="Z517" s="222">
        <v>0</v>
      </c>
      <c r="AA517" s="222">
        <v>0</v>
      </c>
      <c r="AB517" s="222">
        <v>0</v>
      </c>
      <c r="AC517" s="222">
        <v>0</v>
      </c>
      <c r="AD517" s="222">
        <v>0</v>
      </c>
      <c r="AE517" s="222">
        <v>255.2</v>
      </c>
      <c r="AF517" s="221">
        <f>6238.91*AE517/I517</f>
        <v>6135.5292177263964</v>
      </c>
      <c r="AG517" s="222">
        <v>0</v>
      </c>
      <c r="AH517" s="221">
        <v>0</v>
      </c>
      <c r="AI517" s="222">
        <v>0</v>
      </c>
      <c r="AJ517" s="221">
        <v>0</v>
      </c>
      <c r="AK517" s="222">
        <v>0</v>
      </c>
      <c r="AL517" s="222">
        <v>0</v>
      </c>
      <c r="AM517" s="222">
        <v>0</v>
      </c>
      <c r="AN517" s="222"/>
      <c r="AO517" s="222">
        <v>0</v>
      </c>
    </row>
    <row r="518" spans="1:41" s="223" customFormat="1" ht="36" customHeight="1" x14ac:dyDescent="0.25">
      <c r="A518" s="223">
        <v>1</v>
      </c>
      <c r="B518" s="225">
        <f>SUBTOTAL(103,$A$16:A518)</f>
        <v>444</v>
      </c>
      <c r="C518" s="215" t="s">
        <v>183</v>
      </c>
      <c r="D518" s="217" t="s">
        <v>302</v>
      </c>
      <c r="E518" s="217"/>
      <c r="F518" s="226" t="s">
        <v>267</v>
      </c>
      <c r="G518" s="217" t="s">
        <v>303</v>
      </c>
      <c r="H518" s="217" t="s">
        <v>304</v>
      </c>
      <c r="I518" s="190">
        <v>365</v>
      </c>
      <c r="J518" s="190">
        <v>328</v>
      </c>
      <c r="K518" s="190">
        <v>328</v>
      </c>
      <c r="L518" s="219">
        <v>21</v>
      </c>
      <c r="M518" s="217" t="s">
        <v>265</v>
      </c>
      <c r="N518" s="217" t="s">
        <v>266</v>
      </c>
      <c r="O518" s="220" t="s">
        <v>268</v>
      </c>
      <c r="P518" s="190">
        <v>68497.22</v>
      </c>
      <c r="Q518" s="190">
        <v>0</v>
      </c>
      <c r="R518" s="190">
        <v>0</v>
      </c>
      <c r="S518" s="190">
        <f>P518-Q518-R518</f>
        <v>68497.22</v>
      </c>
      <c r="T518" s="190">
        <f t="shared" si="51"/>
        <v>187.66361643835617</v>
      </c>
      <c r="U518" s="190">
        <v>187.66361643835617</v>
      </c>
      <c r="V518" s="221">
        <f t="shared" si="53"/>
        <v>0</v>
      </c>
      <c r="W518" s="221">
        <f>T518</f>
        <v>187.66361643835617</v>
      </c>
      <c r="X518" s="221">
        <v>0</v>
      </c>
      <c r="Y518" s="222">
        <v>0</v>
      </c>
      <c r="Z518" s="222">
        <v>0</v>
      </c>
      <c r="AA518" s="222">
        <v>0</v>
      </c>
      <c r="AB518" s="222">
        <v>0</v>
      </c>
      <c r="AC518" s="222">
        <v>0</v>
      </c>
      <c r="AD518" s="222">
        <v>0</v>
      </c>
      <c r="AE518" s="222">
        <v>0</v>
      </c>
      <c r="AF518" s="221">
        <v>0</v>
      </c>
      <c r="AG518" s="222">
        <v>0</v>
      </c>
      <c r="AH518" s="221">
        <v>0</v>
      </c>
      <c r="AI518" s="222">
        <v>0</v>
      </c>
      <c r="AJ518" s="221">
        <v>0</v>
      </c>
      <c r="AK518" s="222">
        <v>0</v>
      </c>
      <c r="AL518" s="222">
        <v>0</v>
      </c>
      <c r="AM518" s="222">
        <v>0</v>
      </c>
      <c r="AN518" s="222"/>
      <c r="AO518" s="222">
        <v>0</v>
      </c>
    </row>
    <row r="519" spans="1:41" s="223" customFormat="1" ht="36" customHeight="1" x14ac:dyDescent="0.25">
      <c r="A519" s="223">
        <v>1</v>
      </c>
      <c r="B519" s="225">
        <f>SUBTOTAL(103,$A$16:A519)</f>
        <v>445</v>
      </c>
      <c r="C519" s="215" t="s">
        <v>1266</v>
      </c>
      <c r="D519" s="217">
        <v>1917</v>
      </c>
      <c r="E519" s="217"/>
      <c r="F519" s="226" t="s">
        <v>267</v>
      </c>
      <c r="G519" s="217">
        <v>2</v>
      </c>
      <c r="H519" s="217" t="s">
        <v>304</v>
      </c>
      <c r="I519" s="190">
        <v>436.6</v>
      </c>
      <c r="J519" s="190">
        <v>436.6</v>
      </c>
      <c r="K519" s="190">
        <v>436.6</v>
      </c>
      <c r="L519" s="219">
        <v>21</v>
      </c>
      <c r="M519" s="217" t="s">
        <v>265</v>
      </c>
      <c r="N519" s="217" t="s">
        <v>269</v>
      </c>
      <c r="O519" s="220" t="s">
        <v>1308</v>
      </c>
      <c r="P519" s="190">
        <v>1767372.2100000002</v>
      </c>
      <c r="Q519" s="190">
        <v>0</v>
      </c>
      <c r="R519" s="190">
        <v>0</v>
      </c>
      <c r="S519" s="190">
        <f>P519-Q519-R519</f>
        <v>1767372.2100000002</v>
      </c>
      <c r="T519" s="190">
        <f t="shared" si="51"/>
        <v>4048.0352954649566</v>
      </c>
      <c r="U519" s="190">
        <v>6563.5952702702707</v>
      </c>
      <c r="V519" s="221">
        <f t="shared" si="53"/>
        <v>2515.5599748053141</v>
      </c>
      <c r="W519" s="221">
        <f>X519+Y519+Z519+AA519+AB519+AD519+AF519+AH519+AJ519+AL519+AN519+AO519</f>
        <v>6250.3418094365543</v>
      </c>
      <c r="X519" s="221">
        <v>0</v>
      </c>
      <c r="Y519" s="222">
        <v>0</v>
      </c>
      <c r="Z519" s="222">
        <v>0</v>
      </c>
      <c r="AA519" s="222">
        <v>0</v>
      </c>
      <c r="AB519" s="222">
        <v>0</v>
      </c>
      <c r="AC519" s="222">
        <v>0</v>
      </c>
      <c r="AD519" s="222">
        <v>0</v>
      </c>
      <c r="AE519" s="222">
        <v>437.4</v>
      </c>
      <c r="AF519" s="221">
        <f>6238.91*AE519/I519</f>
        <v>6250.3418094365543</v>
      </c>
      <c r="AG519" s="222">
        <v>0</v>
      </c>
      <c r="AH519" s="221">
        <v>0</v>
      </c>
      <c r="AI519" s="222">
        <v>0</v>
      </c>
      <c r="AJ519" s="221">
        <v>0</v>
      </c>
      <c r="AK519" s="222">
        <v>0</v>
      </c>
      <c r="AL519" s="222">
        <v>0</v>
      </c>
      <c r="AM519" s="222">
        <v>0</v>
      </c>
      <c r="AN519" s="222"/>
      <c r="AO519" s="222">
        <v>0</v>
      </c>
    </row>
    <row r="520" spans="1:41" s="223" customFormat="1" ht="36" customHeight="1" x14ac:dyDescent="0.25">
      <c r="A520" s="223">
        <v>1</v>
      </c>
      <c r="B520" s="225">
        <f>SUBTOTAL(103,$A$16:A520)</f>
        <v>446</v>
      </c>
      <c r="C520" s="215" t="s">
        <v>1267</v>
      </c>
      <c r="D520" s="217">
        <v>1917</v>
      </c>
      <c r="E520" s="217"/>
      <c r="F520" s="226" t="s">
        <v>267</v>
      </c>
      <c r="G520" s="217">
        <v>2</v>
      </c>
      <c r="H520" s="217" t="s">
        <v>304</v>
      </c>
      <c r="I520" s="190">
        <v>476.7</v>
      </c>
      <c r="J520" s="190">
        <v>476.7</v>
      </c>
      <c r="K520" s="190">
        <v>476.7</v>
      </c>
      <c r="L520" s="219">
        <v>28</v>
      </c>
      <c r="M520" s="217" t="s">
        <v>265</v>
      </c>
      <c r="N520" s="217" t="s">
        <v>269</v>
      </c>
      <c r="O520" s="220" t="s">
        <v>1346</v>
      </c>
      <c r="P520" s="190">
        <v>1327119.4200000002</v>
      </c>
      <c r="Q520" s="190">
        <v>0</v>
      </c>
      <c r="R520" s="190">
        <v>0</v>
      </c>
      <c r="S520" s="190">
        <f>P520-Q520-R520</f>
        <v>1327119.4200000002</v>
      </c>
      <c r="T520" s="190">
        <f t="shared" si="51"/>
        <v>2783.9719320327254</v>
      </c>
      <c r="U520" s="190">
        <v>5569.8376337319069</v>
      </c>
      <c r="V520" s="221">
        <f t="shared" si="53"/>
        <v>2785.8657016991815</v>
      </c>
      <c r="W520" s="221">
        <f>X520+Y520+Z520+AA520+AB520+AD520+AF520+AH520+AJ520+AL520+AN520+AO520</f>
        <v>5339.7845185651349</v>
      </c>
      <c r="X520" s="221">
        <v>0</v>
      </c>
      <c r="Y520" s="222">
        <v>0</v>
      </c>
      <c r="Z520" s="222">
        <v>0</v>
      </c>
      <c r="AA520" s="222">
        <v>0</v>
      </c>
      <c r="AB520" s="222">
        <v>0</v>
      </c>
      <c r="AC520" s="222">
        <v>0</v>
      </c>
      <c r="AD520" s="222">
        <v>0</v>
      </c>
      <c r="AE520" s="222">
        <v>408</v>
      </c>
      <c r="AF520" s="221">
        <f>6238.91*AE520/I520</f>
        <v>5339.7845185651349</v>
      </c>
      <c r="AG520" s="222">
        <v>0</v>
      </c>
      <c r="AH520" s="221">
        <v>0</v>
      </c>
      <c r="AI520" s="222">
        <v>0</v>
      </c>
      <c r="AJ520" s="221">
        <v>0</v>
      </c>
      <c r="AK520" s="222">
        <v>0</v>
      </c>
      <c r="AL520" s="222">
        <v>0</v>
      </c>
      <c r="AM520" s="222">
        <v>0</v>
      </c>
      <c r="AN520" s="222"/>
      <c r="AO520" s="222">
        <v>0</v>
      </c>
    </row>
    <row r="521" spans="1:41" s="223" customFormat="1" ht="36" customHeight="1" x14ac:dyDescent="0.25">
      <c r="A521" s="223">
        <v>1</v>
      </c>
      <c r="B521" s="225">
        <f>SUBTOTAL(103,$A$16:A521)</f>
        <v>447</v>
      </c>
      <c r="C521" s="215" t="s">
        <v>1268</v>
      </c>
      <c r="D521" s="217">
        <v>1967</v>
      </c>
      <c r="E521" s="217">
        <v>2014</v>
      </c>
      <c r="F521" s="226" t="s">
        <v>267</v>
      </c>
      <c r="G521" s="217">
        <v>2</v>
      </c>
      <c r="H521" s="217" t="s">
        <v>308</v>
      </c>
      <c r="I521" s="190">
        <v>925</v>
      </c>
      <c r="J521" s="190">
        <v>919.3</v>
      </c>
      <c r="K521" s="190">
        <v>919.3</v>
      </c>
      <c r="L521" s="219">
        <v>34</v>
      </c>
      <c r="M521" s="217" t="s">
        <v>265</v>
      </c>
      <c r="N521" s="217" t="s">
        <v>269</v>
      </c>
      <c r="O521" s="220" t="s">
        <v>1347</v>
      </c>
      <c r="P521" s="190">
        <v>640139.25</v>
      </c>
      <c r="Q521" s="190">
        <v>0</v>
      </c>
      <c r="R521" s="190">
        <v>0</v>
      </c>
      <c r="S521" s="190">
        <f>P521-Q521-R521</f>
        <v>640139.25</v>
      </c>
      <c r="T521" s="190">
        <f t="shared" si="51"/>
        <v>692.04243243243241</v>
      </c>
      <c r="U521" s="190">
        <v>810.46</v>
      </c>
      <c r="V521" s="221">
        <f t="shared" si="53"/>
        <v>118.41756756756763</v>
      </c>
      <c r="W521" s="221">
        <f>X521+Y521+Z521+AA521+AB521+AD521+AF521+AH521+AJ521+AL521+AN521+AO521</f>
        <v>795.31</v>
      </c>
      <c r="X521" s="221">
        <v>0</v>
      </c>
      <c r="Y521" s="222">
        <v>0</v>
      </c>
      <c r="Z521" s="222">
        <v>0</v>
      </c>
      <c r="AA521" s="222">
        <v>0</v>
      </c>
      <c r="AB521" s="222">
        <v>795.31</v>
      </c>
      <c r="AC521" s="222">
        <v>0</v>
      </c>
      <c r="AD521" s="222">
        <v>0</v>
      </c>
      <c r="AE521" s="222">
        <v>0</v>
      </c>
      <c r="AF521" s="221">
        <v>0</v>
      </c>
      <c r="AG521" s="222">
        <v>0</v>
      </c>
      <c r="AH521" s="221">
        <v>0</v>
      </c>
      <c r="AI521" s="222">
        <v>0</v>
      </c>
      <c r="AJ521" s="221">
        <v>0</v>
      </c>
      <c r="AK521" s="222">
        <v>0</v>
      </c>
      <c r="AL521" s="222">
        <v>0</v>
      </c>
      <c r="AM521" s="222">
        <v>0</v>
      </c>
      <c r="AN521" s="222"/>
      <c r="AO521" s="222">
        <v>0</v>
      </c>
    </row>
    <row r="522" spans="1:41" s="223" customFormat="1" ht="36" customHeight="1" x14ac:dyDescent="0.25">
      <c r="B522" s="215" t="s">
        <v>859</v>
      </c>
      <c r="C522" s="215"/>
      <c r="D522" s="217" t="s">
        <v>890</v>
      </c>
      <c r="E522" s="217" t="s">
        <v>890</v>
      </c>
      <c r="F522" s="217" t="s">
        <v>890</v>
      </c>
      <c r="G522" s="217" t="s">
        <v>890</v>
      </c>
      <c r="H522" s="217" t="s">
        <v>890</v>
      </c>
      <c r="I522" s="218">
        <f>I523</f>
        <v>1755.2</v>
      </c>
      <c r="J522" s="218">
        <f>J523</f>
        <v>1537.2</v>
      </c>
      <c r="K522" s="218">
        <f>K523</f>
        <v>1537.2</v>
      </c>
      <c r="L522" s="219">
        <f>L523</f>
        <v>62</v>
      </c>
      <c r="M522" s="217" t="s">
        <v>890</v>
      </c>
      <c r="N522" s="217" t="s">
        <v>890</v>
      </c>
      <c r="O522" s="220" t="s">
        <v>890</v>
      </c>
      <c r="P522" s="190">
        <v>3982171.62</v>
      </c>
      <c r="Q522" s="190">
        <f>Q523</f>
        <v>0</v>
      </c>
      <c r="R522" s="190">
        <f>R523</f>
        <v>0</v>
      </c>
      <c r="S522" s="190">
        <f>S523</f>
        <v>3982171.62</v>
      </c>
      <c r="T522" s="190">
        <f t="shared" si="51"/>
        <v>2268.7851071103009</v>
      </c>
      <c r="U522" s="190">
        <f>MAX(U523)</f>
        <v>3799.322210574293</v>
      </c>
      <c r="V522" s="221">
        <f t="shared" si="53"/>
        <v>1530.537103463992</v>
      </c>
      <c r="W522" s="221"/>
      <c r="X522" s="221"/>
      <c r="Y522" s="222"/>
      <c r="Z522" s="222"/>
      <c r="AA522" s="222"/>
      <c r="AB522" s="222"/>
      <c r="AC522" s="222"/>
      <c r="AD522" s="222"/>
      <c r="AE522" s="222"/>
      <c r="AF522" s="222"/>
      <c r="AG522" s="222"/>
      <c r="AH522" s="222"/>
      <c r="AI522" s="222"/>
      <c r="AJ522" s="222"/>
      <c r="AK522" s="222"/>
      <c r="AL522" s="222"/>
      <c r="AM522" s="222"/>
      <c r="AN522" s="222"/>
      <c r="AO522" s="222"/>
    </row>
    <row r="523" spans="1:41" s="223" customFormat="1" ht="36" customHeight="1" x14ac:dyDescent="0.25">
      <c r="A523" s="223">
        <v>1</v>
      </c>
      <c r="B523" s="225">
        <f>SUBTOTAL(103,$A$16:A523)</f>
        <v>448</v>
      </c>
      <c r="C523" s="215" t="s">
        <v>187</v>
      </c>
      <c r="D523" s="217">
        <v>1959</v>
      </c>
      <c r="E523" s="217"/>
      <c r="F523" s="226" t="s">
        <v>267</v>
      </c>
      <c r="G523" s="217">
        <v>3</v>
      </c>
      <c r="H523" s="217" t="s">
        <v>308</v>
      </c>
      <c r="I523" s="190">
        <v>1755.2</v>
      </c>
      <c r="J523" s="190">
        <v>1537.2</v>
      </c>
      <c r="K523" s="190">
        <v>1537.2</v>
      </c>
      <c r="L523" s="219">
        <v>62</v>
      </c>
      <c r="M523" s="217" t="s">
        <v>265</v>
      </c>
      <c r="N523" s="217" t="s">
        <v>266</v>
      </c>
      <c r="O523" s="220" t="s">
        <v>268</v>
      </c>
      <c r="P523" s="190">
        <v>3982171.62</v>
      </c>
      <c r="Q523" s="190">
        <v>0</v>
      </c>
      <c r="R523" s="190">
        <v>0</v>
      </c>
      <c r="S523" s="190">
        <f>P523-Q523-R523</f>
        <v>3982171.62</v>
      </c>
      <c r="T523" s="190">
        <f t="shared" si="51"/>
        <v>2268.7851071103009</v>
      </c>
      <c r="U523" s="190">
        <v>3799.322210574293</v>
      </c>
      <c r="V523" s="221">
        <f>U523-T523</f>
        <v>1530.537103463992</v>
      </c>
      <c r="W523" s="221">
        <f>X523+Y523+Z523+AA523+AB523+AD523+AF523+AH523+AJ523+AL523+AN523+AO523</f>
        <v>3656.1889391522332</v>
      </c>
      <c r="X523" s="221">
        <v>0</v>
      </c>
      <c r="Y523" s="222">
        <v>0</v>
      </c>
      <c r="Z523" s="222">
        <v>0</v>
      </c>
      <c r="AA523" s="222">
        <v>0</v>
      </c>
      <c r="AB523" s="222">
        <v>0</v>
      </c>
      <c r="AC523" s="222">
        <v>0</v>
      </c>
      <c r="AD523" s="222">
        <v>0</v>
      </c>
      <c r="AE523" s="222">
        <v>1028.5999999999999</v>
      </c>
      <c r="AF523" s="221">
        <f>6238.91*AE523/I523</f>
        <v>3656.1889391522332</v>
      </c>
      <c r="AG523" s="222">
        <v>0</v>
      </c>
      <c r="AH523" s="221">
        <v>0</v>
      </c>
      <c r="AI523" s="222">
        <v>0</v>
      </c>
      <c r="AJ523" s="221">
        <v>0</v>
      </c>
      <c r="AK523" s="222">
        <v>0</v>
      </c>
      <c r="AL523" s="222">
        <v>0</v>
      </c>
      <c r="AM523" s="222">
        <v>0</v>
      </c>
      <c r="AN523" s="222"/>
      <c r="AO523" s="222">
        <v>0</v>
      </c>
    </row>
    <row r="524" spans="1:41" s="223" customFormat="1" ht="36" customHeight="1" x14ac:dyDescent="0.25">
      <c r="B524" s="215" t="s">
        <v>860</v>
      </c>
      <c r="C524" s="215"/>
      <c r="D524" s="217" t="s">
        <v>890</v>
      </c>
      <c r="E524" s="217" t="s">
        <v>890</v>
      </c>
      <c r="F524" s="217" t="s">
        <v>890</v>
      </c>
      <c r="G524" s="217" t="s">
        <v>890</v>
      </c>
      <c r="H524" s="217" t="s">
        <v>890</v>
      </c>
      <c r="I524" s="218">
        <f>SUM(I525:I526)</f>
        <v>4921.7999999999993</v>
      </c>
      <c r="J524" s="218">
        <f>SUM(J525:J526)</f>
        <v>4712.7999999999993</v>
      </c>
      <c r="K524" s="218">
        <f>SUM(K525:K526)</f>
        <v>3049.1</v>
      </c>
      <c r="L524" s="219">
        <f>SUM(L525:L526)</f>
        <v>126</v>
      </c>
      <c r="M524" s="217" t="s">
        <v>890</v>
      </c>
      <c r="N524" s="217" t="s">
        <v>890</v>
      </c>
      <c r="O524" s="220" t="s">
        <v>890</v>
      </c>
      <c r="P524" s="218">
        <v>8046011.1599999992</v>
      </c>
      <c r="Q524" s="218">
        <f>SUM(Q525:Q526)</f>
        <v>0</v>
      </c>
      <c r="R524" s="218">
        <f>SUM(R525:R526)</f>
        <v>0</v>
      </c>
      <c r="S524" s="218">
        <f>SUM(S525:S526)</f>
        <v>8046011.1599999992</v>
      </c>
      <c r="T524" s="190">
        <f t="shared" si="51"/>
        <v>1634.7700353529196</v>
      </c>
      <c r="U524" s="190">
        <f>MAX(U525:U526)</f>
        <v>5499.8490505548707</v>
      </c>
      <c r="V524" s="221">
        <f t="shared" si="53"/>
        <v>3865.0790152019508</v>
      </c>
      <c r="W524" s="221"/>
      <c r="X524" s="221"/>
      <c r="Y524" s="222"/>
      <c r="Z524" s="222"/>
      <c r="AA524" s="222"/>
      <c r="AB524" s="222"/>
      <c r="AC524" s="222"/>
      <c r="AD524" s="222"/>
      <c r="AE524" s="222"/>
      <c r="AF524" s="222"/>
      <c r="AG524" s="222"/>
      <c r="AH524" s="222"/>
      <c r="AI524" s="222"/>
      <c r="AJ524" s="222"/>
      <c r="AK524" s="222"/>
      <c r="AL524" s="222"/>
      <c r="AM524" s="222"/>
      <c r="AN524" s="222"/>
      <c r="AO524" s="222"/>
    </row>
    <row r="525" spans="1:41" s="223" customFormat="1" ht="36" customHeight="1" x14ac:dyDescent="0.25">
      <c r="A525" s="223">
        <v>1</v>
      </c>
      <c r="B525" s="225">
        <f>SUBTOTAL(103,$A$16:A525)</f>
        <v>449</v>
      </c>
      <c r="C525" s="215" t="s">
        <v>186</v>
      </c>
      <c r="D525" s="217" t="s">
        <v>305</v>
      </c>
      <c r="E525" s="217"/>
      <c r="F525" s="226" t="s">
        <v>267</v>
      </c>
      <c r="G525" s="217" t="s">
        <v>303</v>
      </c>
      <c r="H525" s="217" t="s">
        <v>303</v>
      </c>
      <c r="I525" s="190">
        <v>729.9</v>
      </c>
      <c r="J525" s="190">
        <v>520.9</v>
      </c>
      <c r="K525" s="190">
        <v>520.9</v>
      </c>
      <c r="L525" s="219">
        <v>35</v>
      </c>
      <c r="M525" s="217" t="s">
        <v>265</v>
      </c>
      <c r="N525" s="217" t="s">
        <v>269</v>
      </c>
      <c r="O525" s="220" t="s">
        <v>996</v>
      </c>
      <c r="P525" s="190">
        <v>2614299.75</v>
      </c>
      <c r="Q525" s="190">
        <v>0</v>
      </c>
      <c r="R525" s="190">
        <v>0</v>
      </c>
      <c r="S525" s="190">
        <f>P525-Q525-R525</f>
        <v>2614299.75</v>
      </c>
      <c r="T525" s="190">
        <f t="shared" ref="T525:T588" si="59">P525/I525</f>
        <v>3581.7231812577065</v>
      </c>
      <c r="U525" s="190">
        <v>5499.8490505548707</v>
      </c>
      <c r="V525" s="221">
        <f t="shared" si="53"/>
        <v>1918.1258692971642</v>
      </c>
      <c r="W525" s="221">
        <f>X525+Y525+Z525+AA525+AB525+AD525+AF525+AH525+AJ525+AL525+AN525+AO525</f>
        <v>4943.945121249486</v>
      </c>
      <c r="X525" s="221">
        <v>0</v>
      </c>
      <c r="Y525" s="222">
        <v>0</v>
      </c>
      <c r="Z525" s="222">
        <v>0</v>
      </c>
      <c r="AA525" s="222">
        <v>0</v>
      </c>
      <c r="AB525" s="222">
        <v>0</v>
      </c>
      <c r="AC525" s="222">
        <v>0</v>
      </c>
      <c r="AD525" s="222">
        <v>0</v>
      </c>
      <c r="AE525" s="222">
        <v>578.4</v>
      </c>
      <c r="AF525" s="221">
        <f>6238.91*AE525/I525</f>
        <v>4943.945121249486</v>
      </c>
      <c r="AG525" s="222">
        <v>0</v>
      </c>
      <c r="AH525" s="221">
        <v>0</v>
      </c>
      <c r="AI525" s="222">
        <v>0</v>
      </c>
      <c r="AJ525" s="221">
        <v>0</v>
      </c>
      <c r="AK525" s="222">
        <v>0</v>
      </c>
      <c r="AL525" s="222">
        <v>0</v>
      </c>
      <c r="AM525" s="222">
        <v>0</v>
      </c>
      <c r="AN525" s="222"/>
      <c r="AO525" s="222">
        <v>0</v>
      </c>
    </row>
    <row r="526" spans="1:41" s="223" customFormat="1" ht="36" customHeight="1" x14ac:dyDescent="0.25">
      <c r="A526" s="223">
        <v>1</v>
      </c>
      <c r="B526" s="225">
        <f>SUBTOTAL(103,$A$16:A526)</f>
        <v>450</v>
      </c>
      <c r="C526" s="215" t="s">
        <v>1542</v>
      </c>
      <c r="D526" s="217">
        <v>1977</v>
      </c>
      <c r="E526" s="217"/>
      <c r="F526" s="226" t="s">
        <v>267</v>
      </c>
      <c r="G526" s="217">
        <v>5</v>
      </c>
      <c r="H526" s="217" t="s">
        <v>304</v>
      </c>
      <c r="I526" s="190">
        <v>4191.8999999999996</v>
      </c>
      <c r="J526" s="190">
        <v>4191.8999999999996</v>
      </c>
      <c r="K526" s="190">
        <v>2528.1999999999998</v>
      </c>
      <c r="L526" s="219">
        <v>91</v>
      </c>
      <c r="M526" s="217" t="s">
        <v>265</v>
      </c>
      <c r="N526" s="217" t="s">
        <v>269</v>
      </c>
      <c r="O526" s="220" t="s">
        <v>1579</v>
      </c>
      <c r="P526" s="190">
        <v>5431711.4099999992</v>
      </c>
      <c r="Q526" s="190">
        <v>0</v>
      </c>
      <c r="R526" s="190">
        <v>0</v>
      </c>
      <c r="S526" s="190">
        <f>P526-R526-Q526</f>
        <v>5431711.4099999992</v>
      </c>
      <c r="T526" s="190">
        <f t="shared" si="59"/>
        <v>1295.7635940742859</v>
      </c>
      <c r="U526" s="190">
        <v>5091.4329778859237</v>
      </c>
      <c r="V526" s="221">
        <f t="shared" si="53"/>
        <v>3795.669383811638</v>
      </c>
      <c r="W526" s="221">
        <f>X526+Y526+Z526+AA526+AB526+AD526+AF526+AH526+AJ526+AL526+AN526+AO526</f>
        <v>5091.4329778859237</v>
      </c>
      <c r="X526" s="221">
        <v>0</v>
      </c>
      <c r="Y526" s="222">
        <v>0</v>
      </c>
      <c r="Z526" s="222">
        <v>0</v>
      </c>
      <c r="AA526" s="222">
        <v>0</v>
      </c>
      <c r="AB526" s="222">
        <v>0</v>
      </c>
      <c r="AC526" s="222">
        <v>0</v>
      </c>
      <c r="AD526" s="222">
        <v>0</v>
      </c>
      <c r="AE526" s="222">
        <v>0</v>
      </c>
      <c r="AF526" s="221">
        <v>0</v>
      </c>
      <c r="AG526" s="222">
        <v>0</v>
      </c>
      <c r="AH526" s="221">
        <v>0</v>
      </c>
      <c r="AI526" s="222">
        <v>2869</v>
      </c>
      <c r="AJ526" s="221">
        <f>7439.1*AI526/I526</f>
        <v>5091.4329778859237</v>
      </c>
      <c r="AK526" s="222">
        <v>0</v>
      </c>
      <c r="AL526" s="222">
        <v>0</v>
      </c>
      <c r="AM526" s="222">
        <v>0</v>
      </c>
      <c r="AN526" s="222"/>
      <c r="AO526" s="222">
        <v>0</v>
      </c>
    </row>
    <row r="527" spans="1:41" s="223" customFormat="1" ht="36" customHeight="1" x14ac:dyDescent="0.25">
      <c r="B527" s="215" t="s">
        <v>861</v>
      </c>
      <c r="C527" s="215"/>
      <c r="D527" s="217" t="s">
        <v>890</v>
      </c>
      <c r="E527" s="217" t="s">
        <v>890</v>
      </c>
      <c r="F527" s="217" t="s">
        <v>890</v>
      </c>
      <c r="G527" s="217" t="s">
        <v>890</v>
      </c>
      <c r="H527" s="217" t="s">
        <v>890</v>
      </c>
      <c r="I527" s="218">
        <f>I528</f>
        <v>428.4</v>
      </c>
      <c r="J527" s="218">
        <f>J528</f>
        <v>385.4</v>
      </c>
      <c r="K527" s="218">
        <f>K528</f>
        <v>385.4</v>
      </c>
      <c r="L527" s="219">
        <f>L528</f>
        <v>20</v>
      </c>
      <c r="M527" s="217" t="s">
        <v>890</v>
      </c>
      <c r="N527" s="217" t="s">
        <v>890</v>
      </c>
      <c r="O527" s="220" t="s">
        <v>890</v>
      </c>
      <c r="P527" s="190">
        <v>1241065.97</v>
      </c>
      <c r="Q527" s="190">
        <f>Q528</f>
        <v>0</v>
      </c>
      <c r="R527" s="190">
        <f>R528</f>
        <v>0</v>
      </c>
      <c r="S527" s="190">
        <f>S528</f>
        <v>1241065.97</v>
      </c>
      <c r="T527" s="190">
        <f t="shared" si="59"/>
        <v>2896.9793884220358</v>
      </c>
      <c r="U527" s="190">
        <f>U528</f>
        <v>5499.0368814192343</v>
      </c>
      <c r="V527" s="221">
        <f t="shared" si="53"/>
        <v>2602.0574929971986</v>
      </c>
      <c r="W527" s="221"/>
      <c r="X527" s="221"/>
      <c r="Y527" s="222"/>
      <c r="Z527" s="222"/>
      <c r="AA527" s="222"/>
      <c r="AB527" s="222"/>
      <c r="AC527" s="222"/>
      <c r="AD527" s="222"/>
      <c r="AE527" s="222"/>
      <c r="AF527" s="222"/>
      <c r="AG527" s="222"/>
      <c r="AH527" s="222"/>
      <c r="AI527" s="222"/>
      <c r="AJ527" s="222"/>
      <c r="AK527" s="222"/>
      <c r="AL527" s="222"/>
      <c r="AM527" s="222"/>
      <c r="AN527" s="222"/>
      <c r="AO527" s="222"/>
    </row>
    <row r="528" spans="1:41" s="223" customFormat="1" ht="36" customHeight="1" x14ac:dyDescent="0.25">
      <c r="A528" s="223">
        <v>1</v>
      </c>
      <c r="B528" s="225">
        <f>SUBTOTAL(103,$A$16:A528)</f>
        <v>451</v>
      </c>
      <c r="C528" s="215" t="s">
        <v>185</v>
      </c>
      <c r="D528" s="217" t="s">
        <v>306</v>
      </c>
      <c r="E528" s="217"/>
      <c r="F528" s="226" t="s">
        <v>267</v>
      </c>
      <c r="G528" s="217" t="s">
        <v>303</v>
      </c>
      <c r="H528" s="217" t="s">
        <v>303</v>
      </c>
      <c r="I528" s="190">
        <v>428.4</v>
      </c>
      <c r="J528" s="190">
        <v>385.4</v>
      </c>
      <c r="K528" s="190">
        <v>385.4</v>
      </c>
      <c r="L528" s="219">
        <v>20</v>
      </c>
      <c r="M528" s="217" t="s">
        <v>265</v>
      </c>
      <c r="N528" s="217" t="s">
        <v>266</v>
      </c>
      <c r="O528" s="220" t="s">
        <v>268</v>
      </c>
      <c r="P528" s="190">
        <v>1241065.97</v>
      </c>
      <c r="Q528" s="190">
        <v>0</v>
      </c>
      <c r="R528" s="190">
        <v>0</v>
      </c>
      <c r="S528" s="190">
        <f>P528-Q528-R528</f>
        <v>1241065.97</v>
      </c>
      <c r="T528" s="190">
        <f t="shared" si="59"/>
        <v>2896.9793884220358</v>
      </c>
      <c r="U528" s="190">
        <v>5499.0368814192343</v>
      </c>
      <c r="V528" s="221">
        <f>U528-T528</f>
        <v>2602.0574929971986</v>
      </c>
      <c r="W528" s="221">
        <f>X528+Y528+Z528+AA528+AB528+AD528+AF528+AH528+AJ528+AL528+AN528+AO528</f>
        <v>5271.9080765639592</v>
      </c>
      <c r="X528" s="221">
        <v>0</v>
      </c>
      <c r="Y528" s="222">
        <v>0</v>
      </c>
      <c r="Z528" s="222">
        <v>0</v>
      </c>
      <c r="AA528" s="222">
        <v>0</v>
      </c>
      <c r="AB528" s="222">
        <v>0</v>
      </c>
      <c r="AC528" s="222">
        <v>0</v>
      </c>
      <c r="AD528" s="222">
        <v>0</v>
      </c>
      <c r="AE528" s="222">
        <v>362</v>
      </c>
      <c r="AF528" s="221">
        <f>6238.91*AE528/I528</f>
        <v>5271.9080765639592</v>
      </c>
      <c r="AG528" s="222">
        <v>0</v>
      </c>
      <c r="AH528" s="221">
        <v>0</v>
      </c>
      <c r="AI528" s="222">
        <v>0</v>
      </c>
      <c r="AJ528" s="221">
        <v>0</v>
      </c>
      <c r="AK528" s="222">
        <v>0</v>
      </c>
      <c r="AL528" s="222">
        <v>0</v>
      </c>
      <c r="AM528" s="222">
        <v>0</v>
      </c>
      <c r="AN528" s="222"/>
      <c r="AO528" s="222">
        <v>0</v>
      </c>
    </row>
    <row r="529" spans="1:41" s="223" customFormat="1" ht="36" customHeight="1" x14ac:dyDescent="0.25">
      <c r="B529" s="215" t="s">
        <v>862</v>
      </c>
      <c r="C529" s="227"/>
      <c r="D529" s="217" t="s">
        <v>890</v>
      </c>
      <c r="E529" s="217" t="s">
        <v>890</v>
      </c>
      <c r="F529" s="217" t="s">
        <v>890</v>
      </c>
      <c r="G529" s="217" t="s">
        <v>890</v>
      </c>
      <c r="H529" s="217" t="s">
        <v>890</v>
      </c>
      <c r="I529" s="218">
        <f>SUM(I530:I538)</f>
        <v>12546.099999999999</v>
      </c>
      <c r="J529" s="218">
        <f>SUM(J530:J538)</f>
        <v>10792.6</v>
      </c>
      <c r="K529" s="218">
        <f>SUM(K530:K538)</f>
        <v>10596.7</v>
      </c>
      <c r="L529" s="219">
        <f>SUM(L530:L538)</f>
        <v>564</v>
      </c>
      <c r="M529" s="217" t="s">
        <v>890</v>
      </c>
      <c r="N529" s="217" t="s">
        <v>890</v>
      </c>
      <c r="O529" s="220" t="s">
        <v>890</v>
      </c>
      <c r="P529" s="218">
        <v>9190793.5899999999</v>
      </c>
      <c r="Q529" s="218">
        <f>SUM(Q530:Q538)</f>
        <v>0</v>
      </c>
      <c r="R529" s="218">
        <f>SUM(R530:R538)</f>
        <v>0</v>
      </c>
      <c r="S529" s="218">
        <f>SUM(S530:S538)</f>
        <v>9190793.5899999999</v>
      </c>
      <c r="T529" s="190">
        <f t="shared" si="59"/>
        <v>732.56179928423978</v>
      </c>
      <c r="U529" s="190">
        <f>MAX(U530:BW538)</f>
        <v>3626.97</v>
      </c>
      <c r="V529" s="221">
        <f t="shared" si="53"/>
        <v>2894.4082007157599</v>
      </c>
      <c r="W529" s="221"/>
      <c r="X529" s="221"/>
      <c r="Y529" s="222"/>
      <c r="Z529" s="222"/>
      <c r="AA529" s="222"/>
      <c r="AB529" s="222"/>
      <c r="AC529" s="222"/>
      <c r="AD529" s="222"/>
      <c r="AE529" s="222"/>
      <c r="AF529" s="222"/>
      <c r="AG529" s="222"/>
      <c r="AH529" s="222"/>
      <c r="AI529" s="222"/>
      <c r="AJ529" s="222"/>
      <c r="AK529" s="222"/>
      <c r="AL529" s="222"/>
      <c r="AM529" s="222"/>
      <c r="AN529" s="222"/>
      <c r="AO529" s="222"/>
    </row>
    <row r="530" spans="1:41" s="223" customFormat="1" ht="36" customHeight="1" x14ac:dyDescent="0.25">
      <c r="A530" s="223">
        <v>1</v>
      </c>
      <c r="B530" s="225">
        <f>SUBTOTAL(103,$A$16:A530)</f>
        <v>452</v>
      </c>
      <c r="C530" s="215" t="s">
        <v>216</v>
      </c>
      <c r="D530" s="217">
        <v>1974</v>
      </c>
      <c r="E530" s="217"/>
      <c r="F530" s="226" t="s">
        <v>267</v>
      </c>
      <c r="G530" s="217">
        <v>5</v>
      </c>
      <c r="H530" s="217" t="s">
        <v>308</v>
      </c>
      <c r="I530" s="190">
        <v>3601.7</v>
      </c>
      <c r="J530" s="190">
        <v>3307.8</v>
      </c>
      <c r="K530" s="190">
        <v>3307.8</v>
      </c>
      <c r="L530" s="219">
        <v>143</v>
      </c>
      <c r="M530" s="217" t="s">
        <v>265</v>
      </c>
      <c r="N530" s="217" t="s">
        <v>269</v>
      </c>
      <c r="O530" s="220" t="s">
        <v>332</v>
      </c>
      <c r="P530" s="190">
        <v>4272931.8100000005</v>
      </c>
      <c r="Q530" s="190">
        <v>0</v>
      </c>
      <c r="R530" s="190">
        <v>0</v>
      </c>
      <c r="S530" s="190">
        <f t="shared" ref="S530:S535" si="60">P530-Q530-R530</f>
        <v>4272931.8100000005</v>
      </c>
      <c r="T530" s="190">
        <f t="shared" si="59"/>
        <v>1186.365274731377</v>
      </c>
      <c r="U530" s="190">
        <v>1907.0666960046644</v>
      </c>
      <c r="V530" s="221">
        <f t="shared" si="53"/>
        <v>720.70142127328745</v>
      </c>
      <c r="W530" s="221">
        <f>X530+Y530+Z530+AA530+AB530+AD530+AF530+AH530+AJ530+AL530+AN530+AO530</f>
        <v>1831.0699374462058</v>
      </c>
      <c r="X530" s="221">
        <v>0</v>
      </c>
      <c r="Y530" s="222">
        <v>0</v>
      </c>
      <c r="Z530" s="222">
        <v>0</v>
      </c>
      <c r="AA530" s="222">
        <v>0</v>
      </c>
      <c r="AB530" s="222">
        <v>0</v>
      </c>
      <c r="AC530" s="222">
        <v>0</v>
      </c>
      <c r="AD530" s="222">
        <v>0</v>
      </c>
      <c r="AE530" s="222">
        <v>1057.07</v>
      </c>
      <c r="AF530" s="221">
        <f>6238.91*AE530/I530</f>
        <v>1831.0699374462058</v>
      </c>
      <c r="AG530" s="222">
        <v>0</v>
      </c>
      <c r="AH530" s="221">
        <v>0</v>
      </c>
      <c r="AI530" s="222">
        <v>0</v>
      </c>
      <c r="AJ530" s="221">
        <v>0</v>
      </c>
      <c r="AK530" s="222">
        <v>0</v>
      </c>
      <c r="AL530" s="222">
        <v>0</v>
      </c>
      <c r="AM530" s="222">
        <v>0</v>
      </c>
      <c r="AN530" s="222"/>
      <c r="AO530" s="222">
        <v>0</v>
      </c>
    </row>
    <row r="531" spans="1:41" s="223" customFormat="1" ht="36" customHeight="1" x14ac:dyDescent="0.25">
      <c r="A531" s="223">
        <v>1</v>
      </c>
      <c r="B531" s="225">
        <f>SUBTOTAL(103,$A$16:A531)</f>
        <v>453</v>
      </c>
      <c r="C531" s="215" t="s">
        <v>1270</v>
      </c>
      <c r="D531" s="217">
        <v>1967</v>
      </c>
      <c r="E531" s="217"/>
      <c r="F531" s="226" t="s">
        <v>267</v>
      </c>
      <c r="G531" s="217">
        <v>4</v>
      </c>
      <c r="H531" s="217" t="s">
        <v>304</v>
      </c>
      <c r="I531" s="190">
        <v>2162.6999999999998</v>
      </c>
      <c r="J531" s="190">
        <v>1343.3</v>
      </c>
      <c r="K531" s="190">
        <v>1343.3</v>
      </c>
      <c r="L531" s="219">
        <v>138</v>
      </c>
      <c r="M531" s="217" t="s">
        <v>265</v>
      </c>
      <c r="N531" s="217" t="s">
        <v>269</v>
      </c>
      <c r="O531" s="220" t="s">
        <v>1298</v>
      </c>
      <c r="P531" s="190">
        <v>2514865.17</v>
      </c>
      <c r="Q531" s="190">
        <v>0</v>
      </c>
      <c r="R531" s="190">
        <v>0</v>
      </c>
      <c r="S531" s="190">
        <f t="shared" si="60"/>
        <v>2514865.17</v>
      </c>
      <c r="T531" s="190">
        <f t="shared" si="59"/>
        <v>1162.8358856984325</v>
      </c>
      <c r="U531" s="190">
        <v>3626.97</v>
      </c>
      <c r="V531" s="221">
        <f t="shared" ref="V531:V594" si="61">U531-T531</f>
        <v>2464.134114301567</v>
      </c>
      <c r="W531" s="221">
        <f>X531+Y531+Z531+AA531+AB531+AD531+AF531+AH531+AJ531+AL531+AN531+AO531</f>
        <v>3259.66</v>
      </c>
      <c r="X531" s="221">
        <v>0</v>
      </c>
      <c r="Y531" s="222">
        <v>0</v>
      </c>
      <c r="Z531" s="222">
        <v>3259.66</v>
      </c>
      <c r="AA531" s="222">
        <v>0</v>
      </c>
      <c r="AB531" s="222">
        <v>0</v>
      </c>
      <c r="AC531" s="222">
        <v>0</v>
      </c>
      <c r="AD531" s="222">
        <v>0</v>
      </c>
      <c r="AE531" s="222">
        <v>0</v>
      </c>
      <c r="AF531" s="221">
        <v>0</v>
      </c>
      <c r="AG531" s="222">
        <v>0</v>
      </c>
      <c r="AH531" s="221">
        <v>0</v>
      </c>
      <c r="AI531" s="222">
        <v>0</v>
      </c>
      <c r="AJ531" s="221">
        <v>0</v>
      </c>
      <c r="AK531" s="222">
        <v>0</v>
      </c>
      <c r="AL531" s="222">
        <v>0</v>
      </c>
      <c r="AM531" s="222">
        <v>0</v>
      </c>
      <c r="AN531" s="222"/>
      <c r="AO531" s="222">
        <v>0</v>
      </c>
    </row>
    <row r="532" spans="1:41" s="223" customFormat="1" ht="36" customHeight="1" x14ac:dyDescent="0.25">
      <c r="A532" s="223">
        <v>1</v>
      </c>
      <c r="B532" s="225">
        <f>SUBTOTAL(103,$A$16:A532)</f>
        <v>454</v>
      </c>
      <c r="C532" s="215" t="s">
        <v>1271</v>
      </c>
      <c r="D532" s="217">
        <v>1980</v>
      </c>
      <c r="E532" s="217"/>
      <c r="F532" s="226" t="s">
        <v>267</v>
      </c>
      <c r="G532" s="217">
        <v>2</v>
      </c>
      <c r="H532" s="217" t="s">
        <v>312</v>
      </c>
      <c r="I532" s="190">
        <v>955</v>
      </c>
      <c r="J532" s="190">
        <v>869.8</v>
      </c>
      <c r="K532" s="190">
        <v>869.8</v>
      </c>
      <c r="L532" s="219">
        <v>47</v>
      </c>
      <c r="M532" s="217" t="s">
        <v>265</v>
      </c>
      <c r="N532" s="217" t="s">
        <v>269</v>
      </c>
      <c r="O532" s="220" t="s">
        <v>1298</v>
      </c>
      <c r="P532" s="190">
        <v>229212.26</v>
      </c>
      <c r="Q532" s="190">
        <v>0</v>
      </c>
      <c r="R532" s="190">
        <v>0</v>
      </c>
      <c r="S532" s="190">
        <f t="shared" si="60"/>
        <v>229212.26</v>
      </c>
      <c r="T532" s="190">
        <f t="shared" si="59"/>
        <v>240.01283769633508</v>
      </c>
      <c r="U532" s="190">
        <v>3626.97</v>
      </c>
      <c r="V532" s="221">
        <f t="shared" si="61"/>
        <v>3386.9571623036645</v>
      </c>
      <c r="W532" s="221">
        <f>X532+Y532+Z532+AA532+AB532+AD532+AF532+AH532+AJ532+AL532+AN532+AO532</f>
        <v>3259.66</v>
      </c>
      <c r="X532" s="221">
        <v>0</v>
      </c>
      <c r="Y532" s="222">
        <v>0</v>
      </c>
      <c r="Z532" s="222">
        <v>3259.66</v>
      </c>
      <c r="AA532" s="222">
        <v>0</v>
      </c>
      <c r="AB532" s="222">
        <v>0</v>
      </c>
      <c r="AC532" s="222">
        <v>0</v>
      </c>
      <c r="AD532" s="222">
        <v>0</v>
      </c>
      <c r="AE532" s="222">
        <v>0</v>
      </c>
      <c r="AF532" s="221">
        <v>0</v>
      </c>
      <c r="AG532" s="222">
        <v>0</v>
      </c>
      <c r="AH532" s="221">
        <v>0</v>
      </c>
      <c r="AI532" s="222">
        <v>0</v>
      </c>
      <c r="AJ532" s="221">
        <v>0</v>
      </c>
      <c r="AK532" s="222">
        <v>0</v>
      </c>
      <c r="AL532" s="222">
        <v>0</v>
      </c>
      <c r="AM532" s="222">
        <v>0</v>
      </c>
      <c r="AN532" s="222"/>
      <c r="AO532" s="222">
        <v>0</v>
      </c>
    </row>
    <row r="533" spans="1:41" s="223" customFormat="1" ht="36" customHeight="1" x14ac:dyDescent="0.25">
      <c r="A533" s="223">
        <v>1</v>
      </c>
      <c r="B533" s="225">
        <f>SUBTOTAL(103,$A$16:A533)</f>
        <v>455</v>
      </c>
      <c r="C533" s="215" t="s">
        <v>1272</v>
      </c>
      <c r="D533" s="217">
        <v>1967</v>
      </c>
      <c r="E533" s="217"/>
      <c r="F533" s="226" t="s">
        <v>267</v>
      </c>
      <c r="G533" s="217">
        <v>2</v>
      </c>
      <c r="H533" s="217" t="s">
        <v>303</v>
      </c>
      <c r="I533" s="190">
        <v>783.4</v>
      </c>
      <c r="J533" s="190">
        <v>725.6</v>
      </c>
      <c r="K533" s="190">
        <v>725.6</v>
      </c>
      <c r="L533" s="219">
        <v>35</v>
      </c>
      <c r="M533" s="217" t="s">
        <v>265</v>
      </c>
      <c r="N533" s="217" t="s">
        <v>269</v>
      </c>
      <c r="O533" s="220" t="s">
        <v>1298</v>
      </c>
      <c r="P533" s="190">
        <v>1879611.64</v>
      </c>
      <c r="Q533" s="190">
        <v>0</v>
      </c>
      <c r="R533" s="190">
        <v>0</v>
      </c>
      <c r="S533" s="190">
        <f t="shared" si="60"/>
        <v>1879611.64</v>
      </c>
      <c r="T533" s="190">
        <f t="shared" si="59"/>
        <v>2399.300025529742</v>
      </c>
      <c r="U533" s="190">
        <v>3626.97</v>
      </c>
      <c r="V533" s="221">
        <f t="shared" si="61"/>
        <v>1227.6699744702578</v>
      </c>
      <c r="W533" s="221">
        <f>T533</f>
        <v>2399.300025529742</v>
      </c>
      <c r="X533" s="221">
        <v>0</v>
      </c>
      <c r="Y533" s="222">
        <v>0</v>
      </c>
      <c r="Z533" s="222">
        <v>3626.97</v>
      </c>
      <c r="AA533" s="222">
        <v>0</v>
      </c>
      <c r="AB533" s="222">
        <v>0</v>
      </c>
      <c r="AC533" s="222">
        <v>0</v>
      </c>
      <c r="AD533" s="222">
        <v>0</v>
      </c>
      <c r="AE533" s="222">
        <v>0</v>
      </c>
      <c r="AF533" s="221">
        <v>0</v>
      </c>
      <c r="AG533" s="222">
        <v>0</v>
      </c>
      <c r="AH533" s="221">
        <v>0</v>
      </c>
      <c r="AI533" s="222">
        <v>0</v>
      </c>
      <c r="AJ533" s="221">
        <v>0</v>
      </c>
      <c r="AK533" s="222">
        <v>0</v>
      </c>
      <c r="AL533" s="222">
        <v>0</v>
      </c>
      <c r="AM533" s="222">
        <v>0</v>
      </c>
      <c r="AN533" s="222"/>
      <c r="AO533" s="222">
        <v>0</v>
      </c>
    </row>
    <row r="534" spans="1:41" s="223" customFormat="1" ht="36" customHeight="1" x14ac:dyDescent="0.25">
      <c r="A534" s="223">
        <v>1</v>
      </c>
      <c r="B534" s="225">
        <f>SUBTOTAL(103,$A$16:A534)</f>
        <v>456</v>
      </c>
      <c r="C534" s="215" t="s">
        <v>217</v>
      </c>
      <c r="D534" s="217">
        <v>1992</v>
      </c>
      <c r="E534" s="217"/>
      <c r="F534" s="226" t="s">
        <v>311</v>
      </c>
      <c r="G534" s="217">
        <v>2</v>
      </c>
      <c r="H534" s="217" t="s">
        <v>303</v>
      </c>
      <c r="I534" s="190">
        <v>690.3</v>
      </c>
      <c r="J534" s="190">
        <v>630.29999999999995</v>
      </c>
      <c r="K534" s="190">
        <v>564.4</v>
      </c>
      <c r="L534" s="219">
        <v>29</v>
      </c>
      <c r="M534" s="217" t="s">
        <v>265</v>
      </c>
      <c r="N534" s="217" t="s">
        <v>269</v>
      </c>
      <c r="O534" s="220" t="s">
        <v>332</v>
      </c>
      <c r="P534" s="190">
        <v>57236.97</v>
      </c>
      <c r="Q534" s="190">
        <v>0</v>
      </c>
      <c r="R534" s="190">
        <v>0</v>
      </c>
      <c r="S534" s="190">
        <f t="shared" si="60"/>
        <v>57236.97</v>
      </c>
      <c r="T534" s="190">
        <f t="shared" si="59"/>
        <v>82.916079965232512</v>
      </c>
      <c r="U534" s="190">
        <v>82.916079965232512</v>
      </c>
      <c r="V534" s="221">
        <f t="shared" si="61"/>
        <v>0</v>
      </c>
      <c r="W534" s="221">
        <f>X534+Y534+Z534+AA534+AB534+AD534+AF534+AH534+AJ534+AL534+AN534+AO534</f>
        <v>3259.66</v>
      </c>
      <c r="X534" s="221">
        <v>0</v>
      </c>
      <c r="Y534" s="222">
        <v>0</v>
      </c>
      <c r="Z534" s="222">
        <v>3259.66</v>
      </c>
      <c r="AA534" s="222">
        <v>0</v>
      </c>
      <c r="AB534" s="222">
        <v>0</v>
      </c>
      <c r="AC534" s="222">
        <v>0</v>
      </c>
      <c r="AD534" s="222">
        <v>0</v>
      </c>
      <c r="AE534" s="222">
        <v>0</v>
      </c>
      <c r="AF534" s="221">
        <v>0</v>
      </c>
      <c r="AG534" s="222">
        <v>0</v>
      </c>
      <c r="AH534" s="221">
        <v>0</v>
      </c>
      <c r="AI534" s="222">
        <v>0</v>
      </c>
      <c r="AJ534" s="221">
        <v>0</v>
      </c>
      <c r="AK534" s="222">
        <v>0</v>
      </c>
      <c r="AL534" s="222">
        <v>0</v>
      </c>
      <c r="AM534" s="222">
        <v>0</v>
      </c>
      <c r="AN534" s="222"/>
      <c r="AO534" s="222">
        <v>0</v>
      </c>
    </row>
    <row r="535" spans="1:41" s="223" customFormat="1" ht="36" customHeight="1" x14ac:dyDescent="0.25">
      <c r="A535" s="223">
        <v>1</v>
      </c>
      <c r="B535" s="225">
        <f>SUBTOTAL(103,$A$16:A535)</f>
        <v>457</v>
      </c>
      <c r="C535" s="215" t="s">
        <v>1556</v>
      </c>
      <c r="D535" s="217">
        <v>1981</v>
      </c>
      <c r="E535" s="217"/>
      <c r="F535" s="226" t="s">
        <v>1571</v>
      </c>
      <c r="G535" s="217">
        <v>2</v>
      </c>
      <c r="H535" s="217" t="s">
        <v>312</v>
      </c>
      <c r="I535" s="190">
        <v>922.9</v>
      </c>
      <c r="J535" s="190">
        <v>838.7</v>
      </c>
      <c r="K535" s="190">
        <v>838.7</v>
      </c>
      <c r="L535" s="219">
        <v>43</v>
      </c>
      <c r="M535" s="217" t="s">
        <v>265</v>
      </c>
      <c r="N535" s="217" t="s">
        <v>266</v>
      </c>
      <c r="O535" s="220" t="s">
        <v>268</v>
      </c>
      <c r="P535" s="190">
        <v>60862.57</v>
      </c>
      <c r="Q535" s="190">
        <v>0</v>
      </c>
      <c r="R535" s="190">
        <v>0</v>
      </c>
      <c r="S535" s="190">
        <f t="shared" si="60"/>
        <v>60862.57</v>
      </c>
      <c r="T535" s="190">
        <f t="shared" si="59"/>
        <v>65.947090692382702</v>
      </c>
      <c r="U535" s="190">
        <v>65.947090692382702</v>
      </c>
      <c r="V535" s="221">
        <f t="shared" si="61"/>
        <v>0</v>
      </c>
      <c r="W535" s="221">
        <f>T535</f>
        <v>65.947090692382702</v>
      </c>
      <c r="X535" s="221">
        <v>0</v>
      </c>
      <c r="Y535" s="222">
        <v>0</v>
      </c>
      <c r="Z535" s="222">
        <v>0</v>
      </c>
      <c r="AA535" s="222">
        <v>0</v>
      </c>
      <c r="AB535" s="222">
        <v>0</v>
      </c>
      <c r="AC535" s="222">
        <v>0</v>
      </c>
      <c r="AD535" s="222">
        <v>0</v>
      </c>
      <c r="AE535" s="222">
        <v>0</v>
      </c>
      <c r="AF535" s="221">
        <v>0</v>
      </c>
      <c r="AG535" s="222">
        <v>0</v>
      </c>
      <c r="AH535" s="221">
        <v>0</v>
      </c>
      <c r="AI535" s="222">
        <v>0</v>
      </c>
      <c r="AJ535" s="221">
        <v>0</v>
      </c>
      <c r="AK535" s="222">
        <v>0</v>
      </c>
      <c r="AL535" s="222">
        <v>0</v>
      </c>
      <c r="AM535" s="222">
        <v>0</v>
      </c>
      <c r="AN535" s="222"/>
      <c r="AO535" s="222">
        <v>0</v>
      </c>
    </row>
    <row r="536" spans="1:41" s="223" customFormat="1" ht="36" customHeight="1" x14ac:dyDescent="0.25">
      <c r="A536" s="223">
        <v>1</v>
      </c>
      <c r="B536" s="225">
        <f>SUBTOTAL(103,$A$16:A536)</f>
        <v>458</v>
      </c>
      <c r="C536" s="215" t="s">
        <v>1557</v>
      </c>
      <c r="D536" s="217">
        <v>1980</v>
      </c>
      <c r="E536" s="217"/>
      <c r="F536" s="226" t="s">
        <v>1571</v>
      </c>
      <c r="G536" s="217">
        <v>2</v>
      </c>
      <c r="H536" s="217" t="s">
        <v>312</v>
      </c>
      <c r="I536" s="190">
        <v>1035.4000000000001</v>
      </c>
      <c r="J536" s="190">
        <v>947.5</v>
      </c>
      <c r="K536" s="190">
        <v>947.5</v>
      </c>
      <c r="L536" s="219">
        <v>35</v>
      </c>
      <c r="M536" s="217" t="s">
        <v>265</v>
      </c>
      <c r="N536" s="217" t="s">
        <v>266</v>
      </c>
      <c r="O536" s="220" t="s">
        <v>268</v>
      </c>
      <c r="P536" s="190">
        <v>64885.78</v>
      </c>
      <c r="Q536" s="190">
        <v>0</v>
      </c>
      <c r="R536" s="190">
        <v>0</v>
      </c>
      <c r="S536" s="190">
        <f>P536-R536-Q536</f>
        <v>64885.78</v>
      </c>
      <c r="T536" s="190">
        <f t="shared" si="59"/>
        <v>62.66735561135792</v>
      </c>
      <c r="U536" s="190">
        <v>62.66735561135792</v>
      </c>
      <c r="V536" s="221">
        <f>U536-T536</f>
        <v>0</v>
      </c>
      <c r="W536" s="221">
        <f>T536</f>
        <v>62.66735561135792</v>
      </c>
      <c r="X536" s="221">
        <v>0</v>
      </c>
      <c r="Y536" s="222">
        <v>0</v>
      </c>
      <c r="Z536" s="222">
        <v>0</v>
      </c>
      <c r="AA536" s="222">
        <v>0</v>
      </c>
      <c r="AB536" s="222">
        <v>0</v>
      </c>
      <c r="AC536" s="222">
        <v>0</v>
      </c>
      <c r="AD536" s="222">
        <v>0</v>
      </c>
      <c r="AE536" s="222">
        <v>0</v>
      </c>
      <c r="AF536" s="221">
        <v>0</v>
      </c>
      <c r="AG536" s="222">
        <v>0</v>
      </c>
      <c r="AH536" s="221">
        <v>0</v>
      </c>
      <c r="AI536" s="222">
        <v>0</v>
      </c>
      <c r="AJ536" s="221">
        <v>0</v>
      </c>
      <c r="AK536" s="222">
        <v>0</v>
      </c>
      <c r="AL536" s="222">
        <v>0</v>
      </c>
      <c r="AM536" s="222">
        <v>0</v>
      </c>
      <c r="AN536" s="222"/>
      <c r="AO536" s="222">
        <v>0</v>
      </c>
    </row>
    <row r="537" spans="1:41" s="223" customFormat="1" ht="36" customHeight="1" x14ac:dyDescent="0.25">
      <c r="A537" s="223">
        <v>1</v>
      </c>
      <c r="B537" s="225">
        <f>SUBTOTAL(103,$A$16:A537)</f>
        <v>459</v>
      </c>
      <c r="C537" s="215" t="s">
        <v>211</v>
      </c>
      <c r="D537" s="217">
        <v>1938</v>
      </c>
      <c r="E537" s="217"/>
      <c r="F537" s="226" t="s">
        <v>267</v>
      </c>
      <c r="G537" s="217">
        <v>3</v>
      </c>
      <c r="H537" s="217" t="s">
        <v>308</v>
      </c>
      <c r="I537" s="190">
        <v>1645.1</v>
      </c>
      <c r="J537" s="190">
        <v>1444.2</v>
      </c>
      <c r="K537" s="190">
        <v>1314.2</v>
      </c>
      <c r="L537" s="219">
        <v>58</v>
      </c>
      <c r="M537" s="217" t="s">
        <v>265</v>
      </c>
      <c r="N537" s="217" t="s">
        <v>266</v>
      </c>
      <c r="O537" s="220" t="s">
        <v>268</v>
      </c>
      <c r="P537" s="190">
        <v>77010.039999999994</v>
      </c>
      <c r="Q537" s="190">
        <v>0</v>
      </c>
      <c r="R537" s="190">
        <v>0</v>
      </c>
      <c r="S537" s="190">
        <f>P537-R537-Q537</f>
        <v>77010.039999999994</v>
      </c>
      <c r="T537" s="190">
        <f t="shared" si="59"/>
        <v>46.811768281563431</v>
      </c>
      <c r="U537" s="190">
        <v>46.811768281563431</v>
      </c>
      <c r="V537" s="221">
        <f t="shared" si="61"/>
        <v>0</v>
      </c>
      <c r="W537" s="221">
        <f>T537</f>
        <v>46.811768281563431</v>
      </c>
      <c r="X537" s="221">
        <v>0</v>
      </c>
      <c r="Y537" s="222">
        <v>0</v>
      </c>
      <c r="Z537" s="222">
        <v>0</v>
      </c>
      <c r="AA537" s="222">
        <v>0</v>
      </c>
      <c r="AB537" s="222">
        <v>0</v>
      </c>
      <c r="AC537" s="222">
        <v>0</v>
      </c>
      <c r="AD537" s="222">
        <v>0</v>
      </c>
      <c r="AE537" s="222">
        <v>0</v>
      </c>
      <c r="AF537" s="221">
        <v>0</v>
      </c>
      <c r="AG537" s="222">
        <v>0</v>
      </c>
      <c r="AH537" s="221">
        <v>0</v>
      </c>
      <c r="AI537" s="222">
        <v>0</v>
      </c>
      <c r="AJ537" s="221">
        <v>0</v>
      </c>
      <c r="AK537" s="222">
        <v>0</v>
      </c>
      <c r="AL537" s="222">
        <v>0</v>
      </c>
      <c r="AM537" s="222">
        <v>0</v>
      </c>
      <c r="AN537" s="222"/>
      <c r="AO537" s="222">
        <v>0</v>
      </c>
    </row>
    <row r="538" spans="1:41" s="223" customFormat="1" ht="36" customHeight="1" x14ac:dyDescent="0.25">
      <c r="A538" s="223">
        <v>1</v>
      </c>
      <c r="B538" s="225">
        <f>SUBTOTAL(103,$A$16:A538)</f>
        <v>460</v>
      </c>
      <c r="C538" s="215" t="s">
        <v>212</v>
      </c>
      <c r="D538" s="217">
        <v>1974</v>
      </c>
      <c r="E538" s="217"/>
      <c r="F538" s="226" t="s">
        <v>267</v>
      </c>
      <c r="G538" s="217">
        <v>2</v>
      </c>
      <c r="H538" s="217" t="s">
        <v>303</v>
      </c>
      <c r="I538" s="190">
        <v>749.6</v>
      </c>
      <c r="J538" s="190">
        <v>685.4</v>
      </c>
      <c r="K538" s="190">
        <v>685.4</v>
      </c>
      <c r="L538" s="219">
        <v>36</v>
      </c>
      <c r="M538" s="217" t="s">
        <v>265</v>
      </c>
      <c r="N538" s="217" t="s">
        <v>269</v>
      </c>
      <c r="O538" s="220" t="s">
        <v>332</v>
      </c>
      <c r="P538" s="190">
        <v>34177.35</v>
      </c>
      <c r="Q538" s="190">
        <v>0</v>
      </c>
      <c r="R538" s="190">
        <v>0</v>
      </c>
      <c r="S538" s="190">
        <f>P538-R538-Q538</f>
        <v>34177.35</v>
      </c>
      <c r="T538" s="190">
        <f t="shared" si="59"/>
        <v>45.594116862326572</v>
      </c>
      <c r="U538" s="190">
        <v>45.594116862326572</v>
      </c>
      <c r="V538" s="221">
        <f t="shared" si="61"/>
        <v>0</v>
      </c>
      <c r="W538" s="221">
        <f>T538</f>
        <v>45.594116862326572</v>
      </c>
      <c r="X538" s="221">
        <v>0</v>
      </c>
      <c r="Y538" s="222">
        <v>0</v>
      </c>
      <c r="Z538" s="222">
        <v>0</v>
      </c>
      <c r="AA538" s="222">
        <v>0</v>
      </c>
      <c r="AB538" s="222">
        <v>0</v>
      </c>
      <c r="AC538" s="222">
        <v>0</v>
      </c>
      <c r="AD538" s="222">
        <v>0</v>
      </c>
      <c r="AE538" s="222">
        <v>0</v>
      </c>
      <c r="AF538" s="221">
        <v>0</v>
      </c>
      <c r="AG538" s="222">
        <v>0</v>
      </c>
      <c r="AH538" s="221">
        <v>0</v>
      </c>
      <c r="AI538" s="222">
        <v>0</v>
      </c>
      <c r="AJ538" s="221">
        <v>0</v>
      </c>
      <c r="AK538" s="222">
        <v>0</v>
      </c>
      <c r="AL538" s="222">
        <v>0</v>
      </c>
      <c r="AM538" s="222">
        <v>0</v>
      </c>
      <c r="AN538" s="222"/>
      <c r="AO538" s="222">
        <v>0</v>
      </c>
    </row>
    <row r="539" spans="1:41" s="223" customFormat="1" ht="36" customHeight="1" x14ac:dyDescent="0.25">
      <c r="B539" s="215" t="s">
        <v>863</v>
      </c>
      <c r="C539" s="215"/>
      <c r="D539" s="217" t="s">
        <v>890</v>
      </c>
      <c r="E539" s="217" t="s">
        <v>890</v>
      </c>
      <c r="F539" s="217" t="s">
        <v>890</v>
      </c>
      <c r="G539" s="217" t="s">
        <v>890</v>
      </c>
      <c r="H539" s="217" t="s">
        <v>890</v>
      </c>
      <c r="I539" s="218">
        <f>SUM(I540:I543)</f>
        <v>2975.2</v>
      </c>
      <c r="J539" s="218">
        <f>SUM(J540:J543)</f>
        <v>2622.3</v>
      </c>
      <c r="K539" s="218">
        <f>SUM(K540:K543)</f>
        <v>2622.3</v>
      </c>
      <c r="L539" s="219">
        <f>SUM(L540:L543)</f>
        <v>130</v>
      </c>
      <c r="M539" s="217" t="s">
        <v>890</v>
      </c>
      <c r="N539" s="217" t="s">
        <v>890</v>
      </c>
      <c r="O539" s="220" t="s">
        <v>890</v>
      </c>
      <c r="P539" s="190">
        <v>3506290.42</v>
      </c>
      <c r="Q539" s="190">
        <f>SUM(Q540:Q543)</f>
        <v>0</v>
      </c>
      <c r="R539" s="190">
        <f>SUM(R540:R543)</f>
        <v>0</v>
      </c>
      <c r="S539" s="190">
        <f>SUM(S540:S543)</f>
        <v>3506290.42</v>
      </c>
      <c r="T539" s="190">
        <f t="shared" si="59"/>
        <v>1178.5057878461953</v>
      </c>
      <c r="U539" s="190">
        <f>MAX(U540:U543)</f>
        <v>5181.0369785098437</v>
      </c>
      <c r="V539" s="221">
        <f t="shared" si="61"/>
        <v>4002.5311906636484</v>
      </c>
      <c r="W539" s="221"/>
      <c r="X539" s="221"/>
      <c r="Y539" s="222"/>
      <c r="Z539" s="222"/>
      <c r="AA539" s="222"/>
      <c r="AB539" s="222"/>
      <c r="AC539" s="222"/>
      <c r="AD539" s="222"/>
      <c r="AE539" s="222"/>
      <c r="AF539" s="222"/>
      <c r="AG539" s="222"/>
      <c r="AH539" s="222"/>
      <c r="AI539" s="222"/>
      <c r="AJ539" s="222"/>
      <c r="AK539" s="222"/>
      <c r="AL539" s="222"/>
      <c r="AM539" s="222"/>
      <c r="AN539" s="222"/>
      <c r="AO539" s="222"/>
    </row>
    <row r="540" spans="1:41" s="223" customFormat="1" ht="36" customHeight="1" x14ac:dyDescent="0.25">
      <c r="A540" s="223">
        <v>1</v>
      </c>
      <c r="B540" s="225">
        <f>SUBTOTAL(103,$A$16:A540)</f>
        <v>461</v>
      </c>
      <c r="C540" s="215" t="s">
        <v>220</v>
      </c>
      <c r="D540" s="217">
        <v>1971</v>
      </c>
      <c r="E540" s="217"/>
      <c r="F540" s="226" t="s">
        <v>267</v>
      </c>
      <c r="G540" s="217">
        <v>2</v>
      </c>
      <c r="H540" s="217" t="s">
        <v>303</v>
      </c>
      <c r="I540" s="190">
        <v>777.1</v>
      </c>
      <c r="J540" s="190">
        <v>718.2</v>
      </c>
      <c r="K540" s="190">
        <v>718.2</v>
      </c>
      <c r="L540" s="219">
        <v>38</v>
      </c>
      <c r="M540" s="217" t="s">
        <v>265</v>
      </c>
      <c r="N540" s="217" t="s">
        <v>269</v>
      </c>
      <c r="O540" s="220" t="s">
        <v>332</v>
      </c>
      <c r="P540" s="190">
        <v>2426341.25</v>
      </c>
      <c r="Q540" s="190">
        <v>0</v>
      </c>
      <c r="R540" s="190">
        <v>0</v>
      </c>
      <c r="S540" s="190">
        <f>P540-Q540-R540</f>
        <v>2426341.25</v>
      </c>
      <c r="T540" s="190">
        <f t="shared" si="59"/>
        <v>3122.3024707244886</v>
      </c>
      <c r="U540" s="190">
        <v>5181.0369785098437</v>
      </c>
      <c r="V540" s="221">
        <f t="shared" si="61"/>
        <v>2058.7345077853552</v>
      </c>
      <c r="W540" s="221">
        <f>T540</f>
        <v>3122.3024707244886</v>
      </c>
      <c r="X540" s="221">
        <v>0</v>
      </c>
      <c r="Y540" s="222">
        <v>0</v>
      </c>
      <c r="Z540" s="222">
        <v>0</v>
      </c>
      <c r="AA540" s="222">
        <v>184.98</v>
      </c>
      <c r="AB540" s="222">
        <v>0</v>
      </c>
      <c r="AC540" s="222">
        <v>0</v>
      </c>
      <c r="AD540" s="222">
        <v>0</v>
      </c>
      <c r="AE540" s="222">
        <v>0</v>
      </c>
      <c r="AF540" s="221">
        <v>0</v>
      </c>
      <c r="AG540" s="222">
        <v>0</v>
      </c>
      <c r="AH540" s="221">
        <v>0</v>
      </c>
      <c r="AI540" s="222">
        <v>0</v>
      </c>
      <c r="AJ540" s="221">
        <v>0</v>
      </c>
      <c r="AK540" s="222">
        <v>0</v>
      </c>
      <c r="AL540" s="222">
        <v>0</v>
      </c>
      <c r="AM540" s="222">
        <v>0</v>
      </c>
      <c r="AN540" s="222"/>
      <c r="AO540" s="222">
        <v>0</v>
      </c>
    </row>
    <row r="541" spans="1:41" s="223" customFormat="1" ht="36" customHeight="1" x14ac:dyDescent="0.25">
      <c r="A541" s="223">
        <v>1</v>
      </c>
      <c r="B541" s="225">
        <f>SUBTOTAL(103,$A$16:A541)</f>
        <v>462</v>
      </c>
      <c r="C541" s="215" t="s">
        <v>225</v>
      </c>
      <c r="D541" s="217">
        <v>1978</v>
      </c>
      <c r="E541" s="217"/>
      <c r="F541" s="226" t="s">
        <v>311</v>
      </c>
      <c r="G541" s="217">
        <v>3</v>
      </c>
      <c r="H541" s="217" t="s">
        <v>303</v>
      </c>
      <c r="I541" s="190">
        <v>1015.3</v>
      </c>
      <c r="J541" s="190">
        <v>929.3</v>
      </c>
      <c r="K541" s="190">
        <v>929.3</v>
      </c>
      <c r="L541" s="219">
        <v>37</v>
      </c>
      <c r="M541" s="217" t="s">
        <v>265</v>
      </c>
      <c r="N541" s="217" t="s">
        <v>269</v>
      </c>
      <c r="O541" s="220" t="s">
        <v>332</v>
      </c>
      <c r="P541" s="190">
        <v>112884.08</v>
      </c>
      <c r="Q541" s="190">
        <v>0</v>
      </c>
      <c r="R541" s="190">
        <v>0</v>
      </c>
      <c r="S541" s="190">
        <f>P541-Q541-R541</f>
        <v>112884.08</v>
      </c>
      <c r="T541" s="190">
        <f t="shared" si="59"/>
        <v>111.18298039988181</v>
      </c>
      <c r="U541" s="190">
        <v>111.18298039988181</v>
      </c>
      <c r="V541" s="221">
        <f t="shared" si="61"/>
        <v>0</v>
      </c>
      <c r="W541" s="221">
        <f>X541+Y541+Z541+AA541+AB541+AD541+AF541+AH541+AJ541+AL541+AN541+AO541</f>
        <v>3801.7224847828224</v>
      </c>
      <c r="X541" s="221">
        <v>0</v>
      </c>
      <c r="Y541" s="222">
        <v>0</v>
      </c>
      <c r="Z541" s="222">
        <v>0</v>
      </c>
      <c r="AA541" s="222">
        <v>0</v>
      </c>
      <c r="AB541" s="222">
        <v>0</v>
      </c>
      <c r="AC541" s="222">
        <v>0</v>
      </c>
      <c r="AD541" s="222">
        <v>0</v>
      </c>
      <c r="AE541" s="222">
        <v>618.67999999999995</v>
      </c>
      <c r="AF541" s="221">
        <f>6238.91*AE541/I541</f>
        <v>3801.7224847828224</v>
      </c>
      <c r="AG541" s="222">
        <v>0</v>
      </c>
      <c r="AH541" s="221">
        <v>0</v>
      </c>
      <c r="AI541" s="222">
        <v>0</v>
      </c>
      <c r="AJ541" s="221">
        <v>0</v>
      </c>
      <c r="AK541" s="222">
        <v>0</v>
      </c>
      <c r="AL541" s="222">
        <v>0</v>
      </c>
      <c r="AM541" s="222">
        <v>0</v>
      </c>
      <c r="AN541" s="222"/>
      <c r="AO541" s="222">
        <v>0</v>
      </c>
    </row>
    <row r="542" spans="1:41" s="223" customFormat="1" ht="36" customHeight="1" x14ac:dyDescent="0.25">
      <c r="A542" s="223">
        <v>1</v>
      </c>
      <c r="B542" s="225">
        <f>SUBTOTAL(103,$A$16:A542)</f>
        <v>463</v>
      </c>
      <c r="C542" s="215" t="s">
        <v>1088</v>
      </c>
      <c r="D542" s="217">
        <v>1938</v>
      </c>
      <c r="E542" s="217"/>
      <c r="F542" s="226" t="s">
        <v>330</v>
      </c>
      <c r="G542" s="217">
        <v>2</v>
      </c>
      <c r="H542" s="217" t="s">
        <v>304</v>
      </c>
      <c r="I542" s="190">
        <v>369.2</v>
      </c>
      <c r="J542" s="190">
        <v>222.5</v>
      </c>
      <c r="K542" s="190">
        <v>222.5</v>
      </c>
      <c r="L542" s="219">
        <v>16</v>
      </c>
      <c r="M542" s="217" t="s">
        <v>265</v>
      </c>
      <c r="N542" s="217" t="s">
        <v>266</v>
      </c>
      <c r="O542" s="220" t="s">
        <v>268</v>
      </c>
      <c r="P542" s="190">
        <v>930608.30999999994</v>
      </c>
      <c r="Q542" s="190">
        <v>0</v>
      </c>
      <c r="R542" s="190">
        <v>0</v>
      </c>
      <c r="S542" s="190">
        <f>P542-Q542-R542</f>
        <v>930608.30999999994</v>
      </c>
      <c r="T542" s="190">
        <f t="shared" si="59"/>
        <v>2520.6075568797401</v>
      </c>
      <c r="U542" s="190">
        <v>3373.7101300108343</v>
      </c>
      <c r="V542" s="221">
        <f t="shared" si="61"/>
        <v>853.10257313109423</v>
      </c>
      <c r="W542" s="221">
        <f>T542</f>
        <v>2520.6075568797401</v>
      </c>
      <c r="X542" s="221">
        <v>0</v>
      </c>
      <c r="Y542" s="222">
        <v>0</v>
      </c>
      <c r="Z542" s="222">
        <v>0</v>
      </c>
      <c r="AA542" s="222">
        <v>0</v>
      </c>
      <c r="AB542" s="222">
        <v>0</v>
      </c>
      <c r="AC542" s="222">
        <v>0</v>
      </c>
      <c r="AD542" s="222">
        <v>0</v>
      </c>
      <c r="AE542" s="222">
        <v>0</v>
      </c>
      <c r="AF542" s="221">
        <v>0</v>
      </c>
      <c r="AG542" s="222">
        <v>0</v>
      </c>
      <c r="AH542" s="221">
        <v>0</v>
      </c>
      <c r="AI542" s="222">
        <v>0</v>
      </c>
      <c r="AJ542" s="221">
        <v>0</v>
      </c>
      <c r="AK542" s="222">
        <v>0</v>
      </c>
      <c r="AL542" s="222">
        <v>0</v>
      </c>
      <c r="AM542" s="222">
        <v>384</v>
      </c>
      <c r="AN542" s="222">
        <f>6984.52*AM542/I542</f>
        <v>7264.5061755146271</v>
      </c>
      <c r="AO542" s="222">
        <v>0</v>
      </c>
    </row>
    <row r="543" spans="1:41" s="223" customFormat="1" ht="36" customHeight="1" x14ac:dyDescent="0.25">
      <c r="A543" s="223">
        <v>1</v>
      </c>
      <c r="B543" s="225">
        <f>SUBTOTAL(103,$A$16:A543)</f>
        <v>464</v>
      </c>
      <c r="C543" s="215" t="s">
        <v>224</v>
      </c>
      <c r="D543" s="217">
        <v>1973</v>
      </c>
      <c r="E543" s="217"/>
      <c r="F543" s="226" t="s">
        <v>267</v>
      </c>
      <c r="G543" s="217">
        <v>2</v>
      </c>
      <c r="H543" s="217" t="s">
        <v>303</v>
      </c>
      <c r="I543" s="190">
        <v>813.6</v>
      </c>
      <c r="J543" s="190">
        <v>752.3</v>
      </c>
      <c r="K543" s="190">
        <v>752.3</v>
      </c>
      <c r="L543" s="219">
        <v>39</v>
      </c>
      <c r="M543" s="217" t="s">
        <v>265</v>
      </c>
      <c r="N543" s="217" t="s">
        <v>266</v>
      </c>
      <c r="O543" s="220" t="s">
        <v>268</v>
      </c>
      <c r="P543" s="190">
        <v>36456.78</v>
      </c>
      <c r="Q543" s="190">
        <v>0</v>
      </c>
      <c r="R543" s="190">
        <v>0</v>
      </c>
      <c r="S543" s="190">
        <f>P543-Q543-R543</f>
        <v>36456.78</v>
      </c>
      <c r="T543" s="190">
        <f t="shared" si="59"/>
        <v>44.809218289085543</v>
      </c>
      <c r="U543" s="190">
        <v>44.809218289085543</v>
      </c>
      <c r="V543" s="221">
        <f t="shared" si="61"/>
        <v>0</v>
      </c>
      <c r="W543" s="221">
        <f>X543+Y543+Z543+AA543+AB543+AD543+AF543+AH543+AJ543+AL543+AN543+AO543</f>
        <v>1467.7081784660768</v>
      </c>
      <c r="X543" s="221">
        <v>0</v>
      </c>
      <c r="Y543" s="222">
        <v>0</v>
      </c>
      <c r="Z543" s="222">
        <v>0</v>
      </c>
      <c r="AA543" s="222">
        <v>0</v>
      </c>
      <c r="AB543" s="222">
        <v>0</v>
      </c>
      <c r="AC543" s="222">
        <v>0</v>
      </c>
      <c r="AD543" s="222">
        <v>0</v>
      </c>
      <c r="AE543" s="222">
        <v>191.4</v>
      </c>
      <c r="AF543" s="221">
        <f>6238.91*AE543/I543</f>
        <v>1467.7081784660768</v>
      </c>
      <c r="AG543" s="222">
        <v>0</v>
      </c>
      <c r="AH543" s="221">
        <v>0</v>
      </c>
      <c r="AI543" s="222">
        <v>0</v>
      </c>
      <c r="AJ543" s="221">
        <v>0</v>
      </c>
      <c r="AK543" s="222">
        <v>0</v>
      </c>
      <c r="AL543" s="222">
        <v>0</v>
      </c>
      <c r="AM543" s="222">
        <v>0</v>
      </c>
      <c r="AN543" s="222"/>
      <c r="AO543" s="222">
        <v>0</v>
      </c>
    </row>
    <row r="544" spans="1:41" s="223" customFormat="1" ht="36" customHeight="1" x14ac:dyDescent="0.25">
      <c r="B544" s="215" t="s">
        <v>864</v>
      </c>
      <c r="C544" s="215"/>
      <c r="D544" s="217" t="s">
        <v>890</v>
      </c>
      <c r="E544" s="217" t="s">
        <v>890</v>
      </c>
      <c r="F544" s="217" t="s">
        <v>890</v>
      </c>
      <c r="G544" s="217" t="s">
        <v>890</v>
      </c>
      <c r="H544" s="217" t="s">
        <v>890</v>
      </c>
      <c r="I544" s="218">
        <f>SUM(I545:I546)</f>
        <v>1422.8</v>
      </c>
      <c r="J544" s="218">
        <f>SUM(J545:J546)</f>
        <v>1303.8000000000002</v>
      </c>
      <c r="K544" s="218">
        <f>SUM(K545:K546)</f>
        <v>1303.8000000000002</v>
      </c>
      <c r="L544" s="219">
        <f>SUM(L545:L546)</f>
        <v>64</v>
      </c>
      <c r="M544" s="217" t="s">
        <v>890</v>
      </c>
      <c r="N544" s="217" t="s">
        <v>890</v>
      </c>
      <c r="O544" s="220" t="s">
        <v>890</v>
      </c>
      <c r="P544" s="190">
        <v>735510.79</v>
      </c>
      <c r="Q544" s="190">
        <f>SUM(Q545:Q546)</f>
        <v>0</v>
      </c>
      <c r="R544" s="190">
        <f>SUM(R545:R546)</f>
        <v>0</v>
      </c>
      <c r="S544" s="190">
        <f>SUM(S545:S546)</f>
        <v>735510.79</v>
      </c>
      <c r="T544" s="190">
        <f t="shared" si="59"/>
        <v>516.94601490019681</v>
      </c>
      <c r="U544" s="190">
        <f>MAX(U545:U546)</f>
        <v>5427.1975948891395</v>
      </c>
      <c r="V544" s="221">
        <f>U544-T544</f>
        <v>4910.2515799889425</v>
      </c>
      <c r="W544" s="221"/>
      <c r="X544" s="221"/>
      <c r="Y544" s="222"/>
      <c r="Z544" s="222"/>
      <c r="AA544" s="222"/>
      <c r="AB544" s="222"/>
      <c r="AC544" s="222"/>
      <c r="AD544" s="222"/>
      <c r="AE544" s="222"/>
      <c r="AF544" s="222"/>
      <c r="AG544" s="222"/>
      <c r="AH544" s="222"/>
      <c r="AI544" s="222"/>
      <c r="AJ544" s="222"/>
      <c r="AK544" s="222"/>
      <c r="AL544" s="222"/>
      <c r="AM544" s="222"/>
      <c r="AN544" s="222"/>
      <c r="AO544" s="222"/>
    </row>
    <row r="545" spans="1:41" s="223" customFormat="1" ht="36" customHeight="1" x14ac:dyDescent="0.25">
      <c r="A545" s="223">
        <v>1</v>
      </c>
      <c r="B545" s="225">
        <f>SUBTOTAL(103,$A$16:A545)</f>
        <v>465</v>
      </c>
      <c r="C545" s="215" t="s">
        <v>1286</v>
      </c>
      <c r="D545" s="217">
        <v>1976</v>
      </c>
      <c r="E545" s="217"/>
      <c r="F545" s="226" t="s">
        <v>267</v>
      </c>
      <c r="G545" s="217">
        <v>2</v>
      </c>
      <c r="H545" s="217" t="s">
        <v>303</v>
      </c>
      <c r="I545" s="190">
        <v>798.3</v>
      </c>
      <c r="J545" s="190">
        <v>736.7</v>
      </c>
      <c r="K545" s="190">
        <v>736.7</v>
      </c>
      <c r="L545" s="219">
        <v>32</v>
      </c>
      <c r="M545" s="217" t="s">
        <v>265</v>
      </c>
      <c r="N545" s="217" t="s">
        <v>266</v>
      </c>
      <c r="O545" s="220" t="s">
        <v>268</v>
      </c>
      <c r="P545" s="190">
        <v>306059.67</v>
      </c>
      <c r="Q545" s="190">
        <v>0</v>
      </c>
      <c r="R545" s="190">
        <v>0</v>
      </c>
      <c r="S545" s="190">
        <f>P545-Q545-R545</f>
        <v>306059.67</v>
      </c>
      <c r="T545" s="190">
        <f t="shared" si="59"/>
        <v>383.38928974069898</v>
      </c>
      <c r="U545" s="190">
        <v>5427.1975948891395</v>
      </c>
      <c r="V545" s="221">
        <f>U545-T545</f>
        <v>5043.8083051484409</v>
      </c>
      <c r="W545" s="221">
        <f>T545</f>
        <v>383.38928974069898</v>
      </c>
      <c r="X545" s="221">
        <v>0</v>
      </c>
      <c r="Y545" s="222">
        <v>0</v>
      </c>
      <c r="Z545" s="222">
        <v>0</v>
      </c>
      <c r="AA545" s="222">
        <v>184.98</v>
      </c>
      <c r="AB545" s="222">
        <v>0</v>
      </c>
      <c r="AC545" s="222">
        <v>0</v>
      </c>
      <c r="AD545" s="222">
        <v>0</v>
      </c>
      <c r="AE545" s="222">
        <v>0</v>
      </c>
      <c r="AF545" s="221">
        <v>0</v>
      </c>
      <c r="AG545" s="222">
        <v>0</v>
      </c>
      <c r="AH545" s="221">
        <v>0</v>
      </c>
      <c r="AI545" s="222">
        <v>0</v>
      </c>
      <c r="AJ545" s="221">
        <v>0</v>
      </c>
      <c r="AK545" s="222">
        <v>0</v>
      </c>
      <c r="AL545" s="222">
        <v>0</v>
      </c>
      <c r="AM545" s="222">
        <v>0</v>
      </c>
      <c r="AN545" s="222"/>
      <c r="AO545" s="222">
        <v>0</v>
      </c>
    </row>
    <row r="546" spans="1:41" s="223" customFormat="1" ht="36" customHeight="1" x14ac:dyDescent="0.25">
      <c r="A546" s="223">
        <v>1</v>
      </c>
      <c r="B546" s="225">
        <f>SUBTOTAL(103,$A$16:A546)</f>
        <v>466</v>
      </c>
      <c r="C546" s="215" t="s">
        <v>1287</v>
      </c>
      <c r="D546" s="217">
        <v>1986</v>
      </c>
      <c r="E546" s="217"/>
      <c r="F546" s="226" t="s">
        <v>318</v>
      </c>
      <c r="G546" s="217">
        <v>2</v>
      </c>
      <c r="H546" s="217" t="s">
        <v>303</v>
      </c>
      <c r="I546" s="190">
        <v>624.5</v>
      </c>
      <c r="J546" s="190">
        <v>567.1</v>
      </c>
      <c r="K546" s="190">
        <v>567.1</v>
      </c>
      <c r="L546" s="219">
        <v>32</v>
      </c>
      <c r="M546" s="217" t="s">
        <v>265</v>
      </c>
      <c r="N546" s="217" t="s">
        <v>266</v>
      </c>
      <c r="O546" s="220" t="s">
        <v>268</v>
      </c>
      <c r="P546" s="190">
        <v>429451.12</v>
      </c>
      <c r="Q546" s="190">
        <v>0</v>
      </c>
      <c r="R546" s="190">
        <v>0</v>
      </c>
      <c r="S546" s="190">
        <f>P546-Q546-R546</f>
        <v>429451.12</v>
      </c>
      <c r="T546" s="190">
        <f t="shared" si="59"/>
        <v>687.67192954363486</v>
      </c>
      <c r="U546" s="190">
        <v>3738.4767846277018</v>
      </c>
      <c r="V546" s="221">
        <f>U546-T546</f>
        <v>3050.8048550840667</v>
      </c>
      <c r="W546" s="221">
        <f>X546+Y546+Z546+AA546+AB546+AD546+AF546+AH546+AJ546+AL546+AN546+AO546</f>
        <v>6937.6010248198554</v>
      </c>
      <c r="X546" s="221">
        <v>0</v>
      </c>
      <c r="Y546" s="222">
        <v>0</v>
      </c>
      <c r="Z546" s="222">
        <v>0</v>
      </c>
      <c r="AA546" s="222">
        <v>0</v>
      </c>
      <c r="AB546" s="222">
        <v>0</v>
      </c>
      <c r="AC546" s="222">
        <v>0</v>
      </c>
      <c r="AD546" s="222">
        <v>0</v>
      </c>
      <c r="AE546" s="222">
        <v>0</v>
      </c>
      <c r="AF546" s="221">
        <v>0</v>
      </c>
      <c r="AG546" s="222">
        <v>0</v>
      </c>
      <c r="AH546" s="221">
        <v>0</v>
      </c>
      <c r="AI546" s="222">
        <v>582.4</v>
      </c>
      <c r="AJ546" s="221">
        <f>7439.1*AI546/I546</f>
        <v>6937.6010248198554</v>
      </c>
      <c r="AK546" s="222">
        <v>0</v>
      </c>
      <c r="AL546" s="222">
        <v>0</v>
      </c>
      <c r="AM546" s="222">
        <v>0</v>
      </c>
      <c r="AN546" s="222"/>
      <c r="AO546" s="222">
        <v>0</v>
      </c>
    </row>
    <row r="547" spans="1:41" s="223" customFormat="1" ht="36" customHeight="1" x14ac:dyDescent="0.25">
      <c r="B547" s="215" t="s">
        <v>865</v>
      </c>
      <c r="C547" s="215"/>
      <c r="D547" s="217" t="s">
        <v>890</v>
      </c>
      <c r="E547" s="217" t="s">
        <v>890</v>
      </c>
      <c r="F547" s="217" t="s">
        <v>890</v>
      </c>
      <c r="G547" s="217" t="s">
        <v>890</v>
      </c>
      <c r="H547" s="217" t="s">
        <v>890</v>
      </c>
      <c r="I547" s="218">
        <f>SUM(I548:I549)</f>
        <v>1109.3</v>
      </c>
      <c r="J547" s="218">
        <f>SUM(J548:J549)</f>
        <v>1034.5999999999999</v>
      </c>
      <c r="K547" s="218">
        <f>SUM(K548:K549)</f>
        <v>1034.5999999999999</v>
      </c>
      <c r="L547" s="219">
        <f>SUM(L548:L549)</f>
        <v>49</v>
      </c>
      <c r="M547" s="217" t="s">
        <v>890</v>
      </c>
      <c r="N547" s="217" t="s">
        <v>890</v>
      </c>
      <c r="O547" s="220" t="s">
        <v>890</v>
      </c>
      <c r="P547" s="190">
        <v>1268994.68</v>
      </c>
      <c r="Q547" s="190">
        <f>SUM(Q548:Q549)</f>
        <v>0</v>
      </c>
      <c r="R547" s="190">
        <f>SUM(R548:R549)</f>
        <v>0</v>
      </c>
      <c r="S547" s="190">
        <f>SUM(S548:S549)</f>
        <v>1268994.68</v>
      </c>
      <c r="T547" s="190">
        <f t="shared" si="59"/>
        <v>1143.9598665825295</v>
      </c>
      <c r="U547" s="190">
        <f>MAX(U548:U549)</f>
        <v>6089.43572778828</v>
      </c>
      <c r="V547" s="221">
        <f t="shared" si="61"/>
        <v>4945.4758612057503</v>
      </c>
      <c r="W547" s="221"/>
      <c r="X547" s="221"/>
      <c r="Y547" s="222"/>
      <c r="Z547" s="222"/>
      <c r="AA547" s="222"/>
      <c r="AB547" s="222"/>
      <c r="AC547" s="222"/>
      <c r="AD547" s="222"/>
      <c r="AE547" s="222"/>
      <c r="AF547" s="222"/>
      <c r="AG547" s="222"/>
      <c r="AH547" s="222"/>
      <c r="AI547" s="222"/>
      <c r="AJ547" s="222"/>
      <c r="AK547" s="222"/>
      <c r="AL547" s="222"/>
      <c r="AM547" s="222"/>
      <c r="AN547" s="222"/>
      <c r="AO547" s="222"/>
    </row>
    <row r="548" spans="1:41" s="223" customFormat="1" ht="36" customHeight="1" x14ac:dyDescent="0.25">
      <c r="A548" s="223">
        <v>1</v>
      </c>
      <c r="B548" s="225">
        <f>SUBTOTAL(103,$A$16:A548)</f>
        <v>467</v>
      </c>
      <c r="C548" s="215" t="s">
        <v>222</v>
      </c>
      <c r="D548" s="217">
        <v>1966</v>
      </c>
      <c r="E548" s="217"/>
      <c r="F548" s="226" t="s">
        <v>267</v>
      </c>
      <c r="G548" s="217">
        <v>2</v>
      </c>
      <c r="H548" s="217" t="s">
        <v>304</v>
      </c>
      <c r="I548" s="190">
        <v>317.39999999999998</v>
      </c>
      <c r="J548" s="190">
        <v>297.7</v>
      </c>
      <c r="K548" s="190">
        <v>297.7</v>
      </c>
      <c r="L548" s="219">
        <v>22</v>
      </c>
      <c r="M548" s="217" t="s">
        <v>265</v>
      </c>
      <c r="N548" s="217" t="s">
        <v>266</v>
      </c>
      <c r="O548" s="220" t="s">
        <v>268</v>
      </c>
      <c r="P548" s="190">
        <v>1233277.05</v>
      </c>
      <c r="Q548" s="190">
        <v>0</v>
      </c>
      <c r="R548" s="190">
        <v>0</v>
      </c>
      <c r="S548" s="190">
        <f>P548-Q548-R548</f>
        <v>1233277.05</v>
      </c>
      <c r="T548" s="190">
        <f t="shared" si="59"/>
        <v>3885.5609640831763</v>
      </c>
      <c r="U548" s="190">
        <v>6089.43572778828</v>
      </c>
      <c r="V548" s="221">
        <f>U548-T548</f>
        <v>2203.8747637051038</v>
      </c>
      <c r="W548" s="221">
        <f>X548+Y548+Z548+AA548+AB548+AD548+AF548+AH548+AJ548+AL548+AN548+AO548</f>
        <v>5837.9214555765602</v>
      </c>
      <c r="X548" s="221">
        <v>0</v>
      </c>
      <c r="Y548" s="222">
        <v>0</v>
      </c>
      <c r="Z548" s="222">
        <v>0</v>
      </c>
      <c r="AA548" s="222">
        <v>0</v>
      </c>
      <c r="AB548" s="222">
        <v>0</v>
      </c>
      <c r="AC548" s="222">
        <v>0</v>
      </c>
      <c r="AD548" s="222">
        <v>0</v>
      </c>
      <c r="AE548" s="222">
        <v>297</v>
      </c>
      <c r="AF548" s="221">
        <f>6238.91*AE548/I548</f>
        <v>5837.9214555765602</v>
      </c>
      <c r="AG548" s="222">
        <v>0</v>
      </c>
      <c r="AH548" s="221">
        <v>0</v>
      </c>
      <c r="AI548" s="222">
        <v>0</v>
      </c>
      <c r="AJ548" s="221">
        <v>0</v>
      </c>
      <c r="AK548" s="222">
        <v>0</v>
      </c>
      <c r="AL548" s="222">
        <v>0</v>
      </c>
      <c r="AM548" s="222">
        <v>0</v>
      </c>
      <c r="AN548" s="222"/>
      <c r="AO548" s="222">
        <v>0</v>
      </c>
    </row>
    <row r="549" spans="1:41" s="223" customFormat="1" ht="36" customHeight="1" x14ac:dyDescent="0.25">
      <c r="A549" s="223">
        <v>1</v>
      </c>
      <c r="B549" s="225">
        <f>SUBTOTAL(103,$A$16:A549)</f>
        <v>468</v>
      </c>
      <c r="C549" s="215" t="s">
        <v>218</v>
      </c>
      <c r="D549" s="217">
        <v>1979</v>
      </c>
      <c r="E549" s="217"/>
      <c r="F549" s="226" t="s">
        <v>267</v>
      </c>
      <c r="G549" s="217">
        <v>2</v>
      </c>
      <c r="H549" s="217" t="s">
        <v>303</v>
      </c>
      <c r="I549" s="190">
        <v>791.9</v>
      </c>
      <c r="J549" s="190">
        <v>736.9</v>
      </c>
      <c r="K549" s="190">
        <v>736.9</v>
      </c>
      <c r="L549" s="219">
        <v>27</v>
      </c>
      <c r="M549" s="217" t="s">
        <v>265</v>
      </c>
      <c r="N549" s="217" t="s">
        <v>266</v>
      </c>
      <c r="O549" s="220" t="s">
        <v>268</v>
      </c>
      <c r="P549" s="190">
        <v>35717.629999999997</v>
      </c>
      <c r="Q549" s="190">
        <v>0</v>
      </c>
      <c r="R549" s="190">
        <v>0</v>
      </c>
      <c r="S549" s="190">
        <f>P549-Q549-R549</f>
        <v>35717.629999999997</v>
      </c>
      <c r="T549" s="190">
        <f t="shared" si="59"/>
        <v>45.103712589973476</v>
      </c>
      <c r="U549" s="190">
        <v>45.103712589973476</v>
      </c>
      <c r="V549" s="221">
        <f>U549-T549</f>
        <v>0</v>
      </c>
      <c r="W549" s="221">
        <f>X549+Y549+Z549+AA549+AB549+AD549+AF549+AH549+AJ549+AL549+AN549+AO549</f>
        <v>2339.8866902386667</v>
      </c>
      <c r="X549" s="221">
        <v>0</v>
      </c>
      <c r="Y549" s="222">
        <v>0</v>
      </c>
      <c r="Z549" s="222">
        <v>0</v>
      </c>
      <c r="AA549" s="222">
        <v>0</v>
      </c>
      <c r="AB549" s="222">
        <v>0</v>
      </c>
      <c r="AC549" s="222">
        <v>0</v>
      </c>
      <c r="AD549" s="222">
        <v>0</v>
      </c>
      <c r="AE549" s="222">
        <v>297</v>
      </c>
      <c r="AF549" s="221">
        <f>6238.91*AE549/I549</f>
        <v>2339.8866902386667</v>
      </c>
      <c r="AG549" s="222">
        <v>0</v>
      </c>
      <c r="AH549" s="221">
        <v>0</v>
      </c>
      <c r="AI549" s="222">
        <v>0</v>
      </c>
      <c r="AJ549" s="221">
        <v>0</v>
      </c>
      <c r="AK549" s="222">
        <v>0</v>
      </c>
      <c r="AL549" s="222">
        <v>0</v>
      </c>
      <c r="AM549" s="222">
        <v>0</v>
      </c>
      <c r="AN549" s="222"/>
      <c r="AO549" s="222">
        <v>0</v>
      </c>
    </row>
    <row r="550" spans="1:41" s="223" customFormat="1" ht="36" customHeight="1" x14ac:dyDescent="0.25">
      <c r="B550" s="215" t="s">
        <v>754</v>
      </c>
      <c r="C550" s="215"/>
      <c r="D550" s="217" t="s">
        <v>890</v>
      </c>
      <c r="E550" s="217" t="s">
        <v>890</v>
      </c>
      <c r="F550" s="217" t="s">
        <v>890</v>
      </c>
      <c r="G550" s="217" t="s">
        <v>890</v>
      </c>
      <c r="H550" s="217" t="s">
        <v>890</v>
      </c>
      <c r="I550" s="218">
        <f>I551+I641+I673+I717+I746+I759+I786+I794+I801+I806+I808+I811+I813+I815+I832+I843+I849+I853+I855+I857+I859+I861+I868+I884+I888+I891+I894+I897+I906+I910+I912+I919+I921+I923+I925+I933+I943+I939+I945+I954+I960+I963+I965+I969+I973+I979+I986+I990+I992+I996+I998+I1006+I1010+I1018+I1026+I930+I1008+I846+I866+I881+I958+I967+I994+I1024+I1004+I917+I851</f>
        <v>980574.45999999973</v>
      </c>
      <c r="J550" s="218">
        <f>J551+J641+J673+J717+J746+J759+J786+J794+J801+J806+J808+J811+J813+J815+J832+J843+J849+J853+J855+J857+J859+J861+J868+J884+J888+J891+J894+J897+J906+J910+J912+J919+J921+J923+J925+J933+J943+J939+J945+J954+J960+J963+J965+J969+J973+J979+J986+J990+J992+J996+J998+J1006+J1010+J1018+J1026+J930+J1008+J846+J866+J881+J958+J967+J994+J1024+J1004+J917+J851</f>
        <v>811275.73000000021</v>
      </c>
      <c r="K550" s="218">
        <f>K551+K641+K673+K717+K746+K759+K786+K794+K801+K806+K808+K811+K813+K815+K832+K843+K849+K853+K855+K857+K859+K861+K868+K884+K888+K891+K894+K897+K906+K910+K912+K919+K921+K923+K925+K933+K943+K939+K945+K954+K960+K963+K965+K969+K973+K979+K986+K990+K992+K996+K998+K1006+K1010+K1018+K1026+K930+K1008+K846+K866+K881+K958+K967+K994+K1024+K1004+K917+K851</f>
        <v>751012.03</v>
      </c>
      <c r="L550" s="219">
        <f>L551+L641+L673+L717+L746+L759+L786+L794+L801+L806+L808+L811+L813+L815+L832+L843+L849+L853+L855+L857+L859+L861+L868+L884+L888+L891+L894+L897+L906+L910+L912+L919+L921+L923+L925+L933+L943+L939+L945+L954+L960+L963+L965+L969+L973+L979+L986+L990+L992+L996+L998+L1006+L1010+L1018+L1026+L930+L1008+L846+L866+L881+L958+L967+L994+L1024+L1004+L917+L851</f>
        <v>37672</v>
      </c>
      <c r="M550" s="217" t="s">
        <v>890</v>
      </c>
      <c r="N550" s="217" t="s">
        <v>890</v>
      </c>
      <c r="O550" s="220" t="s">
        <v>890</v>
      </c>
      <c r="P550" s="218">
        <v>1533901394.6799998</v>
      </c>
      <c r="Q550" s="218">
        <f>Q551+Q641+Q673+Q717+Q746+Q759+Q786+Q794+Q801+Q806+Q808+Q811+Q813+Q815+Q832+Q843+Q849+Q853+Q855+Q857+Q859+Q861+Q868+Q884+Q888+Q891+Q894+Q897+Q906+Q910+Q912+Q919+Q921+Q923+Q925+Q933+Q943+Q939+Q945+Q954+Q960+Q963+Q965+Q969+Q973+Q979+Q986+Q990+Q992+Q996+Q998+Q1006+Q1010+Q1018+Q1026+Q930+Q1008+Q846+Q866+Q881+Q958+Q967+Q994+Q1024+Q1004+Q917+Q851</f>
        <v>0</v>
      </c>
      <c r="R550" s="218">
        <f>R551+R641+R673+R717+R746+R759+R786+R794+R801+R806+R808+R811+R813+R815+R832+R843+R849+R853+R855+R857+R859+R861+R868+R884+R888+R891+R894+R897+R906+R910+R912+R919+R921+R923+R925+R933+R943+R939+R945+R954+R960+R963+R965+R969+R973+R979+R986+R990+R992+R996+R998+R1006+R1010+R1018+R1026+R930+R1008+R846+R866+R881+R958+R967+R994+R1024+R1004+R917+R851</f>
        <v>3015567.51</v>
      </c>
      <c r="S550" s="218">
        <f>S551+S641+S673+S717+S746+S759+S786+S794+S801+S806+S808+S811+S813+S815+S832+S843+S849+S853+S855+S857+S859+S861+S868+S884+S888+S891+S894+S897+S906+S910+S912+S919+S921+S923+S925+S933+S943+S939+S945+S954+S960+S963+S965+S969+S973+S979+S986+S990+S992+S996+S998+S1006+S1010+S1018+S1026+S930+S1008+S846+S866+S881+S958+S967+S994+S1024+S1004+S917+S851</f>
        <v>1530885827.1699998</v>
      </c>
      <c r="T550" s="190">
        <f t="shared" si="59"/>
        <v>1564.2885443702055</v>
      </c>
      <c r="U550" s="190">
        <f>MAX(U551:U1026)</f>
        <v>24291.693216410902</v>
      </c>
      <c r="V550" s="221">
        <f t="shared" si="61"/>
        <v>22727.404672040695</v>
      </c>
      <c r="W550" s="221"/>
      <c r="X550" s="221"/>
      <c r="Y550" s="222"/>
      <c r="Z550" s="222"/>
      <c r="AA550" s="222"/>
      <c r="AB550" s="222"/>
      <c r="AC550" s="222"/>
      <c r="AD550" s="222"/>
      <c r="AE550" s="222"/>
      <c r="AF550" s="222"/>
      <c r="AG550" s="222"/>
      <c r="AH550" s="222"/>
      <c r="AI550" s="222"/>
      <c r="AJ550" s="222"/>
      <c r="AK550" s="222"/>
      <c r="AL550" s="222"/>
      <c r="AM550" s="222"/>
      <c r="AN550" s="222"/>
      <c r="AO550" s="222"/>
    </row>
    <row r="551" spans="1:41" s="223" customFormat="1" ht="36" customHeight="1" x14ac:dyDescent="0.25">
      <c r="B551" s="215" t="s">
        <v>1087</v>
      </c>
      <c r="C551" s="227"/>
      <c r="D551" s="217" t="s">
        <v>890</v>
      </c>
      <c r="E551" s="217" t="s">
        <v>890</v>
      </c>
      <c r="F551" s="217" t="s">
        <v>890</v>
      </c>
      <c r="G551" s="217" t="s">
        <v>890</v>
      </c>
      <c r="H551" s="217" t="s">
        <v>890</v>
      </c>
      <c r="I551" s="218">
        <f>SUM(I552:I640)</f>
        <v>261817.97999999989</v>
      </c>
      <c r="J551" s="218">
        <f>SUM(J552:J640)</f>
        <v>216171.85</v>
      </c>
      <c r="K551" s="218">
        <f>SUM(K552:K640)</f>
        <v>204717.85000000003</v>
      </c>
      <c r="L551" s="219">
        <f>SUM(L552:L640)</f>
        <v>10357</v>
      </c>
      <c r="M551" s="217" t="s">
        <v>890</v>
      </c>
      <c r="N551" s="217" t="s">
        <v>890</v>
      </c>
      <c r="O551" s="220" t="s">
        <v>890</v>
      </c>
      <c r="P551" s="218">
        <v>299889783.23999983</v>
      </c>
      <c r="Q551" s="218">
        <f>SUM(Q552:Q640)</f>
        <v>0</v>
      </c>
      <c r="R551" s="218">
        <f>SUM(R552:R640)</f>
        <v>0</v>
      </c>
      <c r="S551" s="218">
        <f>SUM(S552:S640)</f>
        <v>299889783.23999983</v>
      </c>
      <c r="T551" s="190">
        <f t="shared" si="59"/>
        <v>1145.4132494643795</v>
      </c>
      <c r="U551" s="190">
        <f>MAX(U552:U640)</f>
        <v>9722.3030380039272</v>
      </c>
      <c r="V551" s="221">
        <f t="shared" si="61"/>
        <v>8576.8897885395472</v>
      </c>
      <c r="W551" s="221"/>
      <c r="X551" s="221"/>
      <c r="Y551" s="222"/>
      <c r="Z551" s="222"/>
      <c r="AA551" s="222"/>
      <c r="AB551" s="222"/>
      <c r="AC551" s="222"/>
      <c r="AD551" s="222"/>
      <c r="AE551" s="222"/>
      <c r="AF551" s="222"/>
      <c r="AG551" s="222"/>
      <c r="AH551" s="222"/>
      <c r="AI551" s="222"/>
      <c r="AJ551" s="222"/>
      <c r="AK551" s="222"/>
      <c r="AL551" s="222"/>
      <c r="AM551" s="222"/>
      <c r="AN551" s="222"/>
      <c r="AO551" s="222"/>
    </row>
    <row r="552" spans="1:41" s="223" customFormat="1" ht="36" customHeight="1" x14ac:dyDescent="0.25">
      <c r="A552" s="223">
        <v>1</v>
      </c>
      <c r="B552" s="225">
        <f>SUBTOTAL(103,$A$552:A552)</f>
        <v>1</v>
      </c>
      <c r="C552" s="215" t="s">
        <v>529</v>
      </c>
      <c r="D552" s="217" t="s">
        <v>352</v>
      </c>
      <c r="E552" s="217"/>
      <c r="F552" s="226" t="s">
        <v>311</v>
      </c>
      <c r="G552" s="217" t="s">
        <v>351</v>
      </c>
      <c r="H552" s="217" t="s">
        <v>308</v>
      </c>
      <c r="I552" s="218">
        <v>3788.4</v>
      </c>
      <c r="J552" s="218">
        <v>3520.9</v>
      </c>
      <c r="K552" s="218">
        <v>3520.9</v>
      </c>
      <c r="L552" s="219">
        <v>100</v>
      </c>
      <c r="M552" s="217" t="s">
        <v>265</v>
      </c>
      <c r="N552" s="217" t="s">
        <v>269</v>
      </c>
      <c r="O552" s="220" t="s">
        <v>1071</v>
      </c>
      <c r="P552" s="190">
        <v>4549307.4399999995</v>
      </c>
      <c r="Q552" s="190">
        <v>0</v>
      </c>
      <c r="R552" s="190">
        <v>0</v>
      </c>
      <c r="S552" s="190">
        <f t="shared" ref="S552:S614" si="62">P552-Q552-R552</f>
        <v>4549307.4399999995</v>
      </c>
      <c r="T552" s="190">
        <f t="shared" si="59"/>
        <v>1200.8519269348535</v>
      </c>
      <c r="U552" s="190">
        <v>1649.0845739626227</v>
      </c>
      <c r="V552" s="221">
        <f t="shared" si="61"/>
        <v>448.23264702776919</v>
      </c>
      <c r="W552" s="221">
        <f t="shared" ref="W552:W614" si="63">X552+Y552+Z552+AA552+AB552+AD552+AF552+AH552+AJ552+AL552+AN552+AO552</f>
        <v>1580.9718086791256</v>
      </c>
      <c r="X552" s="221">
        <v>0</v>
      </c>
      <c r="Y552" s="222">
        <v>0</v>
      </c>
      <c r="Z552" s="222">
        <v>0</v>
      </c>
      <c r="AA552" s="222">
        <v>0</v>
      </c>
      <c r="AB552" s="222">
        <v>0</v>
      </c>
      <c r="AC552" s="222">
        <v>0</v>
      </c>
      <c r="AD552" s="222">
        <v>0</v>
      </c>
      <c r="AE552" s="222">
        <v>960</v>
      </c>
      <c r="AF552" s="221">
        <f t="shared" ref="AF552:AF568" si="64">6238.91*AE552/I552</f>
        <v>1580.9718086791256</v>
      </c>
      <c r="AG552" s="222">
        <v>0</v>
      </c>
      <c r="AH552" s="221">
        <v>0</v>
      </c>
      <c r="AI552" s="222">
        <v>0</v>
      </c>
      <c r="AJ552" s="221">
        <v>0</v>
      </c>
      <c r="AK552" s="222">
        <v>0</v>
      </c>
      <c r="AL552" s="222">
        <v>0</v>
      </c>
      <c r="AM552" s="222">
        <v>0</v>
      </c>
      <c r="AN552" s="222"/>
      <c r="AO552" s="222">
        <v>0</v>
      </c>
    </row>
    <row r="553" spans="1:41" s="223" customFormat="1" ht="36" customHeight="1" x14ac:dyDescent="0.25">
      <c r="A553" s="223">
        <v>1</v>
      </c>
      <c r="B553" s="225">
        <f>SUBTOTAL(103,$A$552:A553)</f>
        <v>2</v>
      </c>
      <c r="C553" s="215" t="s">
        <v>530</v>
      </c>
      <c r="D553" s="217" t="s">
        <v>314</v>
      </c>
      <c r="E553" s="217"/>
      <c r="F553" s="226" t="s">
        <v>311</v>
      </c>
      <c r="G553" s="217" t="s">
        <v>351</v>
      </c>
      <c r="H553" s="217" t="s">
        <v>308</v>
      </c>
      <c r="I553" s="218">
        <v>3837.6</v>
      </c>
      <c r="J553" s="218">
        <v>3516.3</v>
      </c>
      <c r="K553" s="218">
        <v>3516.3</v>
      </c>
      <c r="L553" s="219">
        <v>162</v>
      </c>
      <c r="M553" s="217" t="s">
        <v>265</v>
      </c>
      <c r="N553" s="217" t="s">
        <v>269</v>
      </c>
      <c r="O553" s="220" t="s">
        <v>1071</v>
      </c>
      <c r="P553" s="190">
        <v>4549313.9099999992</v>
      </c>
      <c r="Q553" s="190">
        <v>0</v>
      </c>
      <c r="R553" s="190">
        <v>0</v>
      </c>
      <c r="S553" s="190">
        <f t="shared" si="62"/>
        <v>4549313.9099999992</v>
      </c>
      <c r="T553" s="190">
        <f t="shared" si="59"/>
        <v>1185.4580753595997</v>
      </c>
      <c r="U553" s="190">
        <v>1627.942464040025</v>
      </c>
      <c r="V553" s="221">
        <f t="shared" si="61"/>
        <v>442.48438868042535</v>
      </c>
      <c r="W553" s="221">
        <f t="shared" si="63"/>
        <v>1560.7029393370856</v>
      </c>
      <c r="X553" s="221">
        <v>0</v>
      </c>
      <c r="Y553" s="222">
        <v>0</v>
      </c>
      <c r="Z553" s="222">
        <v>0</v>
      </c>
      <c r="AA553" s="222">
        <v>0</v>
      </c>
      <c r="AB553" s="222">
        <v>0</v>
      </c>
      <c r="AC553" s="222">
        <v>0</v>
      </c>
      <c r="AD553" s="222">
        <v>0</v>
      </c>
      <c r="AE553" s="222">
        <v>960</v>
      </c>
      <c r="AF553" s="221">
        <f t="shared" si="64"/>
        <v>1560.7029393370856</v>
      </c>
      <c r="AG553" s="222">
        <v>0</v>
      </c>
      <c r="AH553" s="221">
        <v>0</v>
      </c>
      <c r="AI553" s="222">
        <v>0</v>
      </c>
      <c r="AJ553" s="221">
        <v>0</v>
      </c>
      <c r="AK553" s="222">
        <v>0</v>
      </c>
      <c r="AL553" s="222">
        <v>0</v>
      </c>
      <c r="AM553" s="222">
        <v>0</v>
      </c>
      <c r="AN553" s="222"/>
      <c r="AO553" s="222">
        <v>0</v>
      </c>
    </row>
    <row r="554" spans="1:41" s="223" customFormat="1" ht="36" customHeight="1" x14ac:dyDescent="0.25">
      <c r="A554" s="223">
        <v>1</v>
      </c>
      <c r="B554" s="225">
        <f>SUBTOTAL(103,$A$552:A554)</f>
        <v>3</v>
      </c>
      <c r="C554" s="215" t="s">
        <v>531</v>
      </c>
      <c r="D554" s="217" t="s">
        <v>310</v>
      </c>
      <c r="E554" s="217"/>
      <c r="F554" s="226" t="s">
        <v>311</v>
      </c>
      <c r="G554" s="217" t="s">
        <v>351</v>
      </c>
      <c r="H554" s="217" t="s">
        <v>312</v>
      </c>
      <c r="I554" s="218">
        <v>2494.5</v>
      </c>
      <c r="J554" s="218">
        <v>2290.6</v>
      </c>
      <c r="K554" s="218">
        <v>2290.6</v>
      </c>
      <c r="L554" s="219">
        <v>117</v>
      </c>
      <c r="M554" s="217" t="s">
        <v>265</v>
      </c>
      <c r="N554" s="217" t="s">
        <v>269</v>
      </c>
      <c r="O554" s="220" t="s">
        <v>1072</v>
      </c>
      <c r="P554" s="190">
        <v>1761025</v>
      </c>
      <c r="Q554" s="190">
        <v>0</v>
      </c>
      <c r="R554" s="190">
        <v>0</v>
      </c>
      <c r="S554" s="190">
        <f t="shared" si="62"/>
        <v>1761025</v>
      </c>
      <c r="T554" s="190">
        <f t="shared" si="59"/>
        <v>705.96311886149533</v>
      </c>
      <c r="U554" s="190">
        <v>1714.2552295049109</v>
      </c>
      <c r="V554" s="221">
        <f t="shared" si="61"/>
        <v>1008.2921106434155</v>
      </c>
      <c r="W554" s="221">
        <f t="shared" si="63"/>
        <v>1643.4506959310484</v>
      </c>
      <c r="X554" s="221">
        <v>0</v>
      </c>
      <c r="Y554" s="222">
        <v>0</v>
      </c>
      <c r="Z554" s="222">
        <v>0</v>
      </c>
      <c r="AA554" s="222">
        <v>0</v>
      </c>
      <c r="AB554" s="222">
        <v>0</v>
      </c>
      <c r="AC554" s="222">
        <v>0</v>
      </c>
      <c r="AD554" s="222">
        <v>0</v>
      </c>
      <c r="AE554" s="222">
        <v>657.1</v>
      </c>
      <c r="AF554" s="221">
        <f t="shared" si="64"/>
        <v>1643.4506959310484</v>
      </c>
      <c r="AG554" s="222">
        <v>0</v>
      </c>
      <c r="AH554" s="221">
        <v>0</v>
      </c>
      <c r="AI554" s="222">
        <v>0</v>
      </c>
      <c r="AJ554" s="221">
        <v>0</v>
      </c>
      <c r="AK554" s="222">
        <v>0</v>
      </c>
      <c r="AL554" s="222">
        <v>0</v>
      </c>
      <c r="AM554" s="222">
        <v>0</v>
      </c>
      <c r="AN554" s="222"/>
      <c r="AO554" s="222">
        <v>0</v>
      </c>
    </row>
    <row r="555" spans="1:41" s="223" customFormat="1" ht="36" customHeight="1" x14ac:dyDescent="0.25">
      <c r="A555" s="223">
        <v>1</v>
      </c>
      <c r="B555" s="225">
        <f>SUBTOTAL(103,$A$552:A555)</f>
        <v>4</v>
      </c>
      <c r="C555" s="215" t="s">
        <v>535</v>
      </c>
      <c r="D555" s="217" t="s">
        <v>353</v>
      </c>
      <c r="E555" s="217"/>
      <c r="F555" s="226" t="s">
        <v>267</v>
      </c>
      <c r="G555" s="217" t="s">
        <v>351</v>
      </c>
      <c r="H555" s="217" t="s">
        <v>303</v>
      </c>
      <c r="I555" s="218">
        <v>1965.7</v>
      </c>
      <c r="J555" s="218">
        <v>1789.7</v>
      </c>
      <c r="K555" s="218">
        <v>1702</v>
      </c>
      <c r="L555" s="219">
        <v>80</v>
      </c>
      <c r="M555" s="217" t="s">
        <v>265</v>
      </c>
      <c r="N555" s="217" t="s">
        <v>269</v>
      </c>
      <c r="O555" s="220" t="s">
        <v>1086</v>
      </c>
      <c r="P555" s="190">
        <v>4060000</v>
      </c>
      <c r="Q555" s="190">
        <v>0</v>
      </c>
      <c r="R555" s="190">
        <v>0</v>
      </c>
      <c r="S555" s="190">
        <f t="shared" si="62"/>
        <v>4060000</v>
      </c>
      <c r="T555" s="190">
        <f t="shared" si="59"/>
        <v>2065.4219870783945</v>
      </c>
      <c r="U555" s="190">
        <v>2350.5453528005291</v>
      </c>
      <c r="V555" s="221">
        <f t="shared" si="61"/>
        <v>285.12336572213462</v>
      </c>
      <c r="W555" s="221">
        <f t="shared" si="63"/>
        <v>2253.4598870631326</v>
      </c>
      <c r="X555" s="221">
        <v>0</v>
      </c>
      <c r="Y555" s="222">
        <v>0</v>
      </c>
      <c r="Z555" s="222">
        <v>0</v>
      </c>
      <c r="AA555" s="222">
        <v>0</v>
      </c>
      <c r="AB555" s="222">
        <v>0</v>
      </c>
      <c r="AC555" s="222">
        <v>0</v>
      </c>
      <c r="AD555" s="222">
        <v>0</v>
      </c>
      <c r="AE555" s="222">
        <v>710</v>
      </c>
      <c r="AF555" s="221">
        <f t="shared" si="64"/>
        <v>2253.4598870631326</v>
      </c>
      <c r="AG555" s="222">
        <v>0</v>
      </c>
      <c r="AH555" s="221">
        <v>0</v>
      </c>
      <c r="AI555" s="222">
        <v>0</v>
      </c>
      <c r="AJ555" s="221">
        <v>0</v>
      </c>
      <c r="AK555" s="222">
        <v>0</v>
      </c>
      <c r="AL555" s="222">
        <v>0</v>
      </c>
      <c r="AM555" s="222">
        <v>0</v>
      </c>
      <c r="AN555" s="222"/>
      <c r="AO555" s="222">
        <v>0</v>
      </c>
    </row>
    <row r="556" spans="1:41" s="223" customFormat="1" ht="36" customHeight="1" x14ac:dyDescent="0.25">
      <c r="A556" s="223">
        <v>1</v>
      </c>
      <c r="B556" s="225">
        <f>SUBTOTAL(103,$A$552:A556)</f>
        <v>5</v>
      </c>
      <c r="C556" s="215" t="s">
        <v>536</v>
      </c>
      <c r="D556" s="217" t="s">
        <v>354</v>
      </c>
      <c r="E556" s="217"/>
      <c r="F556" s="226" t="s">
        <v>267</v>
      </c>
      <c r="G556" s="217" t="s">
        <v>312</v>
      </c>
      <c r="H556" s="217" t="s">
        <v>303</v>
      </c>
      <c r="I556" s="218">
        <v>944.2</v>
      </c>
      <c r="J556" s="218">
        <v>863.6</v>
      </c>
      <c r="K556" s="218">
        <v>863.6</v>
      </c>
      <c r="L556" s="219">
        <v>47</v>
      </c>
      <c r="M556" s="217" t="s">
        <v>265</v>
      </c>
      <c r="N556" s="217" t="s">
        <v>269</v>
      </c>
      <c r="O556" s="220" t="s">
        <v>1394</v>
      </c>
      <c r="P556" s="190">
        <v>2570383.31</v>
      </c>
      <c r="Q556" s="190">
        <v>0</v>
      </c>
      <c r="R556" s="190">
        <v>0</v>
      </c>
      <c r="S556" s="190">
        <f t="shared" si="62"/>
        <v>2570383.31</v>
      </c>
      <c r="T556" s="190">
        <f t="shared" si="59"/>
        <v>2722.2869201440371</v>
      </c>
      <c r="U556" s="190">
        <v>3583.9906799406904</v>
      </c>
      <c r="V556" s="221">
        <f t="shared" si="61"/>
        <v>861.70375979665323</v>
      </c>
      <c r="W556" s="221">
        <f t="shared" si="63"/>
        <v>3435.9597542893448</v>
      </c>
      <c r="X556" s="221">
        <v>0</v>
      </c>
      <c r="Y556" s="222">
        <v>0</v>
      </c>
      <c r="Z556" s="222">
        <v>0</v>
      </c>
      <c r="AA556" s="222">
        <v>0</v>
      </c>
      <c r="AB556" s="222">
        <v>0</v>
      </c>
      <c r="AC556" s="222">
        <v>0</v>
      </c>
      <c r="AD556" s="222">
        <v>0</v>
      </c>
      <c r="AE556" s="222">
        <v>520</v>
      </c>
      <c r="AF556" s="221">
        <f t="shared" si="64"/>
        <v>3435.9597542893448</v>
      </c>
      <c r="AG556" s="222">
        <v>0</v>
      </c>
      <c r="AH556" s="221">
        <v>0</v>
      </c>
      <c r="AI556" s="222">
        <v>0</v>
      </c>
      <c r="AJ556" s="221">
        <v>0</v>
      </c>
      <c r="AK556" s="222">
        <v>0</v>
      </c>
      <c r="AL556" s="222">
        <v>0</v>
      </c>
      <c r="AM556" s="222">
        <v>0</v>
      </c>
      <c r="AN556" s="222"/>
      <c r="AO556" s="222">
        <v>0</v>
      </c>
    </row>
    <row r="557" spans="1:41" s="223" customFormat="1" ht="36" customHeight="1" x14ac:dyDescent="0.25">
      <c r="A557" s="223">
        <v>1</v>
      </c>
      <c r="B557" s="225">
        <f>SUBTOTAL(103,$A$552:A557)</f>
        <v>6</v>
      </c>
      <c r="C557" s="215" t="s">
        <v>537</v>
      </c>
      <c r="D557" s="217" t="s">
        <v>355</v>
      </c>
      <c r="E557" s="217"/>
      <c r="F557" s="226" t="s">
        <v>267</v>
      </c>
      <c r="G557" s="217" t="s">
        <v>351</v>
      </c>
      <c r="H557" s="217" t="s">
        <v>304</v>
      </c>
      <c r="I557" s="218">
        <v>5616.2</v>
      </c>
      <c r="J557" s="218">
        <v>2949.2</v>
      </c>
      <c r="K557" s="218">
        <v>2949.2</v>
      </c>
      <c r="L557" s="219">
        <v>186</v>
      </c>
      <c r="M557" s="217" t="s">
        <v>265</v>
      </c>
      <c r="N557" s="217" t="s">
        <v>269</v>
      </c>
      <c r="O557" s="220" t="s">
        <v>1380</v>
      </c>
      <c r="P557" s="190">
        <v>4554037.87</v>
      </c>
      <c r="Q557" s="190">
        <v>0</v>
      </c>
      <c r="R557" s="190">
        <v>0</v>
      </c>
      <c r="S557" s="190">
        <f t="shared" si="62"/>
        <v>4554037.87</v>
      </c>
      <c r="T557" s="190">
        <f t="shared" si="59"/>
        <v>810.87530180549129</v>
      </c>
      <c r="U557" s="190">
        <v>1071.9825684626617</v>
      </c>
      <c r="V557" s="221">
        <f t="shared" si="61"/>
        <v>261.10726665717038</v>
      </c>
      <c r="W557" s="221">
        <f t="shared" si="63"/>
        <v>1027.7060660767067</v>
      </c>
      <c r="X557" s="221">
        <v>0</v>
      </c>
      <c r="Y557" s="222">
        <v>0</v>
      </c>
      <c r="Z557" s="222">
        <v>0</v>
      </c>
      <c r="AA557" s="222">
        <v>0</v>
      </c>
      <c r="AB557" s="222">
        <v>0</v>
      </c>
      <c r="AC557" s="222">
        <v>0</v>
      </c>
      <c r="AD557" s="222">
        <v>0</v>
      </c>
      <c r="AE557" s="222">
        <v>925.13</v>
      </c>
      <c r="AF557" s="221">
        <f t="shared" si="64"/>
        <v>1027.7060660767067</v>
      </c>
      <c r="AG557" s="222">
        <v>0</v>
      </c>
      <c r="AH557" s="221">
        <v>0</v>
      </c>
      <c r="AI557" s="222">
        <v>0</v>
      </c>
      <c r="AJ557" s="221">
        <v>0</v>
      </c>
      <c r="AK557" s="222">
        <v>0</v>
      </c>
      <c r="AL557" s="222">
        <v>0</v>
      </c>
      <c r="AM557" s="222">
        <v>0</v>
      </c>
      <c r="AN557" s="222"/>
      <c r="AO557" s="222">
        <v>0</v>
      </c>
    </row>
    <row r="558" spans="1:41" s="223" customFormat="1" ht="36" customHeight="1" x14ac:dyDescent="0.25">
      <c r="A558" s="223">
        <v>1</v>
      </c>
      <c r="B558" s="225">
        <f>SUBTOTAL(103,$A$552:A558)</f>
        <v>7</v>
      </c>
      <c r="C558" s="215" t="s">
        <v>538</v>
      </c>
      <c r="D558" s="217">
        <v>1985</v>
      </c>
      <c r="E558" s="217"/>
      <c r="F558" s="226" t="s">
        <v>267</v>
      </c>
      <c r="G558" s="217" t="s">
        <v>351</v>
      </c>
      <c r="H558" s="217" t="s">
        <v>371</v>
      </c>
      <c r="I558" s="218">
        <v>5781</v>
      </c>
      <c r="J558" s="218">
        <v>5781</v>
      </c>
      <c r="K558" s="218">
        <v>5781</v>
      </c>
      <c r="L558" s="219">
        <v>208</v>
      </c>
      <c r="M558" s="217" t="s">
        <v>265</v>
      </c>
      <c r="N558" s="217" t="s">
        <v>269</v>
      </c>
      <c r="O558" s="220" t="s">
        <v>1071</v>
      </c>
      <c r="P558" s="190">
        <v>3400250</v>
      </c>
      <c r="Q558" s="190">
        <v>0</v>
      </c>
      <c r="R558" s="190">
        <v>0</v>
      </c>
      <c r="S558" s="190">
        <f t="shared" si="62"/>
        <v>3400250</v>
      </c>
      <c r="T558" s="190">
        <f t="shared" si="59"/>
        <v>588.17678602317937</v>
      </c>
      <c r="U558" s="190">
        <v>855.53572046358761</v>
      </c>
      <c r="V558" s="221">
        <f t="shared" si="61"/>
        <v>267.35893444040823</v>
      </c>
      <c r="W558" s="221">
        <f t="shared" si="63"/>
        <v>820.1992042899152</v>
      </c>
      <c r="X558" s="221">
        <v>0</v>
      </c>
      <c r="Y558" s="222">
        <v>0</v>
      </c>
      <c r="Z558" s="222">
        <v>0</v>
      </c>
      <c r="AA558" s="222">
        <v>0</v>
      </c>
      <c r="AB558" s="222">
        <v>0</v>
      </c>
      <c r="AC558" s="222">
        <v>0</v>
      </c>
      <c r="AD558" s="222">
        <v>0</v>
      </c>
      <c r="AE558" s="222">
        <v>760</v>
      </c>
      <c r="AF558" s="221">
        <f t="shared" si="64"/>
        <v>820.1992042899152</v>
      </c>
      <c r="AG558" s="222">
        <v>0</v>
      </c>
      <c r="AH558" s="221">
        <v>0</v>
      </c>
      <c r="AI558" s="222">
        <v>0</v>
      </c>
      <c r="AJ558" s="221">
        <v>0</v>
      </c>
      <c r="AK558" s="222">
        <v>0</v>
      </c>
      <c r="AL558" s="222">
        <v>0</v>
      </c>
      <c r="AM558" s="222">
        <v>0</v>
      </c>
      <c r="AN558" s="222"/>
      <c r="AO558" s="222">
        <v>0</v>
      </c>
    </row>
    <row r="559" spans="1:41" s="223" customFormat="1" ht="36" customHeight="1" x14ac:dyDescent="0.25">
      <c r="A559" s="223">
        <v>1</v>
      </c>
      <c r="B559" s="225">
        <f>SUBTOTAL(103,$A$552:A559)</f>
        <v>8</v>
      </c>
      <c r="C559" s="215" t="s">
        <v>539</v>
      </c>
      <c r="D559" s="217" t="s">
        <v>307</v>
      </c>
      <c r="E559" s="217"/>
      <c r="F559" s="226" t="s">
        <v>267</v>
      </c>
      <c r="G559" s="217" t="s">
        <v>312</v>
      </c>
      <c r="H559" s="217" t="s">
        <v>304</v>
      </c>
      <c r="I559" s="218">
        <v>761.1</v>
      </c>
      <c r="J559" s="218">
        <v>761.1</v>
      </c>
      <c r="K559" s="218">
        <v>625.20000000000005</v>
      </c>
      <c r="L559" s="219">
        <v>54</v>
      </c>
      <c r="M559" s="217" t="s">
        <v>265</v>
      </c>
      <c r="N559" s="217" t="s">
        <v>269</v>
      </c>
      <c r="O559" s="220" t="s">
        <v>1380</v>
      </c>
      <c r="P559" s="190">
        <v>3310801.92</v>
      </c>
      <c r="Q559" s="190">
        <v>0</v>
      </c>
      <c r="R559" s="190">
        <v>0</v>
      </c>
      <c r="S559" s="190">
        <f t="shared" si="62"/>
        <v>3310801.92</v>
      </c>
      <c r="T559" s="190">
        <f t="shared" si="59"/>
        <v>4350.0222309814735</v>
      </c>
      <c r="U559" s="190">
        <v>4480.4031007751937</v>
      </c>
      <c r="V559" s="221">
        <f t="shared" si="61"/>
        <v>130.38086979372019</v>
      </c>
      <c r="W559" s="221">
        <f t="shared" si="63"/>
        <v>4295.3473130994607</v>
      </c>
      <c r="X559" s="221">
        <v>0</v>
      </c>
      <c r="Y559" s="222">
        <v>0</v>
      </c>
      <c r="Z559" s="222">
        <v>0</v>
      </c>
      <c r="AA559" s="222">
        <v>0</v>
      </c>
      <c r="AB559" s="222">
        <v>0</v>
      </c>
      <c r="AC559" s="222">
        <v>0</v>
      </c>
      <c r="AD559" s="222">
        <v>0</v>
      </c>
      <c r="AE559" s="222">
        <v>524</v>
      </c>
      <c r="AF559" s="221">
        <f t="shared" si="64"/>
        <v>4295.3473130994607</v>
      </c>
      <c r="AG559" s="222">
        <v>0</v>
      </c>
      <c r="AH559" s="221">
        <v>0</v>
      </c>
      <c r="AI559" s="222">
        <v>0</v>
      </c>
      <c r="AJ559" s="221">
        <v>0</v>
      </c>
      <c r="AK559" s="222">
        <v>0</v>
      </c>
      <c r="AL559" s="222">
        <v>0</v>
      </c>
      <c r="AM559" s="222">
        <v>0</v>
      </c>
      <c r="AN559" s="222"/>
      <c r="AO559" s="222">
        <v>0</v>
      </c>
    </row>
    <row r="560" spans="1:41" s="223" customFormat="1" ht="36" customHeight="1" x14ac:dyDescent="0.25">
      <c r="A560" s="223">
        <v>1</v>
      </c>
      <c r="B560" s="225">
        <f>SUBTOTAL(103,$A$552:A560)</f>
        <v>9</v>
      </c>
      <c r="C560" s="215" t="s">
        <v>540</v>
      </c>
      <c r="D560" s="217" t="s">
        <v>356</v>
      </c>
      <c r="E560" s="217"/>
      <c r="F560" s="226" t="s">
        <v>267</v>
      </c>
      <c r="G560" s="217" t="s">
        <v>357</v>
      </c>
      <c r="H560" s="217" t="s">
        <v>304</v>
      </c>
      <c r="I560" s="218">
        <v>7585.7</v>
      </c>
      <c r="J560" s="218">
        <v>5261.8</v>
      </c>
      <c r="K560" s="218">
        <v>4715.1000000000004</v>
      </c>
      <c r="L560" s="219">
        <v>348</v>
      </c>
      <c r="M560" s="217" t="s">
        <v>265</v>
      </c>
      <c r="N560" s="217" t="s">
        <v>269</v>
      </c>
      <c r="O560" s="220" t="s">
        <v>1380</v>
      </c>
      <c r="P560" s="190">
        <v>5092635.92</v>
      </c>
      <c r="Q560" s="190">
        <v>0</v>
      </c>
      <c r="R560" s="190">
        <v>0</v>
      </c>
      <c r="S560" s="190">
        <f t="shared" si="62"/>
        <v>5092635.92</v>
      </c>
      <c r="T560" s="190">
        <f t="shared" si="59"/>
        <v>671.34686581330664</v>
      </c>
      <c r="U560" s="190">
        <v>852.88762671869438</v>
      </c>
      <c r="V560" s="221">
        <f t="shared" si="61"/>
        <v>181.54076090538774</v>
      </c>
      <c r="W560" s="221">
        <f t="shared" si="63"/>
        <v>852.88762671869438</v>
      </c>
      <c r="X560" s="221">
        <v>0</v>
      </c>
      <c r="Y560" s="222">
        <v>0</v>
      </c>
      <c r="Z560" s="222">
        <v>0</v>
      </c>
      <c r="AA560" s="222">
        <v>0</v>
      </c>
      <c r="AB560" s="222">
        <v>0</v>
      </c>
      <c r="AC560" s="222">
        <v>0</v>
      </c>
      <c r="AD560" s="222">
        <v>0</v>
      </c>
      <c r="AE560" s="222">
        <v>1037</v>
      </c>
      <c r="AF560" s="221">
        <f t="shared" si="64"/>
        <v>852.88762671869438</v>
      </c>
      <c r="AG560" s="222">
        <v>0</v>
      </c>
      <c r="AH560" s="221">
        <v>0</v>
      </c>
      <c r="AI560" s="222">
        <v>0</v>
      </c>
      <c r="AJ560" s="221">
        <v>0</v>
      </c>
      <c r="AK560" s="222">
        <v>0</v>
      </c>
      <c r="AL560" s="222">
        <v>0</v>
      </c>
      <c r="AM560" s="222">
        <v>0</v>
      </c>
      <c r="AN560" s="222"/>
      <c r="AO560" s="222">
        <v>0</v>
      </c>
    </row>
    <row r="561" spans="1:41" s="223" customFormat="1" ht="36" customHeight="1" x14ac:dyDescent="0.25">
      <c r="A561" s="223">
        <v>1</v>
      </c>
      <c r="B561" s="225">
        <f>SUBTOTAL(103,$A$552:A561)</f>
        <v>10</v>
      </c>
      <c r="C561" s="215" t="s">
        <v>543</v>
      </c>
      <c r="D561" s="217">
        <v>1968</v>
      </c>
      <c r="E561" s="217"/>
      <c r="F561" s="226" t="s">
        <v>267</v>
      </c>
      <c r="G561" s="217" t="s">
        <v>351</v>
      </c>
      <c r="H561" s="217" t="s">
        <v>308</v>
      </c>
      <c r="I561" s="218">
        <v>3511.62</v>
      </c>
      <c r="J561" s="218">
        <v>3241.9</v>
      </c>
      <c r="K561" s="218">
        <v>2726.1</v>
      </c>
      <c r="L561" s="219">
        <v>238</v>
      </c>
      <c r="M561" s="217" t="s">
        <v>265</v>
      </c>
      <c r="N561" s="217" t="s">
        <v>269</v>
      </c>
      <c r="O561" s="220" t="s">
        <v>1382</v>
      </c>
      <c r="P561" s="190">
        <v>5133204.34</v>
      </c>
      <c r="Q561" s="190">
        <v>0</v>
      </c>
      <c r="R561" s="190">
        <v>0</v>
      </c>
      <c r="S561" s="190">
        <f t="shared" si="62"/>
        <v>5133204.34</v>
      </c>
      <c r="T561" s="190">
        <f t="shared" si="59"/>
        <v>1461.7767127422671</v>
      </c>
      <c r="U561" s="190">
        <v>1968.0880619201394</v>
      </c>
      <c r="V561" s="221">
        <f t="shared" si="61"/>
        <v>506.31134917787222</v>
      </c>
      <c r="W561" s="221">
        <f t="shared" si="63"/>
        <v>1886.7993746475986</v>
      </c>
      <c r="X561" s="221">
        <v>0</v>
      </c>
      <c r="Y561" s="222">
        <v>0</v>
      </c>
      <c r="Z561" s="222">
        <v>0</v>
      </c>
      <c r="AA561" s="222">
        <v>0</v>
      </c>
      <c r="AB561" s="222">
        <v>0</v>
      </c>
      <c r="AC561" s="222">
        <v>0</v>
      </c>
      <c r="AD561" s="222">
        <v>0</v>
      </c>
      <c r="AE561" s="222">
        <v>1062</v>
      </c>
      <c r="AF561" s="221">
        <f t="shared" si="64"/>
        <v>1886.7993746475986</v>
      </c>
      <c r="AG561" s="222">
        <v>0</v>
      </c>
      <c r="AH561" s="221">
        <v>0</v>
      </c>
      <c r="AI561" s="222">
        <v>0</v>
      </c>
      <c r="AJ561" s="221">
        <v>0</v>
      </c>
      <c r="AK561" s="222">
        <v>0</v>
      </c>
      <c r="AL561" s="222">
        <v>0</v>
      </c>
      <c r="AM561" s="222">
        <v>0</v>
      </c>
      <c r="AN561" s="222"/>
      <c r="AO561" s="222">
        <v>0</v>
      </c>
    </row>
    <row r="562" spans="1:41" s="223" customFormat="1" ht="36" customHeight="1" x14ac:dyDescent="0.25">
      <c r="A562" s="223">
        <v>1</v>
      </c>
      <c r="B562" s="225">
        <f>SUBTOTAL(103,$A$552:A562)</f>
        <v>11</v>
      </c>
      <c r="C562" s="215" t="s">
        <v>542</v>
      </c>
      <c r="D562" s="217">
        <v>1970</v>
      </c>
      <c r="E562" s="217"/>
      <c r="F562" s="226" t="s">
        <v>267</v>
      </c>
      <c r="G562" s="217">
        <v>5</v>
      </c>
      <c r="H562" s="217" t="s">
        <v>308</v>
      </c>
      <c r="I562" s="218">
        <v>4104.5</v>
      </c>
      <c r="J562" s="218">
        <v>3361</v>
      </c>
      <c r="K562" s="218">
        <v>2986.4</v>
      </c>
      <c r="L562" s="219">
        <v>141</v>
      </c>
      <c r="M562" s="217" t="s">
        <v>265</v>
      </c>
      <c r="N562" s="217" t="s">
        <v>269</v>
      </c>
      <c r="O562" s="220" t="s">
        <v>1640</v>
      </c>
      <c r="P562" s="190">
        <v>6230855.9800000004</v>
      </c>
      <c r="Q562" s="190">
        <v>0</v>
      </c>
      <c r="R562" s="190">
        <v>0</v>
      </c>
      <c r="S562" s="190">
        <f t="shared" si="62"/>
        <v>6230855.9800000004</v>
      </c>
      <c r="T562" s="190">
        <f t="shared" si="59"/>
        <v>1518.054813010111</v>
      </c>
      <c r="U562" s="190">
        <v>1693.3179680838105</v>
      </c>
      <c r="V562" s="221">
        <f t="shared" si="61"/>
        <v>175.26315507369941</v>
      </c>
      <c r="W562" s="221">
        <f t="shared" si="63"/>
        <v>1623.3782141551956</v>
      </c>
      <c r="X562" s="221">
        <v>0</v>
      </c>
      <c r="Y562" s="222">
        <v>0</v>
      </c>
      <c r="Z562" s="222">
        <v>0</v>
      </c>
      <c r="AA562" s="222">
        <v>0</v>
      </c>
      <c r="AB562" s="222">
        <v>0</v>
      </c>
      <c r="AC562" s="222">
        <v>0</v>
      </c>
      <c r="AD562" s="222">
        <v>0</v>
      </c>
      <c r="AE562" s="222">
        <v>1068</v>
      </c>
      <c r="AF562" s="221">
        <f t="shared" si="64"/>
        <v>1623.3782141551956</v>
      </c>
      <c r="AG562" s="222">
        <v>0</v>
      </c>
      <c r="AH562" s="221">
        <v>0</v>
      </c>
      <c r="AI562" s="222">
        <v>0</v>
      </c>
      <c r="AJ562" s="221">
        <v>0</v>
      </c>
      <c r="AK562" s="222">
        <v>0</v>
      </c>
      <c r="AL562" s="222">
        <v>0</v>
      </c>
      <c r="AM562" s="222">
        <v>0</v>
      </c>
      <c r="AN562" s="222"/>
      <c r="AO562" s="222">
        <v>0</v>
      </c>
    </row>
    <row r="563" spans="1:41" s="223" customFormat="1" ht="36" customHeight="1" x14ac:dyDescent="0.25">
      <c r="A563" s="223">
        <v>1</v>
      </c>
      <c r="B563" s="225">
        <f>SUBTOTAL(103,$A$552:A563)</f>
        <v>12</v>
      </c>
      <c r="C563" s="215" t="s">
        <v>797</v>
      </c>
      <c r="D563" s="217">
        <v>1961</v>
      </c>
      <c r="E563" s="217"/>
      <c r="F563" s="226" t="s">
        <v>267</v>
      </c>
      <c r="G563" s="217">
        <v>4</v>
      </c>
      <c r="H563" s="217" t="s">
        <v>303</v>
      </c>
      <c r="I563" s="218">
        <v>1116.9000000000001</v>
      </c>
      <c r="J563" s="218">
        <v>860.4</v>
      </c>
      <c r="K563" s="218">
        <v>748.8</v>
      </c>
      <c r="L563" s="219">
        <v>36</v>
      </c>
      <c r="M563" s="217" t="s">
        <v>265</v>
      </c>
      <c r="N563" s="217" t="s">
        <v>269</v>
      </c>
      <c r="O563" s="220" t="s">
        <v>1588</v>
      </c>
      <c r="P563" s="190">
        <v>2799900</v>
      </c>
      <c r="Q563" s="190">
        <v>0</v>
      </c>
      <c r="R563" s="190">
        <v>0</v>
      </c>
      <c r="S563" s="190">
        <f t="shared" si="62"/>
        <v>2799900</v>
      </c>
      <c r="T563" s="190">
        <f t="shared" si="59"/>
        <v>2506.8493150684931</v>
      </c>
      <c r="U563" s="190">
        <v>3699.8742053899182</v>
      </c>
      <c r="V563" s="221">
        <f t="shared" si="61"/>
        <v>1193.0248903214251</v>
      </c>
      <c r="W563" s="221">
        <f t="shared" si="63"/>
        <v>3547.0568985585101</v>
      </c>
      <c r="X563" s="221">
        <v>0</v>
      </c>
      <c r="Y563" s="222">
        <v>0</v>
      </c>
      <c r="Z563" s="222">
        <v>0</v>
      </c>
      <c r="AA563" s="222">
        <v>0</v>
      </c>
      <c r="AB563" s="222">
        <v>0</v>
      </c>
      <c r="AC563" s="222">
        <v>0</v>
      </c>
      <c r="AD563" s="222">
        <v>0</v>
      </c>
      <c r="AE563" s="222">
        <v>635</v>
      </c>
      <c r="AF563" s="221">
        <f t="shared" si="64"/>
        <v>3547.0568985585101</v>
      </c>
      <c r="AG563" s="222">
        <v>0</v>
      </c>
      <c r="AH563" s="221">
        <v>0</v>
      </c>
      <c r="AI563" s="222">
        <v>0</v>
      </c>
      <c r="AJ563" s="221">
        <v>0</v>
      </c>
      <c r="AK563" s="222">
        <v>0</v>
      </c>
      <c r="AL563" s="222">
        <v>0</v>
      </c>
      <c r="AM563" s="222">
        <v>0</v>
      </c>
      <c r="AN563" s="222"/>
      <c r="AO563" s="222">
        <v>0</v>
      </c>
    </row>
    <row r="564" spans="1:41" s="223" customFormat="1" ht="36" customHeight="1" x14ac:dyDescent="0.25">
      <c r="A564" s="223">
        <v>1</v>
      </c>
      <c r="B564" s="225">
        <f>SUBTOTAL(103,$A$552:A564)</f>
        <v>13</v>
      </c>
      <c r="C564" s="215" t="s">
        <v>545</v>
      </c>
      <c r="D564" s="217" t="s">
        <v>307</v>
      </c>
      <c r="E564" s="217"/>
      <c r="F564" s="226" t="s">
        <v>311</v>
      </c>
      <c r="G564" s="217" t="s">
        <v>351</v>
      </c>
      <c r="H564" s="217" t="s">
        <v>308</v>
      </c>
      <c r="I564" s="218">
        <v>3904.9</v>
      </c>
      <c r="J564" s="218">
        <v>3572.7</v>
      </c>
      <c r="K564" s="218">
        <v>3572.7</v>
      </c>
      <c r="L564" s="219">
        <v>170</v>
      </c>
      <c r="M564" s="217" t="s">
        <v>265</v>
      </c>
      <c r="N564" s="217" t="s">
        <v>269</v>
      </c>
      <c r="O564" s="220" t="s">
        <v>1071</v>
      </c>
      <c r="P564" s="190">
        <v>4475118.7699999996</v>
      </c>
      <c r="Q564" s="190">
        <v>0</v>
      </c>
      <c r="R564" s="190">
        <v>0</v>
      </c>
      <c r="S564" s="190">
        <f t="shared" si="62"/>
        <v>4475118.7699999996</v>
      </c>
      <c r="T564" s="190">
        <f t="shared" si="59"/>
        <v>1146.0264718686776</v>
      </c>
      <c r="U564" s="190">
        <v>1599.8852723501241</v>
      </c>
      <c r="V564" s="221">
        <f t="shared" si="61"/>
        <v>453.85880048144645</v>
      </c>
      <c r="W564" s="221">
        <f t="shared" si="63"/>
        <v>1533.8046044713051</v>
      </c>
      <c r="X564" s="221">
        <v>0</v>
      </c>
      <c r="Y564" s="222">
        <v>0</v>
      </c>
      <c r="Z564" s="222">
        <v>0</v>
      </c>
      <c r="AA564" s="222">
        <v>0</v>
      </c>
      <c r="AB564" s="222">
        <v>0</v>
      </c>
      <c r="AC564" s="222">
        <v>0</v>
      </c>
      <c r="AD564" s="222">
        <v>0</v>
      </c>
      <c r="AE564" s="222">
        <v>960</v>
      </c>
      <c r="AF564" s="221">
        <f t="shared" si="64"/>
        <v>1533.8046044713051</v>
      </c>
      <c r="AG564" s="222">
        <v>0</v>
      </c>
      <c r="AH564" s="221">
        <v>0</v>
      </c>
      <c r="AI564" s="222">
        <v>0</v>
      </c>
      <c r="AJ564" s="221">
        <v>0</v>
      </c>
      <c r="AK564" s="222">
        <v>0</v>
      </c>
      <c r="AL564" s="222">
        <v>0</v>
      </c>
      <c r="AM564" s="222">
        <v>0</v>
      </c>
      <c r="AN564" s="222"/>
      <c r="AO564" s="222">
        <v>0</v>
      </c>
    </row>
    <row r="565" spans="1:41" s="223" customFormat="1" ht="36" customHeight="1" x14ac:dyDescent="0.25">
      <c r="A565" s="223">
        <v>1</v>
      </c>
      <c r="B565" s="225">
        <f>SUBTOTAL(103,$A$552:A565)</f>
        <v>14</v>
      </c>
      <c r="C565" s="215" t="s">
        <v>546</v>
      </c>
      <c r="D565" s="217" t="s">
        <v>307</v>
      </c>
      <c r="E565" s="217"/>
      <c r="F565" s="226" t="s">
        <v>311</v>
      </c>
      <c r="G565" s="217" t="s">
        <v>351</v>
      </c>
      <c r="H565" s="217" t="s">
        <v>312</v>
      </c>
      <c r="I565" s="218">
        <v>3361</v>
      </c>
      <c r="J565" s="218">
        <v>2572.6</v>
      </c>
      <c r="K565" s="218">
        <v>2572.6</v>
      </c>
      <c r="L565" s="219">
        <v>133</v>
      </c>
      <c r="M565" s="217" t="s">
        <v>265</v>
      </c>
      <c r="N565" s="217" t="s">
        <v>269</v>
      </c>
      <c r="O565" s="220" t="s">
        <v>1071</v>
      </c>
      <c r="P565" s="190">
        <v>3635296.26</v>
      </c>
      <c r="Q565" s="190">
        <v>0</v>
      </c>
      <c r="R565" s="190">
        <v>0</v>
      </c>
      <c r="S565" s="190">
        <f t="shared" si="62"/>
        <v>3635296.26</v>
      </c>
      <c r="T565" s="190">
        <f t="shared" si="59"/>
        <v>1081.6115025290092</v>
      </c>
      <c r="U565" s="190">
        <v>1419.0697203213329</v>
      </c>
      <c r="V565" s="221">
        <f t="shared" si="61"/>
        <v>337.45821779232369</v>
      </c>
      <c r="W565" s="221">
        <f t="shared" si="63"/>
        <v>1438.6061440047604</v>
      </c>
      <c r="X565" s="221">
        <v>0</v>
      </c>
      <c r="Y565" s="222">
        <v>0</v>
      </c>
      <c r="Z565" s="222">
        <v>0</v>
      </c>
      <c r="AA565" s="222">
        <v>0</v>
      </c>
      <c r="AB565" s="222">
        <v>0</v>
      </c>
      <c r="AC565" s="222">
        <v>0</v>
      </c>
      <c r="AD565" s="222">
        <v>0</v>
      </c>
      <c r="AE565" s="222">
        <v>775</v>
      </c>
      <c r="AF565" s="221">
        <f t="shared" si="64"/>
        <v>1438.6061440047604</v>
      </c>
      <c r="AG565" s="222">
        <v>0</v>
      </c>
      <c r="AH565" s="221">
        <v>0</v>
      </c>
      <c r="AI565" s="222">
        <v>0</v>
      </c>
      <c r="AJ565" s="221">
        <v>0</v>
      </c>
      <c r="AK565" s="222">
        <v>0</v>
      </c>
      <c r="AL565" s="222">
        <v>0</v>
      </c>
      <c r="AM565" s="222">
        <v>0</v>
      </c>
      <c r="AN565" s="222"/>
      <c r="AO565" s="222">
        <v>0</v>
      </c>
    </row>
    <row r="566" spans="1:41" s="223" customFormat="1" ht="36" customHeight="1" x14ac:dyDescent="0.25">
      <c r="A566" s="223">
        <v>1</v>
      </c>
      <c r="B566" s="225">
        <f>SUBTOTAL(103,$A$552:A566)</f>
        <v>15</v>
      </c>
      <c r="C566" s="215" t="s">
        <v>1398</v>
      </c>
      <c r="D566" s="217">
        <v>1965</v>
      </c>
      <c r="E566" s="217"/>
      <c r="F566" s="226" t="s">
        <v>267</v>
      </c>
      <c r="G566" s="217">
        <v>5</v>
      </c>
      <c r="H566" s="217" t="s">
        <v>308</v>
      </c>
      <c r="I566" s="218">
        <v>4215.8</v>
      </c>
      <c r="J566" s="218">
        <v>4102.3</v>
      </c>
      <c r="K566" s="218">
        <v>2512.3000000000002</v>
      </c>
      <c r="L566" s="219">
        <v>122</v>
      </c>
      <c r="M566" s="217" t="s">
        <v>265</v>
      </c>
      <c r="N566" s="217" t="s">
        <v>269</v>
      </c>
      <c r="O566" s="220" t="s">
        <v>1071</v>
      </c>
      <c r="P566" s="190">
        <v>5684659.8300000001</v>
      </c>
      <c r="Q566" s="190">
        <v>0</v>
      </c>
      <c r="R566" s="190">
        <v>0</v>
      </c>
      <c r="S566" s="190">
        <f t="shared" si="62"/>
        <v>5684659.8300000001</v>
      </c>
      <c r="T566" s="190">
        <f t="shared" si="59"/>
        <v>1348.4178163100717</v>
      </c>
      <c r="U566" s="190">
        <v>1863.3342829356229</v>
      </c>
      <c r="V566" s="221">
        <f t="shared" si="61"/>
        <v>514.91646662555127</v>
      </c>
      <c r="W566" s="221">
        <f t="shared" si="63"/>
        <v>1786.3722807059155</v>
      </c>
      <c r="X566" s="221">
        <v>0</v>
      </c>
      <c r="Y566" s="222">
        <v>0</v>
      </c>
      <c r="Z566" s="222">
        <v>0</v>
      </c>
      <c r="AA566" s="222">
        <v>0</v>
      </c>
      <c r="AB566" s="222">
        <v>0</v>
      </c>
      <c r="AC566" s="222">
        <v>0</v>
      </c>
      <c r="AD566" s="222">
        <v>0</v>
      </c>
      <c r="AE566" s="222">
        <v>1207.0999999999999</v>
      </c>
      <c r="AF566" s="221">
        <f t="shared" si="64"/>
        <v>1786.3722807059155</v>
      </c>
      <c r="AG566" s="222">
        <v>0</v>
      </c>
      <c r="AH566" s="221">
        <v>0</v>
      </c>
      <c r="AI566" s="222">
        <v>0</v>
      </c>
      <c r="AJ566" s="221">
        <v>0</v>
      </c>
      <c r="AK566" s="222">
        <v>0</v>
      </c>
      <c r="AL566" s="222">
        <v>0</v>
      </c>
      <c r="AM566" s="222">
        <v>0</v>
      </c>
      <c r="AN566" s="222"/>
      <c r="AO566" s="222">
        <v>0</v>
      </c>
    </row>
    <row r="567" spans="1:41" s="223" customFormat="1" ht="36" customHeight="1" x14ac:dyDescent="0.25">
      <c r="A567" s="223">
        <v>1</v>
      </c>
      <c r="B567" s="225">
        <f>SUBTOTAL(103,$A$552:A567)</f>
        <v>16</v>
      </c>
      <c r="C567" s="215" t="s">
        <v>798</v>
      </c>
      <c r="D567" s="217">
        <v>1963</v>
      </c>
      <c r="E567" s="217"/>
      <c r="F567" s="226" t="s">
        <v>267</v>
      </c>
      <c r="G567" s="217">
        <v>4</v>
      </c>
      <c r="H567" s="217" t="s">
        <v>303</v>
      </c>
      <c r="I567" s="218">
        <v>1438.7</v>
      </c>
      <c r="J567" s="218">
        <v>1260.7</v>
      </c>
      <c r="K567" s="218">
        <v>1260.7</v>
      </c>
      <c r="L567" s="219">
        <v>54</v>
      </c>
      <c r="M567" s="217" t="s">
        <v>265</v>
      </c>
      <c r="N567" s="217" t="s">
        <v>298</v>
      </c>
      <c r="O567" s="220" t="s">
        <v>811</v>
      </c>
      <c r="P567" s="190">
        <v>3010127.71</v>
      </c>
      <c r="Q567" s="190">
        <v>0</v>
      </c>
      <c r="R567" s="190">
        <v>0</v>
      </c>
      <c r="S567" s="190">
        <f t="shared" si="62"/>
        <v>3010127.71</v>
      </c>
      <c r="T567" s="190">
        <f t="shared" si="59"/>
        <v>2092.2553068742614</v>
      </c>
      <c r="U567" s="190">
        <v>3166.3237645096265</v>
      </c>
      <c r="V567" s="221">
        <f t="shared" si="61"/>
        <v>1074.0684576353651</v>
      </c>
      <c r="W567" s="221">
        <f t="shared" si="63"/>
        <v>3035.5438937930076</v>
      </c>
      <c r="X567" s="221">
        <v>0</v>
      </c>
      <c r="Y567" s="222">
        <v>0</v>
      </c>
      <c r="Z567" s="222">
        <v>0</v>
      </c>
      <c r="AA567" s="222">
        <v>0</v>
      </c>
      <c r="AB567" s="222">
        <v>0</v>
      </c>
      <c r="AC567" s="222">
        <v>0</v>
      </c>
      <c r="AD567" s="222">
        <v>0</v>
      </c>
      <c r="AE567" s="222">
        <v>700</v>
      </c>
      <c r="AF567" s="221">
        <f t="shared" si="64"/>
        <v>3035.5438937930076</v>
      </c>
      <c r="AG567" s="222">
        <v>0</v>
      </c>
      <c r="AH567" s="221">
        <v>0</v>
      </c>
      <c r="AI567" s="222">
        <v>0</v>
      </c>
      <c r="AJ567" s="221">
        <v>0</v>
      </c>
      <c r="AK567" s="222">
        <v>0</v>
      </c>
      <c r="AL567" s="222">
        <v>0</v>
      </c>
      <c r="AM567" s="222">
        <v>0</v>
      </c>
      <c r="AN567" s="222"/>
      <c r="AO567" s="222">
        <v>0</v>
      </c>
    </row>
    <row r="568" spans="1:41" s="223" customFormat="1" ht="36" customHeight="1" x14ac:dyDescent="0.25">
      <c r="A568" s="223">
        <v>1</v>
      </c>
      <c r="B568" s="225">
        <f>SUBTOTAL(103,$A$552:A568)</f>
        <v>17</v>
      </c>
      <c r="C568" s="215" t="s">
        <v>548</v>
      </c>
      <c r="D568" s="217" t="s">
        <v>310</v>
      </c>
      <c r="E568" s="217"/>
      <c r="F568" s="226" t="s">
        <v>267</v>
      </c>
      <c r="G568" s="217" t="s">
        <v>351</v>
      </c>
      <c r="H568" s="217" t="s">
        <v>304</v>
      </c>
      <c r="I568" s="218">
        <v>667.4</v>
      </c>
      <c r="J568" s="218">
        <v>629.79999999999995</v>
      </c>
      <c r="K568" s="218">
        <v>629.79999999999995</v>
      </c>
      <c r="L568" s="219">
        <v>29</v>
      </c>
      <c r="M568" s="217" t="s">
        <v>265</v>
      </c>
      <c r="N568" s="217" t="s">
        <v>269</v>
      </c>
      <c r="O568" s="220" t="s">
        <v>1380</v>
      </c>
      <c r="P568" s="190">
        <v>1412384.95</v>
      </c>
      <c r="Q568" s="190">
        <v>0</v>
      </c>
      <c r="R568" s="190">
        <v>0</v>
      </c>
      <c r="S568" s="190">
        <f t="shared" si="62"/>
        <v>1412384.95</v>
      </c>
      <c r="T568" s="190">
        <f t="shared" si="59"/>
        <v>2116.2495504944559</v>
      </c>
      <c r="U568" s="190">
        <v>2116.2495504944559</v>
      </c>
      <c r="V568" s="221">
        <f t="shared" si="61"/>
        <v>0</v>
      </c>
      <c r="W568" s="221">
        <f t="shared" si="63"/>
        <v>1963.097243032664</v>
      </c>
      <c r="X568" s="221">
        <v>0</v>
      </c>
      <c r="Y568" s="222">
        <v>0</v>
      </c>
      <c r="Z568" s="222">
        <v>0</v>
      </c>
      <c r="AA568" s="222">
        <v>0</v>
      </c>
      <c r="AB568" s="222">
        <v>0</v>
      </c>
      <c r="AC568" s="222">
        <v>0</v>
      </c>
      <c r="AD568" s="222">
        <v>0</v>
      </c>
      <c r="AE568" s="222">
        <v>210</v>
      </c>
      <c r="AF568" s="221">
        <f t="shared" si="64"/>
        <v>1963.097243032664</v>
      </c>
      <c r="AG568" s="222">
        <v>0</v>
      </c>
      <c r="AH568" s="221">
        <v>0</v>
      </c>
      <c r="AI568" s="222">
        <v>0</v>
      </c>
      <c r="AJ568" s="221">
        <v>0</v>
      </c>
      <c r="AK568" s="222">
        <v>0</v>
      </c>
      <c r="AL568" s="222">
        <v>0</v>
      </c>
      <c r="AM568" s="222">
        <v>0</v>
      </c>
      <c r="AN568" s="222"/>
      <c r="AO568" s="222">
        <v>0</v>
      </c>
    </row>
    <row r="569" spans="1:41" s="223" customFormat="1" ht="36" customHeight="1" x14ac:dyDescent="0.25">
      <c r="A569" s="223">
        <v>1</v>
      </c>
      <c r="B569" s="225">
        <f>SUBTOTAL(103,$A$552:A569)</f>
        <v>18</v>
      </c>
      <c r="C569" s="215" t="s">
        <v>800</v>
      </c>
      <c r="D569" s="217">
        <v>1987</v>
      </c>
      <c r="E569" s="217"/>
      <c r="F569" s="226" t="s">
        <v>311</v>
      </c>
      <c r="G569" s="217">
        <v>9</v>
      </c>
      <c r="H569" s="217" t="s">
        <v>351</v>
      </c>
      <c r="I569" s="218">
        <v>10923.8</v>
      </c>
      <c r="J569" s="218">
        <v>9687.5</v>
      </c>
      <c r="K569" s="218">
        <v>9446.6</v>
      </c>
      <c r="L569" s="219">
        <v>489</v>
      </c>
      <c r="M569" s="217" t="s">
        <v>265</v>
      </c>
      <c r="N569" s="217" t="s">
        <v>269</v>
      </c>
      <c r="O569" s="220" t="s">
        <v>1380</v>
      </c>
      <c r="P569" s="190">
        <v>5592536.2299999995</v>
      </c>
      <c r="Q569" s="190">
        <v>0</v>
      </c>
      <c r="R569" s="190">
        <v>0</v>
      </c>
      <c r="S569" s="190">
        <f t="shared" si="62"/>
        <v>5592536.2299999995</v>
      </c>
      <c r="T569" s="190">
        <f t="shared" si="59"/>
        <v>511.95886321609697</v>
      </c>
      <c r="U569" s="190">
        <v>794.44184349768409</v>
      </c>
      <c r="V569" s="221">
        <f t="shared" si="61"/>
        <v>282.48298028158712</v>
      </c>
      <c r="W569" s="221">
        <f t="shared" si="63"/>
        <v>640.80670810523827</v>
      </c>
      <c r="X569" s="221">
        <v>0</v>
      </c>
      <c r="Y569" s="222">
        <v>0</v>
      </c>
      <c r="Z569" s="222">
        <v>0</v>
      </c>
      <c r="AA569" s="222">
        <v>0</v>
      </c>
      <c r="AB569" s="222">
        <v>0</v>
      </c>
      <c r="AC569" s="222">
        <v>0</v>
      </c>
      <c r="AD569" s="222">
        <v>0</v>
      </c>
      <c r="AE569" s="222">
        <v>0</v>
      </c>
      <c r="AF569" s="221">
        <v>0</v>
      </c>
      <c r="AG569" s="222">
        <v>0</v>
      </c>
      <c r="AH569" s="221">
        <v>0</v>
      </c>
      <c r="AI569" s="222">
        <v>940.98</v>
      </c>
      <c r="AJ569" s="221">
        <f>7439.1*AI569/I569</f>
        <v>640.80670810523827</v>
      </c>
      <c r="AK569" s="222">
        <v>0</v>
      </c>
      <c r="AL569" s="222">
        <v>0</v>
      </c>
      <c r="AM569" s="222">
        <v>0</v>
      </c>
      <c r="AN569" s="222"/>
      <c r="AO569" s="222">
        <v>0</v>
      </c>
    </row>
    <row r="570" spans="1:41" s="223" customFormat="1" ht="36" customHeight="1" x14ac:dyDescent="0.25">
      <c r="A570" s="223">
        <v>1</v>
      </c>
      <c r="B570" s="225">
        <f>SUBTOTAL(103,$A$552:A570)</f>
        <v>19</v>
      </c>
      <c r="C570" s="215" t="s">
        <v>551</v>
      </c>
      <c r="D570" s="217" t="s">
        <v>306</v>
      </c>
      <c r="E570" s="217"/>
      <c r="F570" s="226" t="s">
        <v>267</v>
      </c>
      <c r="G570" s="217" t="s">
        <v>351</v>
      </c>
      <c r="H570" s="217" t="s">
        <v>308</v>
      </c>
      <c r="I570" s="218">
        <v>3951</v>
      </c>
      <c r="J570" s="218">
        <v>3662.3</v>
      </c>
      <c r="K570" s="218">
        <v>2494.3000000000002</v>
      </c>
      <c r="L570" s="219">
        <v>140</v>
      </c>
      <c r="M570" s="217" t="s">
        <v>265</v>
      </c>
      <c r="N570" s="217" t="s">
        <v>269</v>
      </c>
      <c r="O570" s="220" t="s">
        <v>1072</v>
      </c>
      <c r="P570" s="190">
        <v>4005099.29</v>
      </c>
      <c r="Q570" s="190">
        <v>0</v>
      </c>
      <c r="R570" s="190">
        <v>0</v>
      </c>
      <c r="S570" s="190">
        <f t="shared" si="62"/>
        <v>4005099.29</v>
      </c>
      <c r="T570" s="190">
        <f t="shared" si="59"/>
        <v>1013.692556314857</v>
      </c>
      <c r="U570" s="190">
        <v>1353.9178435839026</v>
      </c>
      <c r="V570" s="221">
        <f t="shared" si="61"/>
        <v>340.22528726904557</v>
      </c>
      <c r="W570" s="221">
        <f t="shared" si="63"/>
        <v>884.27982789167299</v>
      </c>
      <c r="X570" s="221">
        <v>0</v>
      </c>
      <c r="Y570" s="222">
        <v>0</v>
      </c>
      <c r="Z570" s="222">
        <v>0</v>
      </c>
      <c r="AA570" s="222">
        <v>0</v>
      </c>
      <c r="AB570" s="222">
        <v>0</v>
      </c>
      <c r="AC570" s="222">
        <v>0</v>
      </c>
      <c r="AD570" s="222">
        <v>0</v>
      </c>
      <c r="AE570" s="222">
        <v>560</v>
      </c>
      <c r="AF570" s="221">
        <f>6238.91*AE570/I570</f>
        <v>884.27982789167299</v>
      </c>
      <c r="AG570" s="222">
        <v>0</v>
      </c>
      <c r="AH570" s="221">
        <v>0</v>
      </c>
      <c r="AI570" s="222">
        <v>0</v>
      </c>
      <c r="AJ570" s="221">
        <v>0</v>
      </c>
      <c r="AK570" s="222">
        <v>0</v>
      </c>
      <c r="AL570" s="222">
        <v>0</v>
      </c>
      <c r="AM570" s="222">
        <v>0</v>
      </c>
      <c r="AN570" s="222"/>
      <c r="AO570" s="222">
        <v>0</v>
      </c>
    </row>
    <row r="571" spans="1:41" s="223" customFormat="1" ht="36" customHeight="1" x14ac:dyDescent="0.25">
      <c r="A571" s="223">
        <v>1</v>
      </c>
      <c r="B571" s="225">
        <f>SUBTOTAL(103,$A$552:A571)</f>
        <v>20</v>
      </c>
      <c r="C571" s="215" t="s">
        <v>1626</v>
      </c>
      <c r="D571" s="217" t="s">
        <v>362</v>
      </c>
      <c r="E571" s="217"/>
      <c r="F571" s="226" t="s">
        <v>267</v>
      </c>
      <c r="G571" s="217" t="s">
        <v>303</v>
      </c>
      <c r="H571" s="217" t="s">
        <v>312</v>
      </c>
      <c r="I571" s="218">
        <v>574.1</v>
      </c>
      <c r="J571" s="218">
        <v>444.8</v>
      </c>
      <c r="K571" s="218">
        <v>444.8</v>
      </c>
      <c r="L571" s="219">
        <v>19</v>
      </c>
      <c r="M571" s="217" t="s">
        <v>265</v>
      </c>
      <c r="N571" s="217" t="s">
        <v>269</v>
      </c>
      <c r="O571" s="220" t="s">
        <v>1642</v>
      </c>
      <c r="P571" s="190">
        <v>2397304.5699999998</v>
      </c>
      <c r="Q571" s="190">
        <v>0</v>
      </c>
      <c r="R571" s="190">
        <v>0</v>
      </c>
      <c r="S571" s="190">
        <f t="shared" si="62"/>
        <v>2397304.5699999998</v>
      </c>
      <c r="T571" s="190">
        <f t="shared" si="59"/>
        <v>4175.7613133600416</v>
      </c>
      <c r="U571" s="190">
        <v>5497.7085873541191</v>
      </c>
      <c r="V571" s="221">
        <f t="shared" si="61"/>
        <v>1321.9472739940775</v>
      </c>
      <c r="W571" s="221">
        <f t="shared" si="63"/>
        <v>15116.397509144748</v>
      </c>
      <c r="X571" s="221">
        <v>0</v>
      </c>
      <c r="Y571" s="222">
        <v>0</v>
      </c>
      <c r="Z571" s="222">
        <v>0</v>
      </c>
      <c r="AA571" s="222">
        <v>0</v>
      </c>
      <c r="AB571" s="222">
        <v>0</v>
      </c>
      <c r="AC571" s="222">
        <v>0</v>
      </c>
      <c r="AD571" s="222">
        <v>0</v>
      </c>
      <c r="AE571" s="222">
        <v>1391</v>
      </c>
      <c r="AF571" s="221">
        <f>6238.91*AE571/I571</f>
        <v>15116.397509144748</v>
      </c>
      <c r="AG571" s="222">
        <v>0</v>
      </c>
      <c r="AH571" s="221">
        <v>0</v>
      </c>
      <c r="AI571" s="222">
        <v>0</v>
      </c>
      <c r="AJ571" s="221">
        <v>0</v>
      </c>
      <c r="AK571" s="222">
        <v>0</v>
      </c>
      <c r="AL571" s="222">
        <v>0</v>
      </c>
      <c r="AM571" s="222">
        <v>0</v>
      </c>
      <c r="AN571" s="222"/>
      <c r="AO571" s="222">
        <v>0</v>
      </c>
    </row>
    <row r="572" spans="1:41" s="223" customFormat="1" ht="36" customHeight="1" x14ac:dyDescent="0.25">
      <c r="A572" s="223">
        <v>1</v>
      </c>
      <c r="B572" s="225">
        <f>SUBTOTAL(103,$A$552:A572)</f>
        <v>21</v>
      </c>
      <c r="C572" s="215" t="s">
        <v>554</v>
      </c>
      <c r="D572" s="217" t="s">
        <v>363</v>
      </c>
      <c r="E572" s="217"/>
      <c r="F572" s="226" t="s">
        <v>364</v>
      </c>
      <c r="G572" s="217" t="s">
        <v>303</v>
      </c>
      <c r="H572" s="217" t="s">
        <v>303</v>
      </c>
      <c r="I572" s="218">
        <v>583.5</v>
      </c>
      <c r="J572" s="218">
        <v>558.1</v>
      </c>
      <c r="K572" s="218">
        <v>558.1</v>
      </c>
      <c r="L572" s="219">
        <v>39</v>
      </c>
      <c r="M572" s="217" t="s">
        <v>265</v>
      </c>
      <c r="N572" s="217" t="s">
        <v>269</v>
      </c>
      <c r="O572" s="220" t="s">
        <v>1643</v>
      </c>
      <c r="P572" s="190">
        <v>2564514.5199999996</v>
      </c>
      <c r="Q572" s="190">
        <v>0</v>
      </c>
      <c r="R572" s="190">
        <v>0</v>
      </c>
      <c r="S572" s="190">
        <f t="shared" si="62"/>
        <v>2564514.5199999996</v>
      </c>
      <c r="T572" s="190">
        <f t="shared" si="59"/>
        <v>4395.0548757497854</v>
      </c>
      <c r="U572" s="190">
        <v>6758.6395886889459</v>
      </c>
      <c r="V572" s="221">
        <f t="shared" si="61"/>
        <v>2363.5847129391605</v>
      </c>
      <c r="W572" s="221">
        <f t="shared" si="63"/>
        <v>8789.0043187660667</v>
      </c>
      <c r="X572" s="221">
        <v>0</v>
      </c>
      <c r="Y572" s="222">
        <v>0</v>
      </c>
      <c r="Z572" s="222">
        <v>0</v>
      </c>
      <c r="AA572" s="222">
        <v>0</v>
      </c>
      <c r="AB572" s="222">
        <v>0</v>
      </c>
      <c r="AC572" s="222">
        <v>0</v>
      </c>
      <c r="AD572" s="222">
        <v>0</v>
      </c>
      <c r="AE572" s="222">
        <v>822</v>
      </c>
      <c r="AF572" s="221">
        <f>6238.91*AE572/I572</f>
        <v>8789.0043187660667</v>
      </c>
      <c r="AG572" s="222">
        <v>0</v>
      </c>
      <c r="AH572" s="221">
        <v>0</v>
      </c>
      <c r="AI572" s="222">
        <v>0</v>
      </c>
      <c r="AJ572" s="221">
        <v>0</v>
      </c>
      <c r="AK572" s="222">
        <v>0</v>
      </c>
      <c r="AL572" s="222">
        <v>0</v>
      </c>
      <c r="AM572" s="222">
        <v>0</v>
      </c>
      <c r="AN572" s="222"/>
      <c r="AO572" s="222">
        <v>0</v>
      </c>
    </row>
    <row r="573" spans="1:41" s="223" customFormat="1" ht="36" customHeight="1" x14ac:dyDescent="0.25">
      <c r="A573" s="223">
        <v>1</v>
      </c>
      <c r="B573" s="225">
        <f>SUBTOTAL(103,$A$552:A573)</f>
        <v>22</v>
      </c>
      <c r="C573" s="215" t="s">
        <v>557</v>
      </c>
      <c r="D573" s="217">
        <v>1985</v>
      </c>
      <c r="E573" s="217"/>
      <c r="F573" s="226" t="s">
        <v>311</v>
      </c>
      <c r="G573" s="217">
        <v>2</v>
      </c>
      <c r="H573" s="217" t="s">
        <v>303</v>
      </c>
      <c r="I573" s="218">
        <v>626.1</v>
      </c>
      <c r="J573" s="218">
        <v>568.4</v>
      </c>
      <c r="K573" s="218">
        <v>568.4</v>
      </c>
      <c r="L573" s="219">
        <v>44</v>
      </c>
      <c r="M573" s="217" t="s">
        <v>265</v>
      </c>
      <c r="N573" s="217" t="s">
        <v>269</v>
      </c>
      <c r="O573" s="220" t="s">
        <v>1380</v>
      </c>
      <c r="P573" s="190">
        <v>2185133.9699999997</v>
      </c>
      <c r="Q573" s="190">
        <v>0</v>
      </c>
      <c r="R573" s="190">
        <v>0</v>
      </c>
      <c r="S573" s="190">
        <f t="shared" si="62"/>
        <v>2185133.9699999997</v>
      </c>
      <c r="T573" s="190">
        <f t="shared" si="59"/>
        <v>3490.0718255869665</v>
      </c>
      <c r="U573" s="190">
        <v>4496.4558696693821</v>
      </c>
      <c r="V573" s="221">
        <f t="shared" si="61"/>
        <v>1006.3840440824156</v>
      </c>
      <c r="W573" s="221">
        <f t="shared" si="63"/>
        <v>12443.056181121226</v>
      </c>
      <c r="X573" s="221">
        <v>0</v>
      </c>
      <c r="Y573" s="222">
        <v>0</v>
      </c>
      <c r="Z573" s="222">
        <v>0</v>
      </c>
      <c r="AA573" s="222">
        <v>0</v>
      </c>
      <c r="AB573" s="222">
        <v>0</v>
      </c>
      <c r="AC573" s="222">
        <v>0</v>
      </c>
      <c r="AD573" s="222">
        <v>0</v>
      </c>
      <c r="AE573" s="222">
        <v>0</v>
      </c>
      <c r="AF573" s="221">
        <v>0</v>
      </c>
      <c r="AG573" s="222">
        <v>0</v>
      </c>
      <c r="AH573" s="221">
        <v>0</v>
      </c>
      <c r="AI573" s="222">
        <v>1047.25</v>
      </c>
      <c r="AJ573" s="221">
        <f>7439.1*AI573/I573</f>
        <v>12443.056181121226</v>
      </c>
      <c r="AK573" s="222">
        <v>0</v>
      </c>
      <c r="AL573" s="222">
        <v>0</v>
      </c>
      <c r="AM573" s="222">
        <v>0</v>
      </c>
      <c r="AN573" s="222"/>
      <c r="AO573" s="222">
        <v>0</v>
      </c>
    </row>
    <row r="574" spans="1:41" s="223" customFormat="1" ht="36" customHeight="1" x14ac:dyDescent="0.25">
      <c r="A574" s="223">
        <v>1</v>
      </c>
      <c r="B574" s="225">
        <f>SUBTOTAL(103,$A$552:A574)</f>
        <v>23</v>
      </c>
      <c r="C574" s="215" t="s">
        <v>558</v>
      </c>
      <c r="D574" s="217">
        <v>1977</v>
      </c>
      <c r="E574" s="217"/>
      <c r="F574" s="226" t="s">
        <v>267</v>
      </c>
      <c r="G574" s="217">
        <v>2</v>
      </c>
      <c r="H574" s="217" t="s">
        <v>303</v>
      </c>
      <c r="I574" s="218">
        <v>814.4</v>
      </c>
      <c r="J574" s="218">
        <v>814.4</v>
      </c>
      <c r="K574" s="218">
        <v>814.4</v>
      </c>
      <c r="L574" s="219">
        <v>45</v>
      </c>
      <c r="M574" s="217" t="s">
        <v>265</v>
      </c>
      <c r="N574" s="217" t="s">
        <v>269</v>
      </c>
      <c r="O574" s="220" t="s">
        <v>1633</v>
      </c>
      <c r="P574" s="190">
        <v>2794940.58</v>
      </c>
      <c r="Q574" s="190">
        <v>0</v>
      </c>
      <c r="R574" s="190">
        <v>0</v>
      </c>
      <c r="S574" s="190">
        <f t="shared" si="62"/>
        <v>2794940.58</v>
      </c>
      <c r="T574" s="190">
        <f t="shared" si="59"/>
        <v>3431.9014980353636</v>
      </c>
      <c r="U574" s="190">
        <v>5130.0876719056978</v>
      </c>
      <c r="V574" s="221">
        <f t="shared" si="61"/>
        <v>1698.1861738703342</v>
      </c>
      <c r="W574" s="221">
        <f t="shared" si="63"/>
        <v>4642.4109282907666</v>
      </c>
      <c r="X574" s="221">
        <v>0</v>
      </c>
      <c r="Y574" s="222">
        <v>0</v>
      </c>
      <c r="Z574" s="222">
        <v>0</v>
      </c>
      <c r="AA574" s="222">
        <v>0</v>
      </c>
      <c r="AB574" s="222">
        <v>0</v>
      </c>
      <c r="AC574" s="222">
        <v>0</v>
      </c>
      <c r="AD574" s="222">
        <v>0</v>
      </c>
      <c r="AE574" s="222">
        <v>606</v>
      </c>
      <c r="AF574" s="221">
        <f>6238.91*AE574/I574</f>
        <v>4642.4109282907666</v>
      </c>
      <c r="AG574" s="222">
        <v>0</v>
      </c>
      <c r="AH574" s="221">
        <v>0</v>
      </c>
      <c r="AI574" s="222">
        <v>0</v>
      </c>
      <c r="AJ574" s="221">
        <v>0</v>
      </c>
      <c r="AK574" s="222">
        <v>0</v>
      </c>
      <c r="AL574" s="222">
        <v>0</v>
      </c>
      <c r="AM574" s="222">
        <v>0</v>
      </c>
      <c r="AN574" s="222"/>
      <c r="AO574" s="222">
        <v>0</v>
      </c>
    </row>
    <row r="575" spans="1:41" s="223" customFormat="1" ht="36" customHeight="1" x14ac:dyDescent="0.25">
      <c r="A575" s="223">
        <v>1</v>
      </c>
      <c r="B575" s="225">
        <f>SUBTOTAL(103,$A$552:A575)</f>
        <v>24</v>
      </c>
      <c r="C575" s="215" t="s">
        <v>1611</v>
      </c>
      <c r="D575" s="217">
        <v>1985</v>
      </c>
      <c r="E575" s="217"/>
      <c r="F575" s="226" t="s">
        <v>267</v>
      </c>
      <c r="G575" s="217">
        <v>7</v>
      </c>
      <c r="H575" s="217" t="s">
        <v>371</v>
      </c>
      <c r="I575" s="218">
        <v>11373.5</v>
      </c>
      <c r="J575" s="218">
        <v>10283</v>
      </c>
      <c r="K575" s="218">
        <v>9429.1</v>
      </c>
      <c r="L575" s="219">
        <v>450</v>
      </c>
      <c r="M575" s="217" t="s">
        <v>265</v>
      </c>
      <c r="N575" s="217" t="s">
        <v>269</v>
      </c>
      <c r="O575" s="220" t="s">
        <v>1381</v>
      </c>
      <c r="P575" s="190">
        <v>8789900</v>
      </c>
      <c r="Q575" s="190">
        <v>0</v>
      </c>
      <c r="R575" s="190">
        <v>0</v>
      </c>
      <c r="S575" s="190">
        <f t="shared" si="62"/>
        <v>8789900</v>
      </c>
      <c r="T575" s="190">
        <f t="shared" si="59"/>
        <v>772.84037455488635</v>
      </c>
      <c r="U575" s="190">
        <v>1261.6602628918099</v>
      </c>
      <c r="V575" s="221">
        <f t="shared" si="61"/>
        <v>488.81988833692355</v>
      </c>
      <c r="W575" s="221">
        <f t="shared" si="63"/>
        <v>758.72475491273576</v>
      </c>
      <c r="X575" s="221">
        <v>0</v>
      </c>
      <c r="Y575" s="222">
        <v>0</v>
      </c>
      <c r="Z575" s="222">
        <v>0</v>
      </c>
      <c r="AA575" s="222">
        <v>0</v>
      </c>
      <c r="AB575" s="222">
        <v>0</v>
      </c>
      <c r="AC575" s="222">
        <v>0</v>
      </c>
      <c r="AD575" s="222">
        <v>0</v>
      </c>
      <c r="AE575" s="222">
        <v>0</v>
      </c>
      <c r="AF575" s="221">
        <v>0</v>
      </c>
      <c r="AG575" s="222">
        <v>0</v>
      </c>
      <c r="AH575" s="221">
        <v>0</v>
      </c>
      <c r="AI575" s="222">
        <v>1160</v>
      </c>
      <c r="AJ575" s="221">
        <f>7439.1*AI575/I575</f>
        <v>758.72475491273576</v>
      </c>
      <c r="AK575" s="222">
        <v>0</v>
      </c>
      <c r="AL575" s="222">
        <v>0</v>
      </c>
      <c r="AM575" s="222">
        <v>0</v>
      </c>
      <c r="AN575" s="222"/>
      <c r="AO575" s="222">
        <v>0</v>
      </c>
    </row>
    <row r="576" spans="1:41" s="223" customFormat="1" ht="36" customHeight="1" x14ac:dyDescent="0.25">
      <c r="A576" s="223">
        <v>1</v>
      </c>
      <c r="B576" s="225">
        <f>SUBTOTAL(103,$A$552:A576)</f>
        <v>25</v>
      </c>
      <c r="C576" s="215" t="s">
        <v>559</v>
      </c>
      <c r="D576" s="217" t="s">
        <v>365</v>
      </c>
      <c r="E576" s="217"/>
      <c r="F576" s="226" t="s">
        <v>267</v>
      </c>
      <c r="G576" s="217" t="s">
        <v>357</v>
      </c>
      <c r="H576" s="217" t="s">
        <v>312</v>
      </c>
      <c r="I576" s="218">
        <v>6810.7</v>
      </c>
      <c r="J576" s="218">
        <v>6388.4</v>
      </c>
      <c r="K576" s="218">
        <v>6388.4</v>
      </c>
      <c r="L576" s="219">
        <v>302</v>
      </c>
      <c r="M576" s="217" t="s">
        <v>265</v>
      </c>
      <c r="N576" s="217" t="s">
        <v>269</v>
      </c>
      <c r="O576" s="220" t="s">
        <v>1641</v>
      </c>
      <c r="P576" s="190">
        <v>2349725</v>
      </c>
      <c r="Q576" s="190">
        <v>0</v>
      </c>
      <c r="R576" s="190">
        <v>0</v>
      </c>
      <c r="S576" s="190">
        <f t="shared" si="62"/>
        <v>2349725</v>
      </c>
      <c r="T576" s="190">
        <f t="shared" si="59"/>
        <v>345.00491873082063</v>
      </c>
      <c r="U576" s="190">
        <v>1099.2544085042655</v>
      </c>
      <c r="V576" s="221">
        <f t="shared" si="61"/>
        <v>754.24948977344479</v>
      </c>
      <c r="W576" s="221">
        <f t="shared" si="63"/>
        <v>396.2812142657877</v>
      </c>
      <c r="X576" s="221">
        <v>0</v>
      </c>
      <c r="Y576" s="222">
        <v>0</v>
      </c>
      <c r="Z576" s="222">
        <v>0</v>
      </c>
      <c r="AA576" s="222">
        <v>0</v>
      </c>
      <c r="AB576" s="222">
        <v>0</v>
      </c>
      <c r="AC576" s="222">
        <v>0</v>
      </c>
      <c r="AD576" s="222">
        <v>0</v>
      </c>
      <c r="AE576" s="222">
        <v>432.6</v>
      </c>
      <c r="AF576" s="221">
        <f t="shared" ref="AF576:AF594" si="65">6238.91*AE576/I576</f>
        <v>396.2812142657877</v>
      </c>
      <c r="AG576" s="222">
        <v>0</v>
      </c>
      <c r="AH576" s="221">
        <v>0</v>
      </c>
      <c r="AI576" s="222">
        <v>0</v>
      </c>
      <c r="AJ576" s="221">
        <v>0</v>
      </c>
      <c r="AK576" s="222">
        <v>0</v>
      </c>
      <c r="AL576" s="222">
        <v>0</v>
      </c>
      <c r="AM576" s="222">
        <v>0</v>
      </c>
      <c r="AN576" s="222"/>
      <c r="AO576" s="222">
        <v>0</v>
      </c>
    </row>
    <row r="577" spans="1:41" s="223" customFormat="1" ht="36" customHeight="1" x14ac:dyDescent="0.25">
      <c r="A577" s="223">
        <v>1</v>
      </c>
      <c r="B577" s="225">
        <f>SUBTOTAL(103,$A$552:A577)</f>
        <v>26</v>
      </c>
      <c r="C577" s="215" t="s">
        <v>560</v>
      </c>
      <c r="D577" s="217">
        <v>1960</v>
      </c>
      <c r="E577" s="217"/>
      <c r="F577" s="226" t="s">
        <v>267</v>
      </c>
      <c r="G577" s="217">
        <v>2</v>
      </c>
      <c r="H577" s="217" t="s">
        <v>303</v>
      </c>
      <c r="I577" s="218">
        <v>614.9</v>
      </c>
      <c r="J577" s="218">
        <v>438</v>
      </c>
      <c r="K577" s="218">
        <v>438</v>
      </c>
      <c r="L577" s="219">
        <v>34</v>
      </c>
      <c r="M577" s="217" t="s">
        <v>265</v>
      </c>
      <c r="N577" s="217" t="s">
        <v>1645</v>
      </c>
      <c r="O577" s="220" t="s">
        <v>1320</v>
      </c>
      <c r="P577" s="190">
        <v>2102735.67</v>
      </c>
      <c r="Q577" s="190">
        <v>0</v>
      </c>
      <c r="R577" s="190">
        <v>0</v>
      </c>
      <c r="S577" s="190">
        <f t="shared" si="62"/>
        <v>2102735.67</v>
      </c>
      <c r="T577" s="190">
        <f t="shared" si="59"/>
        <v>3419.6384290128476</v>
      </c>
      <c r="U577" s="190">
        <v>5111.7565457798019</v>
      </c>
      <c r="V577" s="221">
        <f t="shared" si="61"/>
        <v>1692.1181167669542</v>
      </c>
      <c r="W577" s="221">
        <f t="shared" si="63"/>
        <v>1885.1674711335179</v>
      </c>
      <c r="X577" s="221">
        <v>0</v>
      </c>
      <c r="Y577" s="222">
        <v>0</v>
      </c>
      <c r="Z577" s="222">
        <v>0</v>
      </c>
      <c r="AA577" s="222">
        <v>0</v>
      </c>
      <c r="AB577" s="222">
        <v>0</v>
      </c>
      <c r="AC577" s="222">
        <v>0</v>
      </c>
      <c r="AD577" s="222">
        <v>0</v>
      </c>
      <c r="AE577" s="222">
        <v>185.8</v>
      </c>
      <c r="AF577" s="221">
        <f t="shared" si="65"/>
        <v>1885.1674711335179</v>
      </c>
      <c r="AG577" s="222">
        <v>0</v>
      </c>
      <c r="AH577" s="221">
        <v>0</v>
      </c>
      <c r="AI577" s="222">
        <v>0</v>
      </c>
      <c r="AJ577" s="221">
        <v>0</v>
      </c>
      <c r="AK577" s="222">
        <v>0</v>
      </c>
      <c r="AL577" s="222">
        <v>0</v>
      </c>
      <c r="AM577" s="222">
        <v>0</v>
      </c>
      <c r="AN577" s="222"/>
      <c r="AO577" s="222">
        <v>0</v>
      </c>
    </row>
    <row r="578" spans="1:41" s="223" customFormat="1" ht="36" customHeight="1" x14ac:dyDescent="0.25">
      <c r="A578" s="223">
        <v>1</v>
      </c>
      <c r="B578" s="225">
        <f>SUBTOTAL(103,$A$552:A578)</f>
        <v>27</v>
      </c>
      <c r="C578" s="215" t="s">
        <v>561</v>
      </c>
      <c r="D578" s="217" t="s">
        <v>366</v>
      </c>
      <c r="E578" s="217"/>
      <c r="F578" s="226" t="s">
        <v>364</v>
      </c>
      <c r="G578" s="217" t="s">
        <v>303</v>
      </c>
      <c r="H578" s="217" t="s">
        <v>303</v>
      </c>
      <c r="I578" s="218">
        <v>485.3</v>
      </c>
      <c r="J578" s="218">
        <v>337.2</v>
      </c>
      <c r="K578" s="218">
        <v>337.2</v>
      </c>
      <c r="L578" s="219">
        <v>32</v>
      </c>
      <c r="M578" s="217" t="s">
        <v>265</v>
      </c>
      <c r="N578" s="217" t="s">
        <v>269</v>
      </c>
      <c r="O578" s="220" t="s">
        <v>1644</v>
      </c>
      <c r="P578" s="190">
        <v>1977750</v>
      </c>
      <c r="Q578" s="190">
        <v>0</v>
      </c>
      <c r="R578" s="190">
        <v>0</v>
      </c>
      <c r="S578" s="190">
        <f t="shared" si="62"/>
        <v>1977750</v>
      </c>
      <c r="T578" s="190">
        <f t="shared" si="59"/>
        <v>4075.3142386152895</v>
      </c>
      <c r="U578" s="190">
        <v>6787.9615495569742</v>
      </c>
      <c r="V578" s="221">
        <f t="shared" si="61"/>
        <v>2712.6473109416847</v>
      </c>
      <c r="W578" s="221">
        <f t="shared" si="63"/>
        <v>8253.410715021635</v>
      </c>
      <c r="X578" s="221">
        <v>0</v>
      </c>
      <c r="Y578" s="222">
        <v>0</v>
      </c>
      <c r="Z578" s="222">
        <v>0</v>
      </c>
      <c r="AA578" s="222">
        <v>0</v>
      </c>
      <c r="AB578" s="222">
        <v>0</v>
      </c>
      <c r="AC578" s="222">
        <v>0</v>
      </c>
      <c r="AD578" s="222">
        <v>0</v>
      </c>
      <c r="AE578" s="222">
        <v>642</v>
      </c>
      <c r="AF578" s="221">
        <f t="shared" si="65"/>
        <v>8253.410715021635</v>
      </c>
      <c r="AG578" s="222">
        <v>0</v>
      </c>
      <c r="AH578" s="221">
        <v>0</v>
      </c>
      <c r="AI578" s="222">
        <v>0</v>
      </c>
      <c r="AJ578" s="221">
        <v>0</v>
      </c>
      <c r="AK578" s="222">
        <v>0</v>
      </c>
      <c r="AL578" s="222">
        <v>0</v>
      </c>
      <c r="AM578" s="222">
        <v>0</v>
      </c>
      <c r="AN578" s="222"/>
      <c r="AO578" s="222">
        <v>0</v>
      </c>
    </row>
    <row r="579" spans="1:41" s="223" customFormat="1" ht="36" customHeight="1" x14ac:dyDescent="0.25">
      <c r="A579" s="223">
        <v>1</v>
      </c>
      <c r="B579" s="225">
        <f>SUBTOTAL(103,$A$552:A579)</f>
        <v>28</v>
      </c>
      <c r="C579" s="215" t="s">
        <v>562</v>
      </c>
      <c r="D579" s="217" t="s">
        <v>367</v>
      </c>
      <c r="E579" s="217"/>
      <c r="F579" s="226" t="s">
        <v>311</v>
      </c>
      <c r="G579" s="217" t="s">
        <v>351</v>
      </c>
      <c r="H579" s="217" t="s">
        <v>308</v>
      </c>
      <c r="I579" s="218">
        <v>3872.2</v>
      </c>
      <c r="J579" s="218">
        <v>3548.7</v>
      </c>
      <c r="K579" s="218">
        <v>3548.7</v>
      </c>
      <c r="L579" s="219">
        <v>172</v>
      </c>
      <c r="M579" s="217" t="s">
        <v>265</v>
      </c>
      <c r="N579" s="217" t="s">
        <v>269</v>
      </c>
      <c r="O579" s="220" t="s">
        <v>1071</v>
      </c>
      <c r="P579" s="190">
        <v>3319050</v>
      </c>
      <c r="Q579" s="190">
        <v>0</v>
      </c>
      <c r="R579" s="190">
        <v>0</v>
      </c>
      <c r="S579" s="190">
        <f t="shared" si="62"/>
        <v>3319050</v>
      </c>
      <c r="T579" s="190">
        <f t="shared" si="59"/>
        <v>857.14839109550132</v>
      </c>
      <c r="U579" s="190">
        <v>1613.3960022726098</v>
      </c>
      <c r="V579" s="221">
        <f t="shared" si="61"/>
        <v>756.24761117710852</v>
      </c>
      <c r="W579" s="221">
        <f t="shared" si="63"/>
        <v>3705.77268736119</v>
      </c>
      <c r="X579" s="221">
        <v>0</v>
      </c>
      <c r="Y579" s="222">
        <v>0</v>
      </c>
      <c r="Z579" s="222">
        <v>0</v>
      </c>
      <c r="AA579" s="222">
        <v>0</v>
      </c>
      <c r="AB579" s="222">
        <v>0</v>
      </c>
      <c r="AC579" s="222">
        <v>0</v>
      </c>
      <c r="AD579" s="222">
        <v>0</v>
      </c>
      <c r="AE579" s="222">
        <v>2300</v>
      </c>
      <c r="AF579" s="221">
        <f t="shared" si="65"/>
        <v>3705.77268736119</v>
      </c>
      <c r="AG579" s="222">
        <v>0</v>
      </c>
      <c r="AH579" s="221">
        <v>0</v>
      </c>
      <c r="AI579" s="222">
        <v>0</v>
      </c>
      <c r="AJ579" s="221">
        <v>0</v>
      </c>
      <c r="AK579" s="222">
        <v>0</v>
      </c>
      <c r="AL579" s="222">
        <v>0</v>
      </c>
      <c r="AM579" s="222">
        <v>0</v>
      </c>
      <c r="AN579" s="222"/>
      <c r="AO579" s="222">
        <v>0</v>
      </c>
    </row>
    <row r="580" spans="1:41" s="223" customFormat="1" ht="36" customHeight="1" x14ac:dyDescent="0.25">
      <c r="A580" s="223">
        <v>1</v>
      </c>
      <c r="B580" s="225">
        <f>SUBTOTAL(103,$A$552:A580)</f>
        <v>29</v>
      </c>
      <c r="C580" s="215" t="s">
        <v>563</v>
      </c>
      <c r="D580" s="217" t="s">
        <v>361</v>
      </c>
      <c r="E580" s="217"/>
      <c r="F580" s="226" t="s">
        <v>267</v>
      </c>
      <c r="G580" s="217" t="s">
        <v>308</v>
      </c>
      <c r="H580" s="217" t="s">
        <v>312</v>
      </c>
      <c r="I580" s="218">
        <v>2170</v>
      </c>
      <c r="J580" s="218">
        <v>2000.7</v>
      </c>
      <c r="K580" s="218">
        <v>2000.7</v>
      </c>
      <c r="L580" s="219">
        <v>125</v>
      </c>
      <c r="M580" s="217" t="s">
        <v>265</v>
      </c>
      <c r="N580" s="217" t="s">
        <v>269</v>
      </c>
      <c r="O580" s="220" t="s">
        <v>1072</v>
      </c>
      <c r="P580" s="190">
        <v>3977523.46</v>
      </c>
      <c r="Q580" s="190">
        <v>0</v>
      </c>
      <c r="R580" s="190">
        <v>0</v>
      </c>
      <c r="S580" s="190">
        <f t="shared" si="62"/>
        <v>3977523.46</v>
      </c>
      <c r="T580" s="190">
        <f t="shared" si="59"/>
        <v>1832.9601198156681</v>
      </c>
      <c r="U580" s="190">
        <v>1952.3100000000002</v>
      </c>
      <c r="V580" s="221">
        <f t="shared" si="61"/>
        <v>119.34988018433205</v>
      </c>
      <c r="W580" s="221">
        <f t="shared" si="63"/>
        <v>3450.088479262673</v>
      </c>
      <c r="X580" s="221">
        <v>0</v>
      </c>
      <c r="Y580" s="222">
        <v>0</v>
      </c>
      <c r="Z580" s="222">
        <v>0</v>
      </c>
      <c r="AA580" s="222">
        <v>0</v>
      </c>
      <c r="AB580" s="222">
        <v>0</v>
      </c>
      <c r="AC580" s="222">
        <v>0</v>
      </c>
      <c r="AD580" s="222">
        <v>0</v>
      </c>
      <c r="AE580" s="222">
        <v>1200</v>
      </c>
      <c r="AF580" s="221">
        <f t="shared" si="65"/>
        <v>3450.088479262673</v>
      </c>
      <c r="AG580" s="222">
        <v>0</v>
      </c>
      <c r="AH580" s="221">
        <v>0</v>
      </c>
      <c r="AI580" s="222">
        <v>0</v>
      </c>
      <c r="AJ580" s="221">
        <v>0</v>
      </c>
      <c r="AK580" s="222">
        <v>0</v>
      </c>
      <c r="AL580" s="222">
        <v>0</v>
      </c>
      <c r="AM580" s="222">
        <v>0</v>
      </c>
      <c r="AN580" s="222"/>
      <c r="AO580" s="222">
        <v>0</v>
      </c>
    </row>
    <row r="581" spans="1:41" s="223" customFormat="1" ht="36" customHeight="1" x14ac:dyDescent="0.25">
      <c r="A581" s="223">
        <v>1</v>
      </c>
      <c r="B581" s="225">
        <f>SUBTOTAL(103,$A$552:A581)</f>
        <v>30</v>
      </c>
      <c r="C581" s="215" t="s">
        <v>564</v>
      </c>
      <c r="D581" s="217">
        <v>1981</v>
      </c>
      <c r="E581" s="217"/>
      <c r="F581" s="226" t="s">
        <v>267</v>
      </c>
      <c r="G581" s="217" t="s">
        <v>371</v>
      </c>
      <c r="H581" s="217" t="s">
        <v>304</v>
      </c>
      <c r="I581" s="218">
        <v>1247.5999999999999</v>
      </c>
      <c r="J581" s="218">
        <v>982.4</v>
      </c>
      <c r="K581" s="218">
        <v>982.4</v>
      </c>
      <c r="L581" s="219">
        <v>40</v>
      </c>
      <c r="M581" s="217" t="s">
        <v>265</v>
      </c>
      <c r="N581" s="217" t="s">
        <v>269</v>
      </c>
      <c r="O581" s="220" t="s">
        <v>1396</v>
      </c>
      <c r="P581" s="190">
        <v>1141875</v>
      </c>
      <c r="Q581" s="190">
        <v>0</v>
      </c>
      <c r="R581" s="190">
        <v>0</v>
      </c>
      <c r="S581" s="190">
        <f t="shared" si="62"/>
        <v>1141875</v>
      </c>
      <c r="T581" s="190">
        <f t="shared" si="59"/>
        <v>915.2572940044887</v>
      </c>
      <c r="U581" s="190">
        <v>1435.2093379288233</v>
      </c>
      <c r="V581" s="221">
        <f t="shared" si="61"/>
        <v>519.95204392433459</v>
      </c>
      <c r="W581" s="221">
        <f t="shared" si="63"/>
        <v>2415.3523004168001</v>
      </c>
      <c r="X581" s="221">
        <v>0</v>
      </c>
      <c r="Y581" s="222">
        <v>0</v>
      </c>
      <c r="Z581" s="222">
        <v>0</v>
      </c>
      <c r="AA581" s="222">
        <v>0</v>
      </c>
      <c r="AB581" s="222">
        <v>0</v>
      </c>
      <c r="AC581" s="222">
        <v>0</v>
      </c>
      <c r="AD581" s="222">
        <v>0</v>
      </c>
      <c r="AE581" s="222">
        <v>483</v>
      </c>
      <c r="AF581" s="221">
        <f t="shared" si="65"/>
        <v>2415.3523004168001</v>
      </c>
      <c r="AG581" s="222">
        <v>0</v>
      </c>
      <c r="AH581" s="221">
        <v>0</v>
      </c>
      <c r="AI581" s="222">
        <v>0</v>
      </c>
      <c r="AJ581" s="221">
        <v>0</v>
      </c>
      <c r="AK581" s="222">
        <v>0</v>
      </c>
      <c r="AL581" s="222">
        <v>0</v>
      </c>
      <c r="AM581" s="222">
        <v>0</v>
      </c>
      <c r="AN581" s="222"/>
      <c r="AO581" s="222">
        <v>0</v>
      </c>
    </row>
    <row r="582" spans="1:41" s="223" customFormat="1" ht="36" customHeight="1" x14ac:dyDescent="0.25">
      <c r="A582" s="223">
        <v>1</v>
      </c>
      <c r="B582" s="225">
        <f>SUBTOTAL(103,$A$552:A582)</f>
        <v>31</v>
      </c>
      <c r="C582" s="215" t="s">
        <v>565</v>
      </c>
      <c r="D582" s="217" t="s">
        <v>317</v>
      </c>
      <c r="E582" s="217"/>
      <c r="F582" s="226" t="s">
        <v>267</v>
      </c>
      <c r="G582" s="217" t="s">
        <v>351</v>
      </c>
      <c r="H582" s="217" t="s">
        <v>304</v>
      </c>
      <c r="I582" s="218">
        <v>2919</v>
      </c>
      <c r="J582" s="218">
        <v>1836.4</v>
      </c>
      <c r="K582" s="218">
        <v>1239.3</v>
      </c>
      <c r="L582" s="219">
        <v>128</v>
      </c>
      <c r="M582" s="217" t="s">
        <v>265</v>
      </c>
      <c r="N582" s="217" t="s">
        <v>269</v>
      </c>
      <c r="O582" s="220" t="s">
        <v>1380</v>
      </c>
      <c r="P582" s="190">
        <v>2314200</v>
      </c>
      <c r="Q582" s="190">
        <v>0</v>
      </c>
      <c r="R582" s="190">
        <v>0</v>
      </c>
      <c r="S582" s="190">
        <f t="shared" si="62"/>
        <v>2314200</v>
      </c>
      <c r="T582" s="190">
        <f t="shared" si="59"/>
        <v>792.80575539568349</v>
      </c>
      <c r="U582" s="190">
        <v>1609.6469338814661</v>
      </c>
      <c r="V582" s="221">
        <f t="shared" si="61"/>
        <v>816.84117848578262</v>
      </c>
      <c r="W582" s="221">
        <f t="shared" si="63"/>
        <v>1081.9240294621445</v>
      </c>
      <c r="X582" s="221">
        <v>0</v>
      </c>
      <c r="Y582" s="222">
        <v>0</v>
      </c>
      <c r="Z582" s="222">
        <v>0</v>
      </c>
      <c r="AA582" s="222">
        <v>0</v>
      </c>
      <c r="AB582" s="222">
        <v>0</v>
      </c>
      <c r="AC582" s="222">
        <v>0</v>
      </c>
      <c r="AD582" s="222">
        <v>0</v>
      </c>
      <c r="AE582" s="222">
        <v>506.2</v>
      </c>
      <c r="AF582" s="221">
        <f t="shared" si="65"/>
        <v>1081.9240294621445</v>
      </c>
      <c r="AG582" s="222">
        <v>0</v>
      </c>
      <c r="AH582" s="221">
        <v>0</v>
      </c>
      <c r="AI582" s="222">
        <v>0</v>
      </c>
      <c r="AJ582" s="221">
        <v>0</v>
      </c>
      <c r="AK582" s="222">
        <v>0</v>
      </c>
      <c r="AL582" s="222">
        <v>0</v>
      </c>
      <c r="AM582" s="222">
        <v>0</v>
      </c>
      <c r="AN582" s="222"/>
      <c r="AO582" s="222">
        <v>0</v>
      </c>
    </row>
    <row r="583" spans="1:41" s="223" customFormat="1" ht="36" customHeight="1" x14ac:dyDescent="0.25">
      <c r="A583" s="223">
        <v>1</v>
      </c>
      <c r="B583" s="225">
        <f>SUBTOTAL(103,$A$552:A583)</f>
        <v>32</v>
      </c>
      <c r="C583" s="215" t="s">
        <v>566</v>
      </c>
      <c r="D583" s="217" t="s">
        <v>307</v>
      </c>
      <c r="E583" s="217"/>
      <c r="F583" s="226" t="s">
        <v>311</v>
      </c>
      <c r="G583" s="217" t="s">
        <v>351</v>
      </c>
      <c r="H583" s="217" t="s">
        <v>2267</v>
      </c>
      <c r="I583" s="218">
        <v>8158.5</v>
      </c>
      <c r="J583" s="218">
        <v>6419.1</v>
      </c>
      <c r="K583" s="218">
        <v>6419.1</v>
      </c>
      <c r="L583" s="219">
        <v>324</v>
      </c>
      <c r="M583" s="217" t="s">
        <v>265</v>
      </c>
      <c r="N583" s="217" t="s">
        <v>269</v>
      </c>
      <c r="O583" s="220" t="s">
        <v>1380</v>
      </c>
      <c r="P583" s="190">
        <v>5440002.8600000003</v>
      </c>
      <c r="Q583" s="190">
        <v>0</v>
      </c>
      <c r="R583" s="190">
        <v>0</v>
      </c>
      <c r="S583" s="190">
        <f t="shared" si="62"/>
        <v>5440002.8600000003</v>
      </c>
      <c r="T583" s="190">
        <f t="shared" si="59"/>
        <v>666.789588772446</v>
      </c>
      <c r="U583" s="190">
        <v>1346.4481951339094</v>
      </c>
      <c r="V583" s="221">
        <f t="shared" si="61"/>
        <v>679.6586063614634</v>
      </c>
      <c r="W583" s="221">
        <f t="shared" si="63"/>
        <v>734.1243610957896</v>
      </c>
      <c r="X583" s="221">
        <v>0</v>
      </c>
      <c r="Y583" s="222">
        <v>0</v>
      </c>
      <c r="Z583" s="222">
        <v>0</v>
      </c>
      <c r="AA583" s="222">
        <v>0</v>
      </c>
      <c r="AB583" s="222">
        <v>0</v>
      </c>
      <c r="AC583" s="222">
        <v>0</v>
      </c>
      <c r="AD583" s="222">
        <v>0</v>
      </c>
      <c r="AE583" s="222">
        <v>960</v>
      </c>
      <c r="AF583" s="221">
        <f t="shared" si="65"/>
        <v>734.1243610957896</v>
      </c>
      <c r="AG583" s="222">
        <v>0</v>
      </c>
      <c r="AH583" s="221">
        <v>0</v>
      </c>
      <c r="AI583" s="222">
        <v>0</v>
      </c>
      <c r="AJ583" s="221">
        <v>0</v>
      </c>
      <c r="AK583" s="222">
        <v>0</v>
      </c>
      <c r="AL583" s="222">
        <v>0</v>
      </c>
      <c r="AM583" s="222">
        <v>0</v>
      </c>
      <c r="AN583" s="222"/>
      <c r="AO583" s="222">
        <v>0</v>
      </c>
    </row>
    <row r="584" spans="1:41" s="223" customFormat="1" ht="36" customHeight="1" x14ac:dyDescent="0.25">
      <c r="A584" s="223">
        <v>1</v>
      </c>
      <c r="B584" s="225">
        <f>SUBTOTAL(103,$A$552:A584)</f>
        <v>33</v>
      </c>
      <c r="C584" s="215" t="s">
        <v>567</v>
      </c>
      <c r="D584" s="217" t="s">
        <v>306</v>
      </c>
      <c r="E584" s="217"/>
      <c r="F584" s="226" t="s">
        <v>267</v>
      </c>
      <c r="G584" s="217" t="s">
        <v>308</v>
      </c>
      <c r="H584" s="217" t="s">
        <v>312</v>
      </c>
      <c r="I584" s="218">
        <v>2920</v>
      </c>
      <c r="J584" s="218">
        <v>1821.8</v>
      </c>
      <c r="K584" s="218">
        <v>1606.7</v>
      </c>
      <c r="L584" s="219">
        <v>121</v>
      </c>
      <c r="M584" s="217" t="s">
        <v>265</v>
      </c>
      <c r="N584" s="217" t="s">
        <v>269</v>
      </c>
      <c r="O584" s="220" t="s">
        <v>1380</v>
      </c>
      <c r="P584" s="190">
        <v>5734750</v>
      </c>
      <c r="Q584" s="190">
        <v>0</v>
      </c>
      <c r="R584" s="190">
        <v>0</v>
      </c>
      <c r="S584" s="190">
        <f t="shared" si="62"/>
        <v>5734750</v>
      </c>
      <c r="T584" s="190">
        <f t="shared" si="59"/>
        <v>1963.9554794520548</v>
      </c>
      <c r="U584" s="190">
        <v>2518.3907534246578</v>
      </c>
      <c r="V584" s="221">
        <f t="shared" si="61"/>
        <v>554.435273972603</v>
      </c>
      <c r="W584" s="221">
        <f t="shared" si="63"/>
        <v>1390.935071917808</v>
      </c>
      <c r="X584" s="221">
        <v>0</v>
      </c>
      <c r="Y584" s="222">
        <v>0</v>
      </c>
      <c r="Z584" s="222">
        <v>0</v>
      </c>
      <c r="AA584" s="222">
        <v>0</v>
      </c>
      <c r="AB584" s="222">
        <v>0</v>
      </c>
      <c r="AC584" s="222">
        <v>0</v>
      </c>
      <c r="AD584" s="222">
        <v>0</v>
      </c>
      <c r="AE584" s="222">
        <v>651</v>
      </c>
      <c r="AF584" s="221">
        <f t="shared" si="65"/>
        <v>1390.935071917808</v>
      </c>
      <c r="AG584" s="222">
        <v>0</v>
      </c>
      <c r="AH584" s="221">
        <v>0</v>
      </c>
      <c r="AI584" s="222">
        <v>0</v>
      </c>
      <c r="AJ584" s="221">
        <v>0</v>
      </c>
      <c r="AK584" s="222">
        <v>0</v>
      </c>
      <c r="AL584" s="222">
        <v>0</v>
      </c>
      <c r="AM584" s="222">
        <v>0</v>
      </c>
      <c r="AN584" s="222"/>
      <c r="AO584" s="222">
        <v>0</v>
      </c>
    </row>
    <row r="585" spans="1:41" s="223" customFormat="1" ht="36" customHeight="1" x14ac:dyDescent="0.25">
      <c r="A585" s="223">
        <v>1</v>
      </c>
      <c r="B585" s="225">
        <f>SUBTOTAL(103,$A$552:A585)</f>
        <v>34</v>
      </c>
      <c r="C585" s="215" t="s">
        <v>1374</v>
      </c>
      <c r="D585" s="217">
        <v>1961</v>
      </c>
      <c r="E585" s="217"/>
      <c r="F585" s="226" t="s">
        <v>267</v>
      </c>
      <c r="G585" s="217" t="s">
        <v>351</v>
      </c>
      <c r="H585" s="217" t="s">
        <v>312</v>
      </c>
      <c r="I585" s="218">
        <v>2946.9</v>
      </c>
      <c r="J585" s="218">
        <v>2565.1</v>
      </c>
      <c r="K585" s="218">
        <v>2131.1999999999998</v>
      </c>
      <c r="L585" s="219">
        <v>129</v>
      </c>
      <c r="M585" s="217" t="s">
        <v>265</v>
      </c>
      <c r="N585" s="217" t="s">
        <v>269</v>
      </c>
      <c r="O585" s="220" t="s">
        <v>1381</v>
      </c>
      <c r="P585" s="190">
        <v>4022972.66</v>
      </c>
      <c r="Q585" s="190">
        <v>0</v>
      </c>
      <c r="R585" s="190">
        <v>0</v>
      </c>
      <c r="S585" s="190">
        <f t="shared" si="62"/>
        <v>4022972.66</v>
      </c>
      <c r="T585" s="190">
        <f t="shared" si="59"/>
        <v>1365.1541144931962</v>
      </c>
      <c r="U585" s="190">
        <v>1669.4903797210629</v>
      </c>
      <c r="V585" s="221">
        <f t="shared" si="61"/>
        <v>304.33626522786676</v>
      </c>
      <c r="W585" s="221">
        <f t="shared" si="63"/>
        <v>607.61042790729232</v>
      </c>
      <c r="X585" s="221">
        <v>0</v>
      </c>
      <c r="Y585" s="222">
        <v>0</v>
      </c>
      <c r="Z585" s="222">
        <v>0</v>
      </c>
      <c r="AA585" s="222">
        <v>0</v>
      </c>
      <c r="AB585" s="222">
        <v>0</v>
      </c>
      <c r="AC585" s="222">
        <v>0</v>
      </c>
      <c r="AD585" s="222">
        <v>0</v>
      </c>
      <c r="AE585" s="222">
        <v>287</v>
      </c>
      <c r="AF585" s="221">
        <f t="shared" si="65"/>
        <v>607.61042790729232</v>
      </c>
      <c r="AG585" s="222">
        <v>0</v>
      </c>
      <c r="AH585" s="221">
        <v>0</v>
      </c>
      <c r="AI585" s="222">
        <v>0</v>
      </c>
      <c r="AJ585" s="221">
        <v>0</v>
      </c>
      <c r="AK585" s="222">
        <v>0</v>
      </c>
      <c r="AL585" s="222">
        <v>0</v>
      </c>
      <c r="AM585" s="222">
        <v>0</v>
      </c>
      <c r="AN585" s="222"/>
      <c r="AO585" s="222">
        <v>0</v>
      </c>
    </row>
    <row r="586" spans="1:41" s="223" customFormat="1" ht="36" customHeight="1" x14ac:dyDescent="0.25">
      <c r="A586" s="223">
        <v>1</v>
      </c>
      <c r="B586" s="225">
        <f>SUBTOTAL(103,$A$552:A586)</f>
        <v>35</v>
      </c>
      <c r="C586" s="215" t="s">
        <v>1375</v>
      </c>
      <c r="D586" s="217">
        <v>1994</v>
      </c>
      <c r="E586" s="217"/>
      <c r="F586" s="226" t="s">
        <v>267</v>
      </c>
      <c r="G586" s="217">
        <v>4</v>
      </c>
      <c r="H586" s="217" t="s">
        <v>312</v>
      </c>
      <c r="I586" s="218">
        <v>1861.8</v>
      </c>
      <c r="J586" s="218">
        <v>1644.3</v>
      </c>
      <c r="K586" s="218">
        <v>1644.3</v>
      </c>
      <c r="L586" s="219">
        <v>71</v>
      </c>
      <c r="M586" s="217" t="s">
        <v>265</v>
      </c>
      <c r="N586" s="217" t="s">
        <v>269</v>
      </c>
      <c r="O586" s="220" t="s">
        <v>1393</v>
      </c>
      <c r="P586" s="190">
        <v>3214935.44</v>
      </c>
      <c r="Q586" s="190">
        <v>0</v>
      </c>
      <c r="R586" s="190">
        <v>0</v>
      </c>
      <c r="S586" s="190">
        <f t="shared" si="62"/>
        <v>3214935.44</v>
      </c>
      <c r="T586" s="190">
        <f t="shared" si="59"/>
        <v>1726.7888280158986</v>
      </c>
      <c r="U586" s="190">
        <v>2341.905145558062</v>
      </c>
      <c r="V586" s="221">
        <f t="shared" si="61"/>
        <v>615.11631754216342</v>
      </c>
      <c r="W586" s="221">
        <f t="shared" si="63"/>
        <v>2419.4290579009557</v>
      </c>
      <c r="X586" s="221">
        <v>0</v>
      </c>
      <c r="Y586" s="222">
        <v>0</v>
      </c>
      <c r="Z586" s="222">
        <v>0</v>
      </c>
      <c r="AA586" s="222">
        <v>0</v>
      </c>
      <c r="AB586" s="222">
        <v>0</v>
      </c>
      <c r="AC586" s="222">
        <v>0</v>
      </c>
      <c r="AD586" s="222">
        <v>0</v>
      </c>
      <c r="AE586" s="222">
        <v>722</v>
      </c>
      <c r="AF586" s="221">
        <f t="shared" si="65"/>
        <v>2419.4290579009557</v>
      </c>
      <c r="AG586" s="222">
        <v>0</v>
      </c>
      <c r="AH586" s="221">
        <v>0</v>
      </c>
      <c r="AI586" s="222">
        <v>0</v>
      </c>
      <c r="AJ586" s="221">
        <v>0</v>
      </c>
      <c r="AK586" s="222">
        <v>0</v>
      </c>
      <c r="AL586" s="222">
        <v>0</v>
      </c>
      <c r="AM586" s="222">
        <v>0</v>
      </c>
      <c r="AN586" s="222"/>
      <c r="AO586" s="222">
        <v>0</v>
      </c>
    </row>
    <row r="587" spans="1:41" s="223" customFormat="1" ht="36" customHeight="1" x14ac:dyDescent="0.25">
      <c r="A587" s="223">
        <v>1</v>
      </c>
      <c r="B587" s="225">
        <f>SUBTOTAL(103,$A$552:A587)</f>
        <v>36</v>
      </c>
      <c r="C587" s="215" t="s">
        <v>1376</v>
      </c>
      <c r="D587" s="217">
        <v>1917</v>
      </c>
      <c r="E587" s="217"/>
      <c r="F587" s="226" t="s">
        <v>267</v>
      </c>
      <c r="G587" s="217">
        <v>2</v>
      </c>
      <c r="H587" s="217" t="s">
        <v>304</v>
      </c>
      <c r="I587" s="218">
        <v>397.2</v>
      </c>
      <c r="J587" s="218">
        <v>370.5</v>
      </c>
      <c r="K587" s="218">
        <v>370.5</v>
      </c>
      <c r="L587" s="219">
        <v>19</v>
      </c>
      <c r="M587" s="217" t="s">
        <v>265</v>
      </c>
      <c r="N587" s="217" t="s">
        <v>269</v>
      </c>
      <c r="O587" s="220" t="s">
        <v>1394</v>
      </c>
      <c r="P587" s="190">
        <v>1335035.1000000001</v>
      </c>
      <c r="Q587" s="190">
        <v>0</v>
      </c>
      <c r="R587" s="190">
        <v>0</v>
      </c>
      <c r="S587" s="190">
        <f t="shared" si="62"/>
        <v>1335035.1000000001</v>
      </c>
      <c r="T587" s="190">
        <f t="shared" si="59"/>
        <v>3361.1155589123869</v>
      </c>
      <c r="U587" s="190">
        <v>4457.2502139979861</v>
      </c>
      <c r="V587" s="221">
        <f t="shared" si="61"/>
        <v>1096.1346550855992</v>
      </c>
      <c r="W587" s="221">
        <f t="shared" si="63"/>
        <v>26513.796777442094</v>
      </c>
      <c r="X587" s="221">
        <v>0</v>
      </c>
      <c r="Y587" s="222">
        <v>0</v>
      </c>
      <c r="Z587" s="222">
        <v>0</v>
      </c>
      <c r="AA587" s="222">
        <v>0</v>
      </c>
      <c r="AB587" s="222">
        <v>0</v>
      </c>
      <c r="AC587" s="222">
        <v>0</v>
      </c>
      <c r="AD587" s="222">
        <v>0</v>
      </c>
      <c r="AE587" s="222">
        <v>1688</v>
      </c>
      <c r="AF587" s="221">
        <f t="shared" si="65"/>
        <v>26513.796777442094</v>
      </c>
      <c r="AG587" s="222">
        <v>0</v>
      </c>
      <c r="AH587" s="221">
        <v>0</v>
      </c>
      <c r="AI587" s="222">
        <v>0</v>
      </c>
      <c r="AJ587" s="221">
        <v>0</v>
      </c>
      <c r="AK587" s="222">
        <v>0</v>
      </c>
      <c r="AL587" s="222">
        <v>0</v>
      </c>
      <c r="AM587" s="222">
        <v>0</v>
      </c>
      <c r="AN587" s="222"/>
      <c r="AO587" s="222">
        <v>0</v>
      </c>
    </row>
    <row r="588" spans="1:41" s="223" customFormat="1" ht="36" customHeight="1" x14ac:dyDescent="0.25">
      <c r="A588" s="223">
        <v>1</v>
      </c>
      <c r="B588" s="225">
        <f>SUBTOTAL(103,$A$552:A588)</f>
        <v>37</v>
      </c>
      <c r="C588" s="215" t="s">
        <v>1377</v>
      </c>
      <c r="D588" s="217">
        <v>1917</v>
      </c>
      <c r="E588" s="217"/>
      <c r="F588" s="226" t="s">
        <v>267</v>
      </c>
      <c r="G588" s="217">
        <v>3</v>
      </c>
      <c r="H588" s="217" t="s">
        <v>303</v>
      </c>
      <c r="I588" s="218">
        <v>1376.9</v>
      </c>
      <c r="J588" s="218">
        <v>1164.9000000000001</v>
      </c>
      <c r="K588" s="218">
        <v>779.2</v>
      </c>
      <c r="L588" s="219">
        <v>40</v>
      </c>
      <c r="M588" s="217" t="s">
        <v>265</v>
      </c>
      <c r="N588" s="217" t="s">
        <v>269</v>
      </c>
      <c r="O588" s="220" t="s">
        <v>1380</v>
      </c>
      <c r="P588" s="190">
        <v>4364500</v>
      </c>
      <c r="Q588" s="190">
        <v>0</v>
      </c>
      <c r="R588" s="190">
        <v>0</v>
      </c>
      <c r="S588" s="190">
        <f t="shared" si="62"/>
        <v>4364500</v>
      </c>
      <c r="T588" s="190">
        <f t="shared" si="59"/>
        <v>3169.8017285205897</v>
      </c>
      <c r="U588" s="190">
        <v>4187.5388190863532</v>
      </c>
      <c r="V588" s="221">
        <f t="shared" si="61"/>
        <v>1017.7370905657635</v>
      </c>
      <c r="W588" s="221">
        <f t="shared" si="63"/>
        <v>5120.1745224780298</v>
      </c>
      <c r="X588" s="221">
        <v>0</v>
      </c>
      <c r="Y588" s="222">
        <v>0</v>
      </c>
      <c r="Z588" s="222">
        <v>0</v>
      </c>
      <c r="AA588" s="222">
        <v>0</v>
      </c>
      <c r="AB588" s="222">
        <v>0</v>
      </c>
      <c r="AC588" s="222">
        <v>0</v>
      </c>
      <c r="AD588" s="222">
        <v>0</v>
      </c>
      <c r="AE588" s="222">
        <v>1130</v>
      </c>
      <c r="AF588" s="221">
        <f t="shared" si="65"/>
        <v>5120.1745224780298</v>
      </c>
      <c r="AG588" s="222">
        <v>0</v>
      </c>
      <c r="AH588" s="221">
        <v>0</v>
      </c>
      <c r="AI588" s="222">
        <v>0</v>
      </c>
      <c r="AJ588" s="221">
        <v>0</v>
      </c>
      <c r="AK588" s="222">
        <v>0</v>
      </c>
      <c r="AL588" s="222">
        <v>0</v>
      </c>
      <c r="AM588" s="222">
        <v>0</v>
      </c>
      <c r="AN588" s="222"/>
      <c r="AO588" s="222">
        <v>0</v>
      </c>
    </row>
    <row r="589" spans="1:41" s="223" customFormat="1" ht="36" customHeight="1" x14ac:dyDescent="0.25">
      <c r="A589" s="223">
        <v>1</v>
      </c>
      <c r="B589" s="225">
        <f>SUBTOTAL(103,$A$552:A589)</f>
        <v>38</v>
      </c>
      <c r="C589" s="215" t="s">
        <v>1378</v>
      </c>
      <c r="D589" s="217">
        <v>1961</v>
      </c>
      <c r="E589" s="217"/>
      <c r="F589" s="226" t="s">
        <v>267</v>
      </c>
      <c r="G589" s="217" t="s">
        <v>308</v>
      </c>
      <c r="H589" s="217" t="s">
        <v>303</v>
      </c>
      <c r="I589" s="218">
        <v>1478.4</v>
      </c>
      <c r="J589" s="218">
        <v>1363.8</v>
      </c>
      <c r="K589" s="218">
        <v>1044.5999999999999</v>
      </c>
      <c r="L589" s="219">
        <v>50</v>
      </c>
      <c r="M589" s="217" t="s">
        <v>265</v>
      </c>
      <c r="N589" s="217" t="s">
        <v>269</v>
      </c>
      <c r="O589" s="220" t="s">
        <v>1395</v>
      </c>
      <c r="P589" s="190">
        <v>3434732.13</v>
      </c>
      <c r="Q589" s="190">
        <v>0</v>
      </c>
      <c r="R589" s="190">
        <v>0</v>
      </c>
      <c r="S589" s="190">
        <f t="shared" si="62"/>
        <v>3434732.13</v>
      </c>
      <c r="T589" s="190">
        <f t="shared" ref="T589:T652" si="66">P589/I589</f>
        <v>2323.2766030844155</v>
      </c>
      <c r="U589" s="190">
        <v>2773.1676136363635</v>
      </c>
      <c r="V589" s="221">
        <f t="shared" si="61"/>
        <v>449.89101055194806</v>
      </c>
      <c r="W589" s="221">
        <f t="shared" si="63"/>
        <v>3190.3517045454541</v>
      </c>
      <c r="X589" s="221">
        <v>0</v>
      </c>
      <c r="Y589" s="222">
        <v>0</v>
      </c>
      <c r="Z589" s="222">
        <v>0</v>
      </c>
      <c r="AA589" s="222">
        <v>0</v>
      </c>
      <c r="AB589" s="222">
        <v>0</v>
      </c>
      <c r="AC589" s="222">
        <v>0</v>
      </c>
      <c r="AD589" s="222">
        <v>0</v>
      </c>
      <c r="AE589" s="222">
        <v>756</v>
      </c>
      <c r="AF589" s="221">
        <f t="shared" si="65"/>
        <v>3190.3517045454541</v>
      </c>
      <c r="AG589" s="222">
        <v>0</v>
      </c>
      <c r="AH589" s="221">
        <v>0</v>
      </c>
      <c r="AI589" s="222">
        <v>0</v>
      </c>
      <c r="AJ589" s="221">
        <v>0</v>
      </c>
      <c r="AK589" s="222">
        <v>0</v>
      </c>
      <c r="AL589" s="222">
        <v>0</v>
      </c>
      <c r="AM589" s="222">
        <v>0</v>
      </c>
      <c r="AN589" s="222"/>
      <c r="AO589" s="222">
        <v>0</v>
      </c>
    </row>
    <row r="590" spans="1:41" s="223" customFormat="1" ht="36" customHeight="1" x14ac:dyDescent="0.25">
      <c r="A590" s="223">
        <v>1</v>
      </c>
      <c r="B590" s="225">
        <f>SUBTOTAL(103,$A$552:A590)</f>
        <v>39</v>
      </c>
      <c r="C590" s="215" t="s">
        <v>499</v>
      </c>
      <c r="D590" s="217">
        <v>1960</v>
      </c>
      <c r="E590" s="217"/>
      <c r="F590" s="226" t="s">
        <v>267</v>
      </c>
      <c r="G590" s="217">
        <v>5</v>
      </c>
      <c r="H590" s="217" t="s">
        <v>312</v>
      </c>
      <c r="I590" s="218">
        <v>3202.4</v>
      </c>
      <c r="J590" s="218">
        <v>2438.9</v>
      </c>
      <c r="K590" s="218">
        <v>2438.9</v>
      </c>
      <c r="L590" s="219">
        <v>120</v>
      </c>
      <c r="M590" s="217" t="s">
        <v>265</v>
      </c>
      <c r="N590" s="217" t="s">
        <v>269</v>
      </c>
      <c r="O590" s="220" t="s">
        <v>1086</v>
      </c>
      <c r="P590" s="190">
        <v>5709375</v>
      </c>
      <c r="Q590" s="190">
        <v>0</v>
      </c>
      <c r="R590" s="190">
        <v>0</v>
      </c>
      <c r="S590" s="190">
        <f t="shared" si="62"/>
        <v>5709375</v>
      </c>
      <c r="T590" s="190">
        <f t="shared" si="66"/>
        <v>1782.8425555833126</v>
      </c>
      <c r="U590" s="190">
        <v>4650.5989882588065</v>
      </c>
      <c r="V590" s="221">
        <f t="shared" si="61"/>
        <v>2867.7564326754937</v>
      </c>
      <c r="W590" s="221">
        <f t="shared" si="63"/>
        <v>1305.2928116412688</v>
      </c>
      <c r="X590" s="221">
        <v>0</v>
      </c>
      <c r="Y590" s="222">
        <v>0</v>
      </c>
      <c r="Z590" s="222">
        <v>0</v>
      </c>
      <c r="AA590" s="222">
        <v>0</v>
      </c>
      <c r="AB590" s="222">
        <v>0</v>
      </c>
      <c r="AC590" s="222">
        <v>0</v>
      </c>
      <c r="AD590" s="222">
        <v>0</v>
      </c>
      <c r="AE590" s="222">
        <v>670</v>
      </c>
      <c r="AF590" s="221">
        <f t="shared" si="65"/>
        <v>1305.2928116412688</v>
      </c>
      <c r="AG590" s="222">
        <v>0</v>
      </c>
      <c r="AH590" s="221">
        <v>0</v>
      </c>
      <c r="AI590" s="222">
        <v>0</v>
      </c>
      <c r="AJ590" s="221">
        <v>0</v>
      </c>
      <c r="AK590" s="222">
        <v>0</v>
      </c>
      <c r="AL590" s="222">
        <v>0</v>
      </c>
      <c r="AM590" s="222">
        <v>0</v>
      </c>
      <c r="AN590" s="222"/>
      <c r="AO590" s="222">
        <v>0</v>
      </c>
    </row>
    <row r="591" spans="1:41" s="223" customFormat="1" ht="36" customHeight="1" x14ac:dyDescent="0.25">
      <c r="A591" s="223">
        <v>1</v>
      </c>
      <c r="B591" s="225">
        <f>SUBTOTAL(103,$A$552:A591)</f>
        <v>40</v>
      </c>
      <c r="C591" s="215" t="s">
        <v>1064</v>
      </c>
      <c r="D591" s="217">
        <v>1941</v>
      </c>
      <c r="E591" s="217"/>
      <c r="F591" s="226" t="s">
        <v>267</v>
      </c>
      <c r="G591" s="217">
        <v>3</v>
      </c>
      <c r="H591" s="217" t="s">
        <v>303</v>
      </c>
      <c r="I591" s="218">
        <v>1265</v>
      </c>
      <c r="J591" s="218">
        <v>1152.5999999999999</v>
      </c>
      <c r="K591" s="218">
        <v>1105.5</v>
      </c>
      <c r="L591" s="219">
        <v>60</v>
      </c>
      <c r="M591" s="217" t="s">
        <v>265</v>
      </c>
      <c r="N591" s="217" t="s">
        <v>269</v>
      </c>
      <c r="O591" s="220" t="s">
        <v>1072</v>
      </c>
      <c r="P591" s="190">
        <v>2783418.81</v>
      </c>
      <c r="Q591" s="190">
        <v>0</v>
      </c>
      <c r="R591" s="190">
        <v>0</v>
      </c>
      <c r="S591" s="190">
        <f t="shared" si="62"/>
        <v>2783418.81</v>
      </c>
      <c r="T591" s="190">
        <f t="shared" si="66"/>
        <v>2200.3310750988144</v>
      </c>
      <c r="U591" s="190">
        <v>5057.4118577075096</v>
      </c>
      <c r="V591" s="221">
        <f t="shared" si="61"/>
        <v>2857.0807826086952</v>
      </c>
      <c r="W591" s="221">
        <f t="shared" si="63"/>
        <v>1341.7355458498023</v>
      </c>
      <c r="X591" s="221">
        <v>0</v>
      </c>
      <c r="Y591" s="222">
        <v>0</v>
      </c>
      <c r="Z591" s="222">
        <v>0</v>
      </c>
      <c r="AA591" s="222">
        <v>0</v>
      </c>
      <c r="AB591" s="222">
        <v>0</v>
      </c>
      <c r="AC591" s="222">
        <v>0</v>
      </c>
      <c r="AD591" s="222">
        <v>0</v>
      </c>
      <c r="AE591" s="222">
        <v>272.05</v>
      </c>
      <c r="AF591" s="221">
        <f t="shared" si="65"/>
        <v>1341.7355458498023</v>
      </c>
      <c r="AG591" s="222">
        <v>0</v>
      </c>
      <c r="AH591" s="221">
        <v>0</v>
      </c>
      <c r="AI591" s="222">
        <v>0</v>
      </c>
      <c r="AJ591" s="221">
        <v>0</v>
      </c>
      <c r="AK591" s="222">
        <v>0</v>
      </c>
      <c r="AL591" s="222">
        <v>0</v>
      </c>
      <c r="AM591" s="222">
        <v>0</v>
      </c>
      <c r="AN591" s="222"/>
      <c r="AO591" s="222">
        <v>0</v>
      </c>
    </row>
    <row r="592" spans="1:41" s="223" customFormat="1" ht="36" customHeight="1" x14ac:dyDescent="0.25">
      <c r="A592" s="223">
        <v>1</v>
      </c>
      <c r="B592" s="225">
        <f>SUBTOTAL(103,$A$552:A592)</f>
        <v>41</v>
      </c>
      <c r="C592" s="215" t="s">
        <v>1397</v>
      </c>
      <c r="D592" s="217">
        <v>1961</v>
      </c>
      <c r="E592" s="217"/>
      <c r="F592" s="226" t="s">
        <v>267</v>
      </c>
      <c r="G592" s="217" t="s">
        <v>371</v>
      </c>
      <c r="H592" s="217" t="s">
        <v>312</v>
      </c>
      <c r="I592" s="218">
        <v>2941.6</v>
      </c>
      <c r="J592" s="218">
        <v>2564.1</v>
      </c>
      <c r="K592" s="218">
        <v>2365.9</v>
      </c>
      <c r="L592" s="219">
        <v>130</v>
      </c>
      <c r="M592" s="217" t="s">
        <v>265</v>
      </c>
      <c r="N592" s="217" t="s">
        <v>269</v>
      </c>
      <c r="O592" s="220" t="s">
        <v>1381</v>
      </c>
      <c r="P592" s="190">
        <v>3863646.31</v>
      </c>
      <c r="Q592" s="190">
        <v>0</v>
      </c>
      <c r="R592" s="190">
        <v>0</v>
      </c>
      <c r="S592" s="190">
        <f t="shared" si="62"/>
        <v>3863646.31</v>
      </c>
      <c r="T592" s="190">
        <f t="shared" si="66"/>
        <v>1313.4506085123742</v>
      </c>
      <c r="U592" s="190">
        <v>1974.8771612047865</v>
      </c>
      <c r="V592" s="221">
        <f t="shared" si="61"/>
        <v>661.42655269241232</v>
      </c>
      <c r="W592" s="221">
        <f t="shared" si="63"/>
        <v>1879.1386524340494</v>
      </c>
      <c r="X592" s="221">
        <v>0</v>
      </c>
      <c r="Y592" s="222">
        <v>0</v>
      </c>
      <c r="Z592" s="222">
        <v>0</v>
      </c>
      <c r="AA592" s="222">
        <v>0</v>
      </c>
      <c r="AB592" s="222">
        <v>0</v>
      </c>
      <c r="AC592" s="222">
        <v>0</v>
      </c>
      <c r="AD592" s="222">
        <v>0</v>
      </c>
      <c r="AE592" s="222">
        <v>886</v>
      </c>
      <c r="AF592" s="221">
        <f t="shared" si="65"/>
        <v>1879.1386524340494</v>
      </c>
      <c r="AG592" s="222">
        <v>0</v>
      </c>
      <c r="AH592" s="221">
        <v>0</v>
      </c>
      <c r="AI592" s="222">
        <v>0</v>
      </c>
      <c r="AJ592" s="221">
        <v>0</v>
      </c>
      <c r="AK592" s="222">
        <v>0</v>
      </c>
      <c r="AL592" s="222">
        <v>0</v>
      </c>
      <c r="AM592" s="222">
        <v>0</v>
      </c>
      <c r="AN592" s="222"/>
      <c r="AO592" s="222">
        <v>0</v>
      </c>
    </row>
    <row r="593" spans="1:41" s="223" customFormat="1" ht="36" customHeight="1" x14ac:dyDescent="0.25">
      <c r="A593" s="223">
        <v>1</v>
      </c>
      <c r="B593" s="225">
        <f>SUBTOTAL(103,$A$552:A593)</f>
        <v>42</v>
      </c>
      <c r="C593" s="215" t="s">
        <v>1370</v>
      </c>
      <c r="D593" s="217">
        <v>1973</v>
      </c>
      <c r="E593" s="217"/>
      <c r="F593" s="226" t="s">
        <v>267</v>
      </c>
      <c r="G593" s="217">
        <v>9</v>
      </c>
      <c r="H593" s="217" t="s">
        <v>304</v>
      </c>
      <c r="I593" s="218">
        <v>1958.4</v>
      </c>
      <c r="J593" s="218">
        <v>1958.4</v>
      </c>
      <c r="K593" s="218">
        <v>1941.8</v>
      </c>
      <c r="L593" s="219">
        <v>92</v>
      </c>
      <c r="M593" s="217" t="s">
        <v>265</v>
      </c>
      <c r="N593" s="217" t="s">
        <v>269</v>
      </c>
      <c r="O593" s="220" t="s">
        <v>1382</v>
      </c>
      <c r="P593" s="190">
        <v>1040953.78</v>
      </c>
      <c r="Q593" s="190">
        <v>0</v>
      </c>
      <c r="R593" s="190">
        <v>0</v>
      </c>
      <c r="S593" s="190">
        <f t="shared" si="62"/>
        <v>1040953.78</v>
      </c>
      <c r="T593" s="190">
        <f t="shared" si="66"/>
        <v>531.53277165032682</v>
      </c>
      <c r="U593" s="190">
        <v>2104.4022671568628</v>
      </c>
      <c r="V593" s="221">
        <f t="shared" si="61"/>
        <v>1572.8694955065359</v>
      </c>
      <c r="W593" s="221">
        <f t="shared" si="63"/>
        <v>2007.0022977941176</v>
      </c>
      <c r="X593" s="221">
        <v>0</v>
      </c>
      <c r="Y593" s="222">
        <v>0</v>
      </c>
      <c r="Z593" s="222">
        <v>0</v>
      </c>
      <c r="AA593" s="222">
        <v>0</v>
      </c>
      <c r="AB593" s="222">
        <v>0</v>
      </c>
      <c r="AC593" s="222">
        <v>0</v>
      </c>
      <c r="AD593" s="222">
        <v>0</v>
      </c>
      <c r="AE593" s="222">
        <v>630</v>
      </c>
      <c r="AF593" s="221">
        <f t="shared" si="65"/>
        <v>2007.0022977941176</v>
      </c>
      <c r="AG593" s="222">
        <v>0</v>
      </c>
      <c r="AH593" s="221">
        <v>0</v>
      </c>
      <c r="AI593" s="222">
        <v>0</v>
      </c>
      <c r="AJ593" s="221">
        <v>0</v>
      </c>
      <c r="AK593" s="222">
        <v>0</v>
      </c>
      <c r="AL593" s="222">
        <v>0</v>
      </c>
      <c r="AM593" s="222">
        <v>0</v>
      </c>
      <c r="AN593" s="222"/>
      <c r="AO593" s="222">
        <v>0</v>
      </c>
    </row>
    <row r="594" spans="1:41" s="223" customFormat="1" ht="36" customHeight="1" x14ac:dyDescent="0.25">
      <c r="A594" s="223">
        <v>1</v>
      </c>
      <c r="B594" s="225">
        <f>SUBTOTAL(103,$A$552:A594)</f>
        <v>43</v>
      </c>
      <c r="C594" s="215" t="s">
        <v>1112</v>
      </c>
      <c r="D594" s="217">
        <v>1950</v>
      </c>
      <c r="E594" s="217"/>
      <c r="F594" s="226" t="s">
        <v>267</v>
      </c>
      <c r="G594" s="217">
        <v>2</v>
      </c>
      <c r="H594" s="217" t="s">
        <v>303</v>
      </c>
      <c r="I594" s="218">
        <v>814.1</v>
      </c>
      <c r="J594" s="218">
        <v>739.6</v>
      </c>
      <c r="K594" s="218">
        <v>739.6</v>
      </c>
      <c r="L594" s="219">
        <v>34</v>
      </c>
      <c r="M594" s="217" t="s">
        <v>265</v>
      </c>
      <c r="N594" s="217" t="s">
        <v>269</v>
      </c>
      <c r="O594" s="220" t="s">
        <v>1395</v>
      </c>
      <c r="P594" s="190">
        <v>1338055.4100000001</v>
      </c>
      <c r="Q594" s="190">
        <v>0</v>
      </c>
      <c r="R594" s="190">
        <v>0</v>
      </c>
      <c r="S594" s="190">
        <f t="shared" si="62"/>
        <v>1338055.4100000001</v>
      </c>
      <c r="T594" s="190">
        <f t="shared" si="66"/>
        <v>1643.6007984277117</v>
      </c>
      <c r="U594" s="190">
        <v>3029.0628669696598</v>
      </c>
      <c r="V594" s="221">
        <f t="shared" si="61"/>
        <v>1385.4620685419482</v>
      </c>
      <c r="W594" s="221">
        <f t="shared" si="63"/>
        <v>8350.2227441346258</v>
      </c>
      <c r="X594" s="221">
        <v>0</v>
      </c>
      <c r="Y594" s="222">
        <v>0</v>
      </c>
      <c r="Z594" s="222">
        <v>0</v>
      </c>
      <c r="AA594" s="222">
        <v>0</v>
      </c>
      <c r="AB594" s="222">
        <v>0</v>
      </c>
      <c r="AC594" s="222">
        <v>0</v>
      </c>
      <c r="AD594" s="222">
        <v>0</v>
      </c>
      <c r="AE594" s="222">
        <v>1089.5999999999999</v>
      </c>
      <c r="AF594" s="221">
        <f t="shared" si="65"/>
        <v>8350.2227441346258</v>
      </c>
      <c r="AG594" s="222">
        <v>0</v>
      </c>
      <c r="AH594" s="221">
        <v>0</v>
      </c>
      <c r="AI594" s="222">
        <v>0</v>
      </c>
      <c r="AJ594" s="221">
        <v>0</v>
      </c>
      <c r="AK594" s="222">
        <v>0</v>
      </c>
      <c r="AL594" s="222">
        <v>0</v>
      </c>
      <c r="AM594" s="222">
        <v>0</v>
      </c>
      <c r="AN594" s="222"/>
      <c r="AO594" s="222">
        <v>0</v>
      </c>
    </row>
    <row r="595" spans="1:41" s="223" customFormat="1" ht="36" customHeight="1" x14ac:dyDescent="0.25">
      <c r="A595" s="223">
        <v>1</v>
      </c>
      <c r="B595" s="225">
        <f>SUBTOTAL(103,$A$552:A595)</f>
        <v>44</v>
      </c>
      <c r="C595" s="215" t="s">
        <v>1113</v>
      </c>
      <c r="D595" s="217">
        <v>1958</v>
      </c>
      <c r="E595" s="217"/>
      <c r="F595" s="226" t="s">
        <v>267</v>
      </c>
      <c r="G595" s="217">
        <v>2</v>
      </c>
      <c r="H595" s="217" t="s">
        <v>303</v>
      </c>
      <c r="I595" s="218">
        <v>515.4</v>
      </c>
      <c r="J595" s="218">
        <v>454.3</v>
      </c>
      <c r="K595" s="218">
        <v>454.3</v>
      </c>
      <c r="L595" s="219">
        <v>21</v>
      </c>
      <c r="M595" s="217" t="s">
        <v>265</v>
      </c>
      <c r="N595" s="217" t="s">
        <v>269</v>
      </c>
      <c r="O595" s="220" t="s">
        <v>1380</v>
      </c>
      <c r="P595" s="190">
        <v>221655.15999999997</v>
      </c>
      <c r="Q595" s="190">
        <v>0</v>
      </c>
      <c r="R595" s="190">
        <v>0</v>
      </c>
      <c r="S595" s="190">
        <f t="shared" si="62"/>
        <v>221655.15999999997</v>
      </c>
      <c r="T595" s="190">
        <f t="shared" si="66"/>
        <v>430.06433837795885</v>
      </c>
      <c r="U595" s="190">
        <v>430.06433837795885</v>
      </c>
      <c r="V595" s="221">
        <f t="shared" ref="V595:V637" si="67">U595-T595</f>
        <v>0</v>
      </c>
      <c r="W595" s="221">
        <f t="shared" si="63"/>
        <v>28896.154831199074</v>
      </c>
      <c r="X595" s="221">
        <v>0</v>
      </c>
      <c r="Y595" s="222">
        <v>0</v>
      </c>
      <c r="Z595" s="222">
        <v>0</v>
      </c>
      <c r="AA595" s="222">
        <v>0</v>
      </c>
      <c r="AB595" s="222">
        <v>0</v>
      </c>
      <c r="AC595" s="222">
        <v>0</v>
      </c>
      <c r="AD595" s="222">
        <v>0</v>
      </c>
      <c r="AE595" s="222">
        <v>0</v>
      </c>
      <c r="AF595" s="221">
        <v>0</v>
      </c>
      <c r="AG595" s="222">
        <v>0</v>
      </c>
      <c r="AH595" s="221">
        <v>0</v>
      </c>
      <c r="AI595" s="222">
        <v>2002</v>
      </c>
      <c r="AJ595" s="221">
        <f>7439.1*AI595/I595</f>
        <v>28896.154831199074</v>
      </c>
      <c r="AK595" s="222">
        <v>0</v>
      </c>
      <c r="AL595" s="222">
        <v>0</v>
      </c>
      <c r="AM595" s="222">
        <v>0</v>
      </c>
      <c r="AN595" s="222"/>
      <c r="AO595" s="222">
        <v>0</v>
      </c>
    </row>
    <row r="596" spans="1:41" s="223" customFormat="1" ht="36" customHeight="1" x14ac:dyDescent="0.25">
      <c r="A596" s="223">
        <v>1</v>
      </c>
      <c r="B596" s="225">
        <f>SUBTOTAL(103,$A$552:A596)</f>
        <v>45</v>
      </c>
      <c r="C596" s="215" t="s">
        <v>1115</v>
      </c>
      <c r="D596" s="217" t="s">
        <v>367</v>
      </c>
      <c r="E596" s="217"/>
      <c r="F596" s="226" t="s">
        <v>267</v>
      </c>
      <c r="G596" s="217" t="s">
        <v>308</v>
      </c>
      <c r="H596" s="217" t="s">
        <v>303</v>
      </c>
      <c r="I596" s="218">
        <v>1341.9</v>
      </c>
      <c r="J596" s="218">
        <v>1245.7</v>
      </c>
      <c r="K596" s="218">
        <v>1245.7</v>
      </c>
      <c r="L596" s="219">
        <v>62</v>
      </c>
      <c r="M596" s="217" t="s">
        <v>265</v>
      </c>
      <c r="N596" s="217" t="s">
        <v>269</v>
      </c>
      <c r="O596" s="220" t="s">
        <v>1639</v>
      </c>
      <c r="P596" s="190">
        <v>2839946.57</v>
      </c>
      <c r="Q596" s="190">
        <v>0</v>
      </c>
      <c r="R596" s="190">
        <v>0</v>
      </c>
      <c r="S596" s="190">
        <f t="shared" si="62"/>
        <v>2839946.57</v>
      </c>
      <c r="T596" s="190">
        <f t="shared" si="66"/>
        <v>2116.3622997242715</v>
      </c>
      <c r="U596" s="190">
        <v>2198.8159922497948</v>
      </c>
      <c r="V596" s="221">
        <f t="shared" si="67"/>
        <v>82.453692525523365</v>
      </c>
      <c r="W596" s="221">
        <f t="shared" si="63"/>
        <v>4767.587748714509</v>
      </c>
      <c r="X596" s="221">
        <v>0</v>
      </c>
      <c r="Y596" s="222">
        <v>0</v>
      </c>
      <c r="Z596" s="222">
        <v>0</v>
      </c>
      <c r="AA596" s="222">
        <v>0</v>
      </c>
      <c r="AB596" s="222">
        <v>0</v>
      </c>
      <c r="AC596" s="222">
        <v>0</v>
      </c>
      <c r="AD596" s="222">
        <v>0</v>
      </c>
      <c r="AE596" s="222">
        <v>0</v>
      </c>
      <c r="AF596" s="221">
        <v>0</v>
      </c>
      <c r="AG596" s="222">
        <v>0</v>
      </c>
      <c r="AH596" s="221">
        <v>0</v>
      </c>
      <c r="AI596" s="222">
        <v>860</v>
      </c>
      <c r="AJ596" s="221">
        <f>7439.1*AI596/I596</f>
        <v>4767.587748714509</v>
      </c>
      <c r="AK596" s="222">
        <v>0</v>
      </c>
      <c r="AL596" s="222">
        <v>0</v>
      </c>
      <c r="AM596" s="222">
        <v>0</v>
      </c>
      <c r="AN596" s="222"/>
      <c r="AO596" s="222">
        <v>0</v>
      </c>
    </row>
    <row r="597" spans="1:41" s="223" customFormat="1" ht="36" customHeight="1" x14ac:dyDescent="0.25">
      <c r="A597" s="223">
        <v>1</v>
      </c>
      <c r="B597" s="225">
        <f>SUBTOTAL(103,$A$552:A597)</f>
        <v>46</v>
      </c>
      <c r="C597" s="215" t="s">
        <v>1118</v>
      </c>
      <c r="D597" s="217">
        <v>1962</v>
      </c>
      <c r="E597" s="217"/>
      <c r="F597" s="226" t="s">
        <v>267</v>
      </c>
      <c r="G597" s="217">
        <v>5</v>
      </c>
      <c r="H597" s="217" t="s">
        <v>308</v>
      </c>
      <c r="I597" s="218">
        <v>3393.1</v>
      </c>
      <c r="J597" s="218">
        <v>3313.4</v>
      </c>
      <c r="K597" s="218">
        <v>2812</v>
      </c>
      <c r="L597" s="219">
        <v>148</v>
      </c>
      <c r="M597" s="217" t="s">
        <v>265</v>
      </c>
      <c r="N597" s="217" t="s">
        <v>269</v>
      </c>
      <c r="O597" s="220" t="s">
        <v>1321</v>
      </c>
      <c r="P597" s="190">
        <v>3246745.9499999997</v>
      </c>
      <c r="Q597" s="190">
        <v>0</v>
      </c>
      <c r="R597" s="190">
        <v>0</v>
      </c>
      <c r="S597" s="190">
        <f t="shared" si="62"/>
        <v>3246745.9499999997</v>
      </c>
      <c r="T597" s="190">
        <f t="shared" si="66"/>
        <v>956.86715687719186</v>
      </c>
      <c r="U597" s="190">
        <v>2096.2883793581091</v>
      </c>
      <c r="V597" s="221">
        <f t="shared" si="67"/>
        <v>1139.4212224809171</v>
      </c>
      <c r="W597" s="221">
        <f t="shared" si="63"/>
        <v>1528.1477412985175</v>
      </c>
      <c r="X597" s="221">
        <v>0</v>
      </c>
      <c r="Y597" s="222">
        <v>0</v>
      </c>
      <c r="Z597" s="222">
        <v>0</v>
      </c>
      <c r="AA597" s="222">
        <v>0</v>
      </c>
      <c r="AB597" s="222">
        <v>0</v>
      </c>
      <c r="AC597" s="222">
        <v>0</v>
      </c>
      <c r="AD597" s="222">
        <v>0</v>
      </c>
      <c r="AE597" s="222">
        <v>831.1</v>
      </c>
      <c r="AF597" s="221">
        <f>6238.91*AE597/I597</f>
        <v>1528.1477412985175</v>
      </c>
      <c r="AG597" s="222">
        <v>0</v>
      </c>
      <c r="AH597" s="221">
        <v>0</v>
      </c>
      <c r="AI597" s="222">
        <v>0</v>
      </c>
      <c r="AJ597" s="221">
        <v>0</v>
      </c>
      <c r="AK597" s="222">
        <v>0</v>
      </c>
      <c r="AL597" s="222">
        <v>0</v>
      </c>
      <c r="AM597" s="222">
        <v>0</v>
      </c>
      <c r="AN597" s="222"/>
      <c r="AO597" s="222">
        <v>0</v>
      </c>
    </row>
    <row r="598" spans="1:41" s="223" customFormat="1" ht="36" customHeight="1" x14ac:dyDescent="0.25">
      <c r="A598" s="223">
        <v>1</v>
      </c>
      <c r="B598" s="225">
        <f>SUBTOTAL(103,$A$552:A598)</f>
        <v>47</v>
      </c>
      <c r="C598" s="215" t="s">
        <v>1129</v>
      </c>
      <c r="D598" s="217">
        <v>1962</v>
      </c>
      <c r="E598" s="217"/>
      <c r="F598" s="226" t="s">
        <v>267</v>
      </c>
      <c r="G598" s="217">
        <v>2</v>
      </c>
      <c r="H598" s="217" t="s">
        <v>303</v>
      </c>
      <c r="I598" s="218">
        <v>628.29999999999995</v>
      </c>
      <c r="J598" s="218">
        <v>628.29999999999995</v>
      </c>
      <c r="K598" s="218">
        <v>628.29999999999995</v>
      </c>
      <c r="L598" s="219">
        <v>38</v>
      </c>
      <c r="M598" s="217" t="s">
        <v>265</v>
      </c>
      <c r="N598" s="217" t="s">
        <v>266</v>
      </c>
      <c r="O598" s="220" t="s">
        <v>1320</v>
      </c>
      <c r="P598" s="190">
        <v>2490072.1</v>
      </c>
      <c r="Q598" s="190">
        <v>0</v>
      </c>
      <c r="R598" s="190">
        <v>0</v>
      </c>
      <c r="S598" s="190">
        <f t="shared" si="62"/>
        <v>2490072.1</v>
      </c>
      <c r="T598" s="190">
        <f t="shared" si="66"/>
        <v>3963.1897182874427</v>
      </c>
      <c r="U598" s="190">
        <v>5628.3370682794839</v>
      </c>
      <c r="V598" s="221">
        <f t="shared" si="67"/>
        <v>1665.1473499920412</v>
      </c>
      <c r="W598" s="221">
        <f t="shared" si="63"/>
        <v>6559.3846888429107</v>
      </c>
      <c r="X598" s="221">
        <v>0</v>
      </c>
      <c r="Y598" s="222">
        <v>0</v>
      </c>
      <c r="Z598" s="222">
        <v>0</v>
      </c>
      <c r="AA598" s="222">
        <v>0</v>
      </c>
      <c r="AB598" s="222">
        <v>0</v>
      </c>
      <c r="AC598" s="222">
        <v>0</v>
      </c>
      <c r="AD598" s="222">
        <v>0</v>
      </c>
      <c r="AE598" s="222">
        <v>0</v>
      </c>
      <c r="AF598" s="221">
        <v>0</v>
      </c>
      <c r="AG598" s="222">
        <v>0</v>
      </c>
      <c r="AH598" s="221">
        <v>0</v>
      </c>
      <c r="AI598" s="222">
        <v>554</v>
      </c>
      <c r="AJ598" s="221">
        <f>7439.1*AI598/I598</f>
        <v>6559.3846888429107</v>
      </c>
      <c r="AK598" s="222">
        <v>0</v>
      </c>
      <c r="AL598" s="222">
        <v>0</v>
      </c>
      <c r="AM598" s="222">
        <v>0</v>
      </c>
      <c r="AN598" s="222"/>
      <c r="AO598" s="222">
        <v>0</v>
      </c>
    </row>
    <row r="599" spans="1:41" s="223" customFormat="1" ht="36" customHeight="1" x14ac:dyDescent="0.25">
      <c r="A599" s="223">
        <v>1</v>
      </c>
      <c r="B599" s="225">
        <f>SUBTOTAL(103,$A$552:A599)</f>
        <v>48</v>
      </c>
      <c r="C599" s="215" t="s">
        <v>1130</v>
      </c>
      <c r="D599" s="217">
        <v>1964</v>
      </c>
      <c r="E599" s="217"/>
      <c r="F599" s="226" t="s">
        <v>267</v>
      </c>
      <c r="G599" s="217">
        <v>2</v>
      </c>
      <c r="H599" s="217" t="s">
        <v>303</v>
      </c>
      <c r="I599" s="218">
        <v>669.2</v>
      </c>
      <c r="J599" s="218">
        <v>667</v>
      </c>
      <c r="K599" s="218">
        <v>667</v>
      </c>
      <c r="L599" s="219">
        <v>30</v>
      </c>
      <c r="M599" s="217" t="s">
        <v>265</v>
      </c>
      <c r="N599" s="217" t="s">
        <v>269</v>
      </c>
      <c r="O599" s="220" t="s">
        <v>1320</v>
      </c>
      <c r="P599" s="190">
        <v>2875925.36</v>
      </c>
      <c r="Q599" s="190">
        <v>0</v>
      </c>
      <c r="R599" s="190">
        <v>0</v>
      </c>
      <c r="S599" s="190">
        <f t="shared" si="62"/>
        <v>2875925.36</v>
      </c>
      <c r="T599" s="190">
        <f t="shared" si="66"/>
        <v>4297.5573221757313</v>
      </c>
      <c r="U599" s="190">
        <v>6466.856694560669</v>
      </c>
      <c r="V599" s="221">
        <f t="shared" si="67"/>
        <v>2169.2993723849377</v>
      </c>
      <c r="W599" s="221">
        <f t="shared" si="63"/>
        <v>16944.962510460249</v>
      </c>
      <c r="X599" s="221">
        <v>0</v>
      </c>
      <c r="Y599" s="222">
        <v>0</v>
      </c>
      <c r="Z599" s="222">
        <v>0</v>
      </c>
      <c r="AA599" s="222">
        <v>0</v>
      </c>
      <c r="AB599" s="222">
        <v>0</v>
      </c>
      <c r="AC599" s="222">
        <v>0</v>
      </c>
      <c r="AD599" s="222">
        <v>0</v>
      </c>
      <c r="AE599" s="222">
        <v>0</v>
      </c>
      <c r="AF599" s="221">
        <v>0</v>
      </c>
      <c r="AG599" s="222">
        <v>0</v>
      </c>
      <c r="AH599" s="221">
        <v>0</v>
      </c>
      <c r="AI599" s="222">
        <v>1524.32</v>
      </c>
      <c r="AJ599" s="221">
        <f>7439.1*AI599/I599</f>
        <v>16944.962510460249</v>
      </c>
      <c r="AK599" s="222">
        <v>0</v>
      </c>
      <c r="AL599" s="222">
        <v>0</v>
      </c>
      <c r="AM599" s="222">
        <v>0</v>
      </c>
      <c r="AN599" s="222"/>
      <c r="AO599" s="222">
        <v>0</v>
      </c>
    </row>
    <row r="600" spans="1:41" s="223" customFormat="1" ht="36" customHeight="1" x14ac:dyDescent="0.25">
      <c r="A600" s="223">
        <v>1</v>
      </c>
      <c r="B600" s="225">
        <f>SUBTOTAL(103,$A$552:A600)</f>
        <v>49</v>
      </c>
      <c r="C600" s="215" t="s">
        <v>1612</v>
      </c>
      <c r="D600" s="217">
        <v>1966</v>
      </c>
      <c r="E600" s="217"/>
      <c r="F600" s="226" t="s">
        <v>311</v>
      </c>
      <c r="G600" s="217">
        <v>5</v>
      </c>
      <c r="H600" s="217" t="s">
        <v>308</v>
      </c>
      <c r="I600" s="218">
        <v>3858.2</v>
      </c>
      <c r="J600" s="218">
        <v>3557.3</v>
      </c>
      <c r="K600" s="218">
        <v>3557.3</v>
      </c>
      <c r="L600" s="219">
        <v>184</v>
      </c>
      <c r="M600" s="217" t="s">
        <v>265</v>
      </c>
      <c r="N600" s="217" t="s">
        <v>269</v>
      </c>
      <c r="O600" s="220" t="s">
        <v>1071</v>
      </c>
      <c r="P600" s="190">
        <v>3684450</v>
      </c>
      <c r="Q600" s="190">
        <v>0</v>
      </c>
      <c r="R600" s="190">
        <v>0</v>
      </c>
      <c r="S600" s="190">
        <f t="shared" si="62"/>
        <v>3684450</v>
      </c>
      <c r="T600" s="190">
        <f t="shared" si="66"/>
        <v>954.96604634285427</v>
      </c>
      <c r="U600" s="190">
        <v>1518.0472759317818</v>
      </c>
      <c r="V600" s="221">
        <f t="shared" si="67"/>
        <v>563.0812295889275</v>
      </c>
      <c r="W600" s="221">
        <f t="shared" si="63"/>
        <v>639.14780985952007</v>
      </c>
      <c r="X600" s="221">
        <v>0</v>
      </c>
      <c r="Y600" s="222">
        <v>0</v>
      </c>
      <c r="Z600" s="222">
        <v>0</v>
      </c>
      <c r="AA600" s="222">
        <v>0</v>
      </c>
      <c r="AB600" s="222">
        <v>0</v>
      </c>
      <c r="AC600" s="222">
        <v>0</v>
      </c>
      <c r="AD600" s="222">
        <v>0</v>
      </c>
      <c r="AE600" s="222">
        <v>0</v>
      </c>
      <c r="AF600" s="221">
        <v>0</v>
      </c>
      <c r="AG600" s="222">
        <v>278</v>
      </c>
      <c r="AH600" s="221">
        <f>8870.36*AG600/I600</f>
        <v>639.14780985952007</v>
      </c>
      <c r="AI600" s="222">
        <v>0</v>
      </c>
      <c r="AJ600" s="221">
        <v>0</v>
      </c>
      <c r="AK600" s="222">
        <v>0</v>
      </c>
      <c r="AL600" s="222">
        <v>0</v>
      </c>
      <c r="AM600" s="222">
        <v>0</v>
      </c>
      <c r="AN600" s="222"/>
      <c r="AO600" s="222">
        <v>0</v>
      </c>
    </row>
    <row r="601" spans="1:41" s="223" customFormat="1" ht="36" customHeight="1" x14ac:dyDescent="0.25">
      <c r="A601" s="223">
        <v>1</v>
      </c>
      <c r="B601" s="225">
        <f>SUBTOTAL(103,$A$552:A601)</f>
        <v>50</v>
      </c>
      <c r="C601" s="215" t="s">
        <v>1614</v>
      </c>
      <c r="D601" s="217">
        <v>1959</v>
      </c>
      <c r="E601" s="217"/>
      <c r="F601" s="226" t="s">
        <v>267</v>
      </c>
      <c r="G601" s="217">
        <v>3</v>
      </c>
      <c r="H601" s="217" t="s">
        <v>312</v>
      </c>
      <c r="I601" s="218">
        <v>1365.9</v>
      </c>
      <c r="J601" s="218">
        <v>1149.9000000000001</v>
      </c>
      <c r="K601" s="218">
        <v>1149.9000000000001</v>
      </c>
      <c r="L601" s="219">
        <v>40</v>
      </c>
      <c r="M601" s="217" t="s">
        <v>265</v>
      </c>
      <c r="N601" s="217" t="s">
        <v>269</v>
      </c>
      <c r="O601" s="220" t="s">
        <v>1394</v>
      </c>
      <c r="P601" s="190">
        <v>3158279.48</v>
      </c>
      <c r="Q601" s="190">
        <v>0</v>
      </c>
      <c r="R601" s="190">
        <v>0</v>
      </c>
      <c r="S601" s="190">
        <f t="shared" si="62"/>
        <v>3158279.48</v>
      </c>
      <c r="T601" s="190">
        <f t="shared" si="66"/>
        <v>2312.2333113697928</v>
      </c>
      <c r="U601" s="190">
        <v>7315.4690094443231</v>
      </c>
      <c r="V601" s="221">
        <f t="shared" si="67"/>
        <v>5003.2356980745299</v>
      </c>
      <c r="W601" s="221">
        <f>T601</f>
        <v>2312.2333113697928</v>
      </c>
      <c r="X601" s="221">
        <v>113.09</v>
      </c>
      <c r="Y601" s="222">
        <v>0</v>
      </c>
      <c r="Z601" s="222">
        <v>0</v>
      </c>
      <c r="AA601" s="222">
        <v>184.98</v>
      </c>
      <c r="AB601" s="222">
        <v>0</v>
      </c>
      <c r="AC601" s="222">
        <v>0</v>
      </c>
      <c r="AD601" s="222">
        <v>0</v>
      </c>
      <c r="AE601" s="222">
        <v>0</v>
      </c>
      <c r="AF601" s="221">
        <v>0</v>
      </c>
      <c r="AG601" s="222">
        <v>0</v>
      </c>
      <c r="AH601" s="221">
        <v>0</v>
      </c>
      <c r="AI601" s="222">
        <v>0</v>
      </c>
      <c r="AJ601" s="221">
        <v>0</v>
      </c>
      <c r="AK601" s="222">
        <v>0</v>
      </c>
      <c r="AL601" s="222">
        <v>0</v>
      </c>
      <c r="AM601" s="222">
        <v>0</v>
      </c>
      <c r="AN601" s="222"/>
      <c r="AO601" s="222">
        <v>0</v>
      </c>
    </row>
    <row r="602" spans="1:41" s="223" customFormat="1" ht="36" customHeight="1" x14ac:dyDescent="0.25">
      <c r="A602" s="223">
        <v>1</v>
      </c>
      <c r="B602" s="225">
        <f>SUBTOTAL(103,$A$552:A602)</f>
        <v>51</v>
      </c>
      <c r="C602" s="215" t="s">
        <v>1685</v>
      </c>
      <c r="D602" s="217">
        <v>1989</v>
      </c>
      <c r="E602" s="217"/>
      <c r="F602" s="226" t="s">
        <v>318</v>
      </c>
      <c r="G602" s="217">
        <v>7</v>
      </c>
      <c r="H602" s="217" t="s">
        <v>303</v>
      </c>
      <c r="I602" s="218">
        <v>4121.3999999999996</v>
      </c>
      <c r="J602" s="218">
        <v>3057</v>
      </c>
      <c r="K602" s="218">
        <v>3057</v>
      </c>
      <c r="L602" s="219">
        <v>163</v>
      </c>
      <c r="M602" s="217" t="s">
        <v>265</v>
      </c>
      <c r="N602" s="217" t="s">
        <v>269</v>
      </c>
      <c r="O602" s="220" t="s">
        <v>1688</v>
      </c>
      <c r="P602" s="190">
        <v>2934234.5</v>
      </c>
      <c r="Q602" s="190">
        <v>0</v>
      </c>
      <c r="R602" s="190">
        <v>0</v>
      </c>
      <c r="S602" s="190">
        <f t="shared" si="62"/>
        <v>2934234.5</v>
      </c>
      <c r="T602" s="190">
        <f t="shared" si="66"/>
        <v>711.9509147377106</v>
      </c>
      <c r="U602" s="190">
        <v>1120.7123792885914</v>
      </c>
      <c r="V602" s="221">
        <f t="shared" si="67"/>
        <v>408.76146455088076</v>
      </c>
      <c r="W602" s="221">
        <f t="shared" si="63"/>
        <v>686.34973407094674</v>
      </c>
      <c r="X602" s="221">
        <v>0</v>
      </c>
      <c r="Y602" s="222">
        <v>0</v>
      </c>
      <c r="Z602" s="222">
        <v>0</v>
      </c>
      <c r="AA602" s="222">
        <v>0</v>
      </c>
      <c r="AB602" s="222">
        <v>0</v>
      </c>
      <c r="AC602" s="222">
        <v>0</v>
      </c>
      <c r="AD602" s="222">
        <v>0</v>
      </c>
      <c r="AE602" s="222">
        <v>453.4</v>
      </c>
      <c r="AF602" s="221">
        <f>6238.91*AE602/I602</f>
        <v>686.34973407094674</v>
      </c>
      <c r="AG602" s="222">
        <v>0</v>
      </c>
      <c r="AH602" s="221">
        <v>0</v>
      </c>
      <c r="AI602" s="222">
        <v>0</v>
      </c>
      <c r="AJ602" s="221">
        <v>0</v>
      </c>
      <c r="AK602" s="222">
        <v>0</v>
      </c>
      <c r="AL602" s="222">
        <v>0</v>
      </c>
      <c r="AM602" s="222">
        <v>0</v>
      </c>
      <c r="AN602" s="222"/>
      <c r="AO602" s="222">
        <v>0</v>
      </c>
    </row>
    <row r="603" spans="1:41" s="223" customFormat="1" ht="36" customHeight="1" x14ac:dyDescent="0.25">
      <c r="A603" s="223">
        <v>1</v>
      </c>
      <c r="B603" s="225">
        <f>SUBTOTAL(103,$A$552:A603)</f>
        <v>52</v>
      </c>
      <c r="C603" s="215" t="s">
        <v>481</v>
      </c>
      <c r="D603" s="217">
        <v>1984</v>
      </c>
      <c r="E603" s="217"/>
      <c r="F603" s="226" t="s">
        <v>267</v>
      </c>
      <c r="G603" s="217">
        <v>12</v>
      </c>
      <c r="H603" s="217" t="s">
        <v>304</v>
      </c>
      <c r="I603" s="218">
        <v>6206.9</v>
      </c>
      <c r="J603" s="218">
        <v>5104.59</v>
      </c>
      <c r="K603" s="218">
        <v>5104.59</v>
      </c>
      <c r="L603" s="219">
        <v>242</v>
      </c>
      <c r="M603" s="217" t="s">
        <v>265</v>
      </c>
      <c r="N603" s="217" t="s">
        <v>269</v>
      </c>
      <c r="O603" s="220" t="s">
        <v>1071</v>
      </c>
      <c r="P603" s="190">
        <v>4050838.2899999996</v>
      </c>
      <c r="Q603" s="190">
        <v>0</v>
      </c>
      <c r="R603" s="190">
        <v>0</v>
      </c>
      <c r="S603" s="190">
        <f t="shared" si="62"/>
        <v>4050838.2899999996</v>
      </c>
      <c r="T603" s="190">
        <f t="shared" si="66"/>
        <v>652.63469525850257</v>
      </c>
      <c r="U603" s="190">
        <v>652.63469525850257</v>
      </c>
      <c r="V603" s="221">
        <f t="shared" si="67"/>
        <v>0</v>
      </c>
      <c r="W603" s="221">
        <f t="shared" si="63"/>
        <v>1746.0931044482752</v>
      </c>
      <c r="X603" s="221">
        <v>0</v>
      </c>
      <c r="Y603" s="222">
        <v>0</v>
      </c>
      <c r="Z603" s="222">
        <v>0</v>
      </c>
      <c r="AA603" s="222">
        <v>0</v>
      </c>
      <c r="AB603" s="222">
        <v>0</v>
      </c>
      <c r="AC603" s="222">
        <v>0</v>
      </c>
      <c r="AD603" s="222">
        <v>0</v>
      </c>
      <c r="AE603" s="222">
        <v>0</v>
      </c>
      <c r="AF603" s="221">
        <v>0</v>
      </c>
      <c r="AG603" s="222">
        <v>0</v>
      </c>
      <c r="AH603" s="221">
        <v>0</v>
      </c>
      <c r="AI603" s="222">
        <v>1389</v>
      </c>
      <c r="AJ603" s="221">
        <f>7802.61*AI603/I603</f>
        <v>1746.0931044482752</v>
      </c>
      <c r="AK603" s="222">
        <v>0</v>
      </c>
      <c r="AL603" s="222">
        <v>0</v>
      </c>
      <c r="AM603" s="222">
        <v>0</v>
      </c>
      <c r="AN603" s="222"/>
      <c r="AO603" s="222">
        <v>0</v>
      </c>
    </row>
    <row r="604" spans="1:41" s="223" customFormat="1" ht="36" customHeight="1" x14ac:dyDescent="0.25">
      <c r="A604" s="223">
        <v>1</v>
      </c>
      <c r="B604" s="225">
        <f>SUBTOTAL(103,$A$552:A604)</f>
        <v>53</v>
      </c>
      <c r="C604" s="215" t="s">
        <v>491</v>
      </c>
      <c r="D604" s="217">
        <v>1957</v>
      </c>
      <c r="E604" s="217"/>
      <c r="F604" s="226" t="s">
        <v>267</v>
      </c>
      <c r="G604" s="217">
        <v>2</v>
      </c>
      <c r="H604" s="217" t="s">
        <v>304</v>
      </c>
      <c r="I604" s="218">
        <v>718.26</v>
      </c>
      <c r="J604" s="218">
        <v>408.26</v>
      </c>
      <c r="K604" s="218">
        <v>408.26</v>
      </c>
      <c r="L604" s="219">
        <v>22</v>
      </c>
      <c r="M604" s="217" t="s">
        <v>265</v>
      </c>
      <c r="N604" s="217" t="s">
        <v>269</v>
      </c>
      <c r="O604" s="220" t="s">
        <v>1319</v>
      </c>
      <c r="P604" s="190">
        <v>1987488.72</v>
      </c>
      <c r="Q604" s="190">
        <v>0</v>
      </c>
      <c r="R604" s="190">
        <v>0</v>
      </c>
      <c r="S604" s="190">
        <f t="shared" si="62"/>
        <v>1987488.72</v>
      </c>
      <c r="T604" s="190">
        <f t="shared" si="66"/>
        <v>2767.0881296466459</v>
      </c>
      <c r="U604" s="190">
        <v>5612.1052627182362</v>
      </c>
      <c r="V604" s="221">
        <f t="shared" si="67"/>
        <v>2845.0171330715903</v>
      </c>
      <c r="W604" s="221">
        <f t="shared" si="63"/>
        <v>9493.9557124161165</v>
      </c>
      <c r="X604" s="221">
        <v>0</v>
      </c>
      <c r="Y604" s="222">
        <v>0</v>
      </c>
      <c r="Z604" s="222">
        <v>0</v>
      </c>
      <c r="AA604" s="222">
        <v>0</v>
      </c>
      <c r="AB604" s="222">
        <v>0</v>
      </c>
      <c r="AC604" s="222">
        <v>0</v>
      </c>
      <c r="AD604" s="222">
        <v>0</v>
      </c>
      <c r="AE604" s="222">
        <v>1093</v>
      </c>
      <c r="AF604" s="221">
        <f>6238.91*AE604/I604</f>
        <v>9493.9557124161165</v>
      </c>
      <c r="AG604" s="222">
        <v>0</v>
      </c>
      <c r="AH604" s="221">
        <v>0</v>
      </c>
      <c r="AI604" s="222">
        <v>0</v>
      </c>
      <c r="AJ604" s="221">
        <v>0</v>
      </c>
      <c r="AK604" s="222">
        <v>0</v>
      </c>
      <c r="AL604" s="222">
        <v>0</v>
      </c>
      <c r="AM604" s="222">
        <v>0</v>
      </c>
      <c r="AN604" s="222"/>
      <c r="AO604" s="222">
        <v>0</v>
      </c>
    </row>
    <row r="605" spans="1:41" s="223" customFormat="1" ht="36" customHeight="1" x14ac:dyDescent="0.25">
      <c r="A605" s="223">
        <v>1</v>
      </c>
      <c r="B605" s="225">
        <f>SUBTOTAL(103,$A$552:A605)</f>
        <v>54</v>
      </c>
      <c r="C605" s="215" t="s">
        <v>496</v>
      </c>
      <c r="D605" s="217">
        <v>1995</v>
      </c>
      <c r="E605" s="217"/>
      <c r="F605" s="226" t="s">
        <v>267</v>
      </c>
      <c r="G605" s="217">
        <v>9</v>
      </c>
      <c r="H605" s="217" t="s">
        <v>304</v>
      </c>
      <c r="I605" s="218">
        <v>6176.6</v>
      </c>
      <c r="J605" s="218">
        <v>5017.5</v>
      </c>
      <c r="K605" s="218">
        <v>4212.5</v>
      </c>
      <c r="L605" s="219">
        <v>299</v>
      </c>
      <c r="M605" s="217" t="s">
        <v>265</v>
      </c>
      <c r="N605" s="217" t="s">
        <v>269</v>
      </c>
      <c r="O605" s="220" t="s">
        <v>1071</v>
      </c>
      <c r="P605" s="190">
        <v>4358372.3199999994</v>
      </c>
      <c r="Q605" s="190">
        <v>0</v>
      </c>
      <c r="R605" s="190">
        <v>0</v>
      </c>
      <c r="S605" s="190">
        <f t="shared" si="62"/>
        <v>4358372.3199999994</v>
      </c>
      <c r="T605" s="190">
        <f t="shared" si="66"/>
        <v>705.62644820775165</v>
      </c>
      <c r="U605" s="190">
        <v>1428.2110222452479</v>
      </c>
      <c r="V605" s="221">
        <f t="shared" si="67"/>
        <v>722.58457403749628</v>
      </c>
      <c r="W605" s="221">
        <f t="shared" si="63"/>
        <v>548.8818595991321</v>
      </c>
      <c r="X605" s="221">
        <v>0</v>
      </c>
      <c r="Y605" s="222">
        <v>0</v>
      </c>
      <c r="Z605" s="222">
        <v>0</v>
      </c>
      <c r="AA605" s="222">
        <v>0</v>
      </c>
      <c r="AB605" s="222">
        <v>0</v>
      </c>
      <c r="AC605" s="222">
        <v>0</v>
      </c>
      <c r="AD605" s="222">
        <v>0</v>
      </c>
      <c r="AE605" s="222">
        <v>543.4</v>
      </c>
      <c r="AF605" s="221">
        <f>6238.91*AE605/I605</f>
        <v>548.8818595991321</v>
      </c>
      <c r="AG605" s="222">
        <v>0</v>
      </c>
      <c r="AH605" s="221">
        <v>0</v>
      </c>
      <c r="AI605" s="222">
        <v>0</v>
      </c>
      <c r="AJ605" s="221">
        <v>0</v>
      </c>
      <c r="AK605" s="222">
        <v>0</v>
      </c>
      <c r="AL605" s="222">
        <v>0</v>
      </c>
      <c r="AM605" s="222">
        <v>0</v>
      </c>
      <c r="AN605" s="222"/>
      <c r="AO605" s="222">
        <v>0</v>
      </c>
    </row>
    <row r="606" spans="1:41" s="223" customFormat="1" ht="36" customHeight="1" x14ac:dyDescent="0.25">
      <c r="A606" s="223">
        <v>1</v>
      </c>
      <c r="B606" s="225">
        <f>SUBTOTAL(103,$A$552:A606)</f>
        <v>55</v>
      </c>
      <c r="C606" s="215" t="s">
        <v>497</v>
      </c>
      <c r="D606" s="217">
        <v>1988</v>
      </c>
      <c r="E606" s="217"/>
      <c r="F606" s="226" t="s">
        <v>267</v>
      </c>
      <c r="G606" s="217">
        <v>5</v>
      </c>
      <c r="H606" s="217" t="s">
        <v>303</v>
      </c>
      <c r="I606" s="218">
        <v>1410.8</v>
      </c>
      <c r="J606" s="218">
        <v>1242.3</v>
      </c>
      <c r="K606" s="218">
        <v>1242.3</v>
      </c>
      <c r="L606" s="219">
        <v>70</v>
      </c>
      <c r="M606" s="217" t="s">
        <v>265</v>
      </c>
      <c r="N606" s="217" t="s">
        <v>269</v>
      </c>
      <c r="O606" s="220" t="s">
        <v>1071</v>
      </c>
      <c r="P606" s="190">
        <v>1135747.27</v>
      </c>
      <c r="Q606" s="190">
        <v>0</v>
      </c>
      <c r="R606" s="190">
        <v>0</v>
      </c>
      <c r="S606" s="190">
        <f t="shared" si="62"/>
        <v>1135747.27</v>
      </c>
      <c r="T606" s="190">
        <f t="shared" si="66"/>
        <v>805.03775871845767</v>
      </c>
      <c r="U606" s="190">
        <v>1614.4705131840092</v>
      </c>
      <c r="V606" s="221">
        <f t="shared" si="67"/>
        <v>809.43275446555151</v>
      </c>
      <c r="W606" s="221">
        <f t="shared" si="63"/>
        <v>2940.7961085908705</v>
      </c>
      <c r="X606" s="221">
        <v>0</v>
      </c>
      <c r="Y606" s="222">
        <v>0</v>
      </c>
      <c r="Z606" s="222">
        <v>0</v>
      </c>
      <c r="AA606" s="222">
        <v>0</v>
      </c>
      <c r="AB606" s="222">
        <v>0</v>
      </c>
      <c r="AC606" s="222">
        <v>0</v>
      </c>
      <c r="AD606" s="222">
        <v>0</v>
      </c>
      <c r="AE606" s="222">
        <v>665</v>
      </c>
      <c r="AF606" s="221">
        <f>6238.91*AE606/I606</f>
        <v>2940.7961085908705</v>
      </c>
      <c r="AG606" s="222">
        <v>0</v>
      </c>
      <c r="AH606" s="221">
        <v>0</v>
      </c>
      <c r="AI606" s="222">
        <v>0</v>
      </c>
      <c r="AJ606" s="221">
        <v>0</v>
      </c>
      <c r="AK606" s="222">
        <v>0</v>
      </c>
      <c r="AL606" s="222">
        <v>0</v>
      </c>
      <c r="AM606" s="222">
        <v>0</v>
      </c>
      <c r="AN606" s="222"/>
      <c r="AO606" s="222">
        <v>0</v>
      </c>
    </row>
    <row r="607" spans="1:41" s="223" customFormat="1" ht="36" customHeight="1" x14ac:dyDescent="0.25">
      <c r="A607" s="223">
        <v>1</v>
      </c>
      <c r="B607" s="225">
        <f>SUBTOTAL(103,$A$552:A607)</f>
        <v>56</v>
      </c>
      <c r="C607" s="215" t="s">
        <v>503</v>
      </c>
      <c r="D607" s="217">
        <v>1985</v>
      </c>
      <c r="E607" s="217"/>
      <c r="F607" s="226" t="s">
        <v>311</v>
      </c>
      <c r="G607" s="217">
        <v>2</v>
      </c>
      <c r="H607" s="217" t="s">
        <v>303</v>
      </c>
      <c r="I607" s="218">
        <v>617.79999999999995</v>
      </c>
      <c r="J607" s="218">
        <v>560.5</v>
      </c>
      <c r="K607" s="218">
        <v>560.5</v>
      </c>
      <c r="L607" s="219">
        <v>38</v>
      </c>
      <c r="M607" s="217" t="s">
        <v>265</v>
      </c>
      <c r="N607" s="217" t="s">
        <v>269</v>
      </c>
      <c r="O607" s="220" t="s">
        <v>1380</v>
      </c>
      <c r="P607" s="190">
        <v>2536990.1700000004</v>
      </c>
      <c r="Q607" s="190">
        <v>0</v>
      </c>
      <c r="R607" s="190">
        <v>0</v>
      </c>
      <c r="S607" s="190">
        <f t="shared" si="62"/>
        <v>2536990.1700000004</v>
      </c>
      <c r="T607" s="190">
        <f t="shared" si="66"/>
        <v>4106.4910488831347</v>
      </c>
      <c r="U607" s="190">
        <v>5150.9635804467462</v>
      </c>
      <c r="V607" s="221">
        <f t="shared" si="67"/>
        <v>1044.4725315636115</v>
      </c>
      <c r="W607" s="221">
        <f t="shared" si="63"/>
        <v>10114.671414697314</v>
      </c>
      <c r="X607" s="221">
        <v>0</v>
      </c>
      <c r="Y607" s="222">
        <v>0</v>
      </c>
      <c r="Z607" s="222">
        <v>0</v>
      </c>
      <c r="AA607" s="222">
        <v>0</v>
      </c>
      <c r="AB607" s="222">
        <v>0</v>
      </c>
      <c r="AC607" s="222">
        <v>0</v>
      </c>
      <c r="AD607" s="222">
        <v>0</v>
      </c>
      <c r="AE607" s="222">
        <v>0</v>
      </c>
      <c r="AF607" s="221">
        <v>0</v>
      </c>
      <c r="AG607" s="222">
        <v>0</v>
      </c>
      <c r="AH607" s="221">
        <v>0</v>
      </c>
      <c r="AI607" s="222">
        <v>840</v>
      </c>
      <c r="AJ607" s="221">
        <f>7439.1*AI607/I607</f>
        <v>10114.671414697314</v>
      </c>
      <c r="AK607" s="222">
        <v>0</v>
      </c>
      <c r="AL607" s="222">
        <v>0</v>
      </c>
      <c r="AM607" s="222">
        <v>0</v>
      </c>
      <c r="AN607" s="222"/>
      <c r="AO607" s="222">
        <v>0</v>
      </c>
    </row>
    <row r="608" spans="1:41" s="223" customFormat="1" ht="36" customHeight="1" x14ac:dyDescent="0.25">
      <c r="A608" s="223">
        <v>1</v>
      </c>
      <c r="B608" s="225">
        <f>SUBTOTAL(103,$A$552:A608)</f>
        <v>57</v>
      </c>
      <c r="C608" s="215" t="s">
        <v>1610</v>
      </c>
      <c r="D608" s="217">
        <v>1962</v>
      </c>
      <c r="E608" s="217"/>
      <c r="F608" s="226" t="s">
        <v>267</v>
      </c>
      <c r="G608" s="217">
        <v>2</v>
      </c>
      <c r="H608" s="217" t="s">
        <v>303</v>
      </c>
      <c r="I608" s="218">
        <v>682.9</v>
      </c>
      <c r="J608" s="218">
        <v>653.4</v>
      </c>
      <c r="K608" s="218">
        <v>653.4</v>
      </c>
      <c r="L608" s="219">
        <v>36</v>
      </c>
      <c r="M608" s="217" t="s">
        <v>265</v>
      </c>
      <c r="N608" s="217" t="s">
        <v>269</v>
      </c>
      <c r="O608" s="220" t="s">
        <v>1383</v>
      </c>
      <c r="P608" s="190">
        <v>2018639.07</v>
      </c>
      <c r="Q608" s="190">
        <v>0</v>
      </c>
      <c r="R608" s="190">
        <v>0</v>
      </c>
      <c r="S608" s="190">
        <f t="shared" si="62"/>
        <v>2018639.07</v>
      </c>
      <c r="T608" s="190">
        <f t="shared" si="66"/>
        <v>2955.9804803045836</v>
      </c>
      <c r="U608" s="190">
        <v>5460.4072338556161</v>
      </c>
      <c r="V608" s="221">
        <f t="shared" si="67"/>
        <v>2504.4267535510326</v>
      </c>
      <c r="W608" s="221">
        <f t="shared" si="63"/>
        <v>8222.3151266656914</v>
      </c>
      <c r="X608" s="221">
        <v>0</v>
      </c>
      <c r="Y608" s="222">
        <v>0</v>
      </c>
      <c r="Z608" s="222">
        <v>0</v>
      </c>
      <c r="AA608" s="222">
        <v>0</v>
      </c>
      <c r="AB608" s="222">
        <v>0</v>
      </c>
      <c r="AC608" s="222">
        <v>0</v>
      </c>
      <c r="AD608" s="222">
        <v>0</v>
      </c>
      <c r="AE608" s="222">
        <v>900</v>
      </c>
      <c r="AF608" s="221">
        <f>6238.91*AE608/I608</f>
        <v>8222.3151266656914</v>
      </c>
      <c r="AG608" s="222">
        <v>0</v>
      </c>
      <c r="AH608" s="221">
        <v>0</v>
      </c>
      <c r="AI608" s="222">
        <v>0</v>
      </c>
      <c r="AJ608" s="221">
        <v>0</v>
      </c>
      <c r="AK608" s="222">
        <v>0</v>
      </c>
      <c r="AL608" s="222">
        <v>0</v>
      </c>
      <c r="AM608" s="222">
        <v>0</v>
      </c>
      <c r="AN608" s="222"/>
      <c r="AO608" s="222">
        <v>0</v>
      </c>
    </row>
    <row r="609" spans="1:41" s="223" customFormat="1" ht="36" customHeight="1" x14ac:dyDescent="0.25">
      <c r="A609" s="223">
        <v>1</v>
      </c>
      <c r="B609" s="225">
        <f>SUBTOTAL(103,$A$552:A609)</f>
        <v>58</v>
      </c>
      <c r="C609" s="215" t="s">
        <v>1698</v>
      </c>
      <c r="D609" s="217">
        <v>1991</v>
      </c>
      <c r="E609" s="217"/>
      <c r="F609" s="226" t="s">
        <v>311</v>
      </c>
      <c r="G609" s="217">
        <v>9</v>
      </c>
      <c r="H609" s="217" t="s">
        <v>308</v>
      </c>
      <c r="I609" s="218">
        <v>8855.2999999999993</v>
      </c>
      <c r="J609" s="218">
        <v>8855.2999999999993</v>
      </c>
      <c r="K609" s="218">
        <v>8855.2999999999993</v>
      </c>
      <c r="L609" s="219">
        <v>382</v>
      </c>
      <c r="M609" s="217" t="s">
        <v>265</v>
      </c>
      <c r="N609" s="217" t="s">
        <v>269</v>
      </c>
      <c r="O609" s="220" t="s">
        <v>348</v>
      </c>
      <c r="P609" s="190">
        <v>8993212</v>
      </c>
      <c r="Q609" s="190">
        <v>0</v>
      </c>
      <c r="R609" s="190">
        <v>0</v>
      </c>
      <c r="S609" s="190">
        <f t="shared" si="62"/>
        <v>8993212</v>
      </c>
      <c r="T609" s="190">
        <f t="shared" si="66"/>
        <v>1015.5739500638036</v>
      </c>
      <c r="U609" s="190">
        <v>1110.205187853602</v>
      </c>
      <c r="V609" s="221">
        <f t="shared" si="67"/>
        <v>94.63123778979832</v>
      </c>
      <c r="W609" s="221">
        <f t="shared" si="63"/>
        <v>1128.3862906959675</v>
      </c>
      <c r="X609" s="221">
        <v>0</v>
      </c>
      <c r="Y609" s="222">
        <v>0</v>
      </c>
      <c r="Z609" s="222">
        <v>0</v>
      </c>
      <c r="AA609" s="222">
        <v>0</v>
      </c>
      <c r="AB609" s="222">
        <v>0</v>
      </c>
      <c r="AC609" s="222">
        <v>0</v>
      </c>
      <c r="AD609" s="222">
        <v>0</v>
      </c>
      <c r="AE609" s="222">
        <v>0</v>
      </c>
      <c r="AF609" s="221">
        <v>0</v>
      </c>
      <c r="AG609" s="222">
        <v>0</v>
      </c>
      <c r="AH609" s="221">
        <v>0</v>
      </c>
      <c r="AI609" s="222">
        <v>1343.2</v>
      </c>
      <c r="AJ609" s="221">
        <f>7439.1*AI609/I609</f>
        <v>1128.3862906959675</v>
      </c>
      <c r="AK609" s="222">
        <v>0</v>
      </c>
      <c r="AL609" s="222">
        <v>0</v>
      </c>
      <c r="AM609" s="222">
        <v>0</v>
      </c>
      <c r="AN609" s="222"/>
      <c r="AO609" s="222">
        <v>0</v>
      </c>
    </row>
    <row r="610" spans="1:41" s="223" customFormat="1" ht="36" customHeight="1" x14ac:dyDescent="0.25">
      <c r="A610" s="223">
        <v>1</v>
      </c>
      <c r="B610" s="225">
        <f>SUBTOTAL(103,$A$552:A610)</f>
        <v>59</v>
      </c>
      <c r="C610" s="215" t="s">
        <v>1699</v>
      </c>
      <c r="D610" s="228">
        <v>1998</v>
      </c>
      <c r="E610" s="217"/>
      <c r="F610" s="226" t="s">
        <v>267</v>
      </c>
      <c r="G610" s="217">
        <v>10</v>
      </c>
      <c r="H610" s="217" t="s">
        <v>303</v>
      </c>
      <c r="I610" s="218">
        <v>5111.5</v>
      </c>
      <c r="J610" s="218">
        <v>5111.5</v>
      </c>
      <c r="K610" s="218">
        <v>5111.5</v>
      </c>
      <c r="L610" s="219">
        <v>194</v>
      </c>
      <c r="M610" s="217" t="s">
        <v>265</v>
      </c>
      <c r="N610" s="217" t="s">
        <v>269</v>
      </c>
      <c r="O610" s="220" t="s">
        <v>1381</v>
      </c>
      <c r="P610" s="190">
        <v>5622678.4500000002</v>
      </c>
      <c r="Q610" s="190">
        <v>0</v>
      </c>
      <c r="R610" s="190">
        <v>0</v>
      </c>
      <c r="S610" s="190">
        <f t="shared" si="62"/>
        <v>5622678.4500000002</v>
      </c>
      <c r="T610" s="190">
        <f t="shared" si="66"/>
        <v>1100.0055658808569</v>
      </c>
      <c r="U610" s="190">
        <v>1161.9763904920278</v>
      </c>
      <c r="V610" s="221">
        <f t="shared" si="67"/>
        <v>61.970824611170883</v>
      </c>
      <c r="W610" s="221">
        <f t="shared" si="63"/>
        <v>903.62985425022009</v>
      </c>
      <c r="X610" s="221">
        <v>0</v>
      </c>
      <c r="Y610" s="222">
        <v>0</v>
      </c>
      <c r="Z610" s="222">
        <v>0</v>
      </c>
      <c r="AA610" s="222">
        <v>0</v>
      </c>
      <c r="AB610" s="222">
        <v>0</v>
      </c>
      <c r="AC610" s="222">
        <v>2</v>
      </c>
      <c r="AD610" s="221">
        <f>2309452*AC610/I610</f>
        <v>903.62985425022009</v>
      </c>
      <c r="AE610" s="222">
        <v>0</v>
      </c>
      <c r="AF610" s="221">
        <v>0</v>
      </c>
      <c r="AG610" s="222">
        <v>0</v>
      </c>
      <c r="AH610" s="221">
        <v>0</v>
      </c>
      <c r="AI610" s="222">
        <v>0</v>
      </c>
      <c r="AJ610" s="221">
        <v>0</v>
      </c>
      <c r="AK610" s="222">
        <v>0</v>
      </c>
      <c r="AL610" s="222">
        <v>0</v>
      </c>
      <c r="AM610" s="222">
        <v>0</v>
      </c>
      <c r="AN610" s="222"/>
      <c r="AO610" s="222">
        <v>0</v>
      </c>
    </row>
    <row r="611" spans="1:41" s="223" customFormat="1" ht="36" customHeight="1" x14ac:dyDescent="0.25">
      <c r="A611" s="223">
        <v>1</v>
      </c>
      <c r="B611" s="225">
        <f>SUBTOTAL(103,$A$552:A611)</f>
        <v>60</v>
      </c>
      <c r="C611" s="215" t="s">
        <v>1872</v>
      </c>
      <c r="D611" s="217">
        <v>1970</v>
      </c>
      <c r="E611" s="217"/>
      <c r="F611" s="226" t="s">
        <v>267</v>
      </c>
      <c r="G611" s="217">
        <v>5</v>
      </c>
      <c r="H611" s="217" t="s">
        <v>303</v>
      </c>
      <c r="I611" s="190">
        <v>2303.6999999999998</v>
      </c>
      <c r="J611" s="190">
        <v>1759</v>
      </c>
      <c r="K611" s="190">
        <v>1399.2</v>
      </c>
      <c r="L611" s="219">
        <v>77</v>
      </c>
      <c r="M611" s="217" t="s">
        <v>265</v>
      </c>
      <c r="N611" s="217" t="s">
        <v>269</v>
      </c>
      <c r="O611" s="220" t="s">
        <v>1380</v>
      </c>
      <c r="P611" s="190">
        <v>2729561.1</v>
      </c>
      <c r="Q611" s="190">
        <v>0</v>
      </c>
      <c r="R611" s="190">
        <v>0</v>
      </c>
      <c r="S611" s="190">
        <f t="shared" si="62"/>
        <v>2729561.1</v>
      </c>
      <c r="T611" s="190">
        <f t="shared" si="66"/>
        <v>1184.8596171376482</v>
      </c>
      <c r="U611" s="190">
        <v>1689.2844554412468</v>
      </c>
      <c r="V611" s="221">
        <f t="shared" si="67"/>
        <v>504.42483830359856</v>
      </c>
      <c r="W611" s="221">
        <f t="shared" si="63"/>
        <v>1624.9277249641882</v>
      </c>
      <c r="X611" s="221">
        <v>0</v>
      </c>
      <c r="Y611" s="222">
        <v>0</v>
      </c>
      <c r="Z611" s="222">
        <v>0</v>
      </c>
      <c r="AA611" s="222">
        <v>0</v>
      </c>
      <c r="AB611" s="222">
        <v>0</v>
      </c>
      <c r="AC611" s="222">
        <v>0</v>
      </c>
      <c r="AD611" s="222">
        <v>0</v>
      </c>
      <c r="AE611" s="222">
        <v>600</v>
      </c>
      <c r="AF611" s="221">
        <f>6238.91*AE611/I611</f>
        <v>1624.9277249641882</v>
      </c>
      <c r="AG611" s="222">
        <v>0</v>
      </c>
      <c r="AH611" s="221">
        <v>0</v>
      </c>
      <c r="AI611" s="222">
        <v>0</v>
      </c>
      <c r="AJ611" s="221">
        <v>0</v>
      </c>
      <c r="AK611" s="222">
        <v>0</v>
      </c>
      <c r="AL611" s="222">
        <v>0</v>
      </c>
      <c r="AM611" s="222">
        <v>0</v>
      </c>
      <c r="AN611" s="222"/>
      <c r="AO611" s="222">
        <v>0</v>
      </c>
    </row>
    <row r="612" spans="1:41" s="223" customFormat="1" ht="36" customHeight="1" x14ac:dyDescent="0.25">
      <c r="A612" s="223">
        <v>1</v>
      </c>
      <c r="B612" s="225">
        <f>SUBTOTAL(103,$A$552:A612)</f>
        <v>61</v>
      </c>
      <c r="C612" s="215" t="s">
        <v>1928</v>
      </c>
      <c r="D612" s="217">
        <v>1970</v>
      </c>
      <c r="E612" s="217"/>
      <c r="F612" s="226" t="s">
        <v>1571</v>
      </c>
      <c r="G612" s="217" t="s">
        <v>308</v>
      </c>
      <c r="H612" s="217" t="s">
        <v>304</v>
      </c>
      <c r="I612" s="190">
        <v>1694.4</v>
      </c>
      <c r="J612" s="190">
        <v>1418.1</v>
      </c>
      <c r="K612" s="190">
        <v>1418.1</v>
      </c>
      <c r="L612" s="219">
        <v>111</v>
      </c>
      <c r="M612" s="217" t="s">
        <v>265</v>
      </c>
      <c r="N612" s="217" t="s">
        <v>269</v>
      </c>
      <c r="O612" s="220" t="s">
        <v>2269</v>
      </c>
      <c r="P612" s="190">
        <v>5474632.6699999999</v>
      </c>
      <c r="Q612" s="190">
        <v>0</v>
      </c>
      <c r="R612" s="190">
        <v>0</v>
      </c>
      <c r="S612" s="190">
        <f t="shared" si="62"/>
        <v>5474632.6699999999</v>
      </c>
      <c r="T612" s="190">
        <f t="shared" si="66"/>
        <v>3231.0155040132199</v>
      </c>
      <c r="U612" s="190">
        <v>3687.082152974504</v>
      </c>
      <c r="V612" s="221">
        <f t="shared" si="67"/>
        <v>456.06664896128405</v>
      </c>
      <c r="W612" s="221">
        <f t="shared" si="63"/>
        <v>2378.9841395184135</v>
      </c>
      <c r="X612" s="221">
        <v>0</v>
      </c>
      <c r="Y612" s="222">
        <v>0</v>
      </c>
      <c r="Z612" s="222">
        <v>0</v>
      </c>
      <c r="AA612" s="222">
        <v>0</v>
      </c>
      <c r="AB612" s="222">
        <v>0</v>
      </c>
      <c r="AC612" s="222">
        <v>0</v>
      </c>
      <c r="AD612" s="222">
        <v>0</v>
      </c>
      <c r="AE612" s="222">
        <v>0</v>
      </c>
      <c r="AF612" s="221">
        <v>0</v>
      </c>
      <c r="AG612" s="222">
        <v>0</v>
      </c>
      <c r="AH612" s="221">
        <v>0</v>
      </c>
      <c r="AI612" s="222">
        <v>541.86</v>
      </c>
      <c r="AJ612" s="221">
        <f>7439.1*AI612/I612</f>
        <v>2378.9841395184135</v>
      </c>
      <c r="AK612" s="222">
        <v>0</v>
      </c>
      <c r="AL612" s="222">
        <v>0</v>
      </c>
      <c r="AM612" s="222">
        <v>0</v>
      </c>
      <c r="AN612" s="222"/>
      <c r="AO612" s="222">
        <v>0</v>
      </c>
    </row>
    <row r="613" spans="1:41" s="223" customFormat="1" ht="36" customHeight="1" x14ac:dyDescent="0.25">
      <c r="A613" s="223">
        <v>1</v>
      </c>
      <c r="B613" s="225">
        <f>SUBTOTAL(103,$A$552:A613)</f>
        <v>62</v>
      </c>
      <c r="C613" s="215" t="s">
        <v>1929</v>
      </c>
      <c r="D613" s="217">
        <v>1984</v>
      </c>
      <c r="E613" s="217"/>
      <c r="F613" s="226" t="s">
        <v>1571</v>
      </c>
      <c r="G613" s="217" t="s">
        <v>357</v>
      </c>
      <c r="H613" s="217" t="s">
        <v>304</v>
      </c>
      <c r="I613" s="190">
        <v>6288</v>
      </c>
      <c r="J613" s="190">
        <v>5117.7</v>
      </c>
      <c r="K613" s="190">
        <v>5074.5</v>
      </c>
      <c r="L613" s="219">
        <v>320</v>
      </c>
      <c r="M613" s="217" t="s">
        <v>265</v>
      </c>
      <c r="N613" s="217" t="s">
        <v>269</v>
      </c>
      <c r="O613" s="220" t="s">
        <v>1317</v>
      </c>
      <c r="P613" s="190">
        <v>5362978.1900000004</v>
      </c>
      <c r="Q613" s="190">
        <v>0</v>
      </c>
      <c r="R613" s="190">
        <v>0</v>
      </c>
      <c r="S613" s="190">
        <f t="shared" si="62"/>
        <v>5362978.1900000004</v>
      </c>
      <c r="T613" s="190">
        <f t="shared" si="66"/>
        <v>852.89093352417308</v>
      </c>
      <c r="U613" s="190">
        <v>852.89093352417308</v>
      </c>
      <c r="V613" s="221">
        <f t="shared" si="67"/>
        <v>0</v>
      </c>
      <c r="W613" s="221">
        <f t="shared" si="63"/>
        <v>1012.036927480916</v>
      </c>
      <c r="X613" s="221">
        <v>0</v>
      </c>
      <c r="Y613" s="222">
        <v>0</v>
      </c>
      <c r="Z613" s="222">
        <v>0</v>
      </c>
      <c r="AA613" s="222">
        <v>0</v>
      </c>
      <c r="AB613" s="222">
        <v>0</v>
      </c>
      <c r="AC613" s="222">
        <v>0</v>
      </c>
      <c r="AD613" s="222">
        <v>0</v>
      </c>
      <c r="AE613" s="222">
        <v>1020</v>
      </c>
      <c r="AF613" s="221">
        <f>6238.91*AE613/I613</f>
        <v>1012.036927480916</v>
      </c>
      <c r="AG613" s="222">
        <v>0</v>
      </c>
      <c r="AH613" s="221">
        <v>0</v>
      </c>
      <c r="AI613" s="222">
        <v>0</v>
      </c>
      <c r="AJ613" s="221">
        <v>0</v>
      </c>
      <c r="AK613" s="222">
        <v>0</v>
      </c>
      <c r="AL613" s="222">
        <v>0</v>
      </c>
      <c r="AM613" s="222">
        <v>0</v>
      </c>
      <c r="AN613" s="222"/>
      <c r="AO613" s="222">
        <v>0</v>
      </c>
    </row>
    <row r="614" spans="1:41" s="223" customFormat="1" ht="36" customHeight="1" x14ac:dyDescent="0.25">
      <c r="A614" s="223">
        <v>1</v>
      </c>
      <c r="B614" s="225">
        <f>SUBTOTAL(103,$A$552:A614)</f>
        <v>63</v>
      </c>
      <c r="C614" s="215" t="s">
        <v>1930</v>
      </c>
      <c r="D614" s="217">
        <v>1988</v>
      </c>
      <c r="E614" s="217"/>
      <c r="F614" s="226" t="s">
        <v>1571</v>
      </c>
      <c r="G614" s="217" t="s">
        <v>357</v>
      </c>
      <c r="H614" s="217" t="s">
        <v>304</v>
      </c>
      <c r="I614" s="190">
        <v>7446.7</v>
      </c>
      <c r="J614" s="190">
        <v>6148.5</v>
      </c>
      <c r="K614" s="190">
        <v>5708.1</v>
      </c>
      <c r="L614" s="219">
        <v>289</v>
      </c>
      <c r="M614" s="217" t="s">
        <v>265</v>
      </c>
      <c r="N614" s="217" t="s">
        <v>269</v>
      </c>
      <c r="O614" s="220" t="s">
        <v>1317</v>
      </c>
      <c r="P614" s="190">
        <v>5362980.45</v>
      </c>
      <c r="Q614" s="190">
        <v>0</v>
      </c>
      <c r="R614" s="190">
        <v>0</v>
      </c>
      <c r="S614" s="190">
        <f t="shared" si="62"/>
        <v>5362980.45</v>
      </c>
      <c r="T614" s="190">
        <f t="shared" si="66"/>
        <v>720.1821545113944</v>
      </c>
      <c r="U614" s="190">
        <v>720.1821545113944</v>
      </c>
      <c r="V614" s="221">
        <f t="shared" si="67"/>
        <v>0</v>
      </c>
      <c r="W614" s="221">
        <f t="shared" si="63"/>
        <v>293.23304282433833</v>
      </c>
      <c r="X614" s="221">
        <v>0</v>
      </c>
      <c r="Y614" s="222">
        <v>0</v>
      </c>
      <c r="Z614" s="222">
        <v>0</v>
      </c>
      <c r="AA614" s="222">
        <v>0</v>
      </c>
      <c r="AB614" s="222">
        <v>0</v>
      </c>
      <c r="AC614" s="222">
        <v>0</v>
      </c>
      <c r="AD614" s="222">
        <v>0</v>
      </c>
      <c r="AE614" s="222">
        <v>350</v>
      </c>
      <c r="AF614" s="221">
        <f>6238.91*AE614/I614</f>
        <v>293.23304282433833</v>
      </c>
      <c r="AG614" s="222">
        <v>0</v>
      </c>
      <c r="AH614" s="221">
        <v>0</v>
      </c>
      <c r="AI614" s="222">
        <v>0</v>
      </c>
      <c r="AJ614" s="221">
        <v>0</v>
      </c>
      <c r="AK614" s="222">
        <v>0</v>
      </c>
      <c r="AL614" s="222">
        <v>0</v>
      </c>
      <c r="AM614" s="222">
        <v>0</v>
      </c>
      <c r="AN614" s="222"/>
      <c r="AO614" s="222">
        <v>0</v>
      </c>
    </row>
    <row r="615" spans="1:41" s="223" customFormat="1" ht="36" customHeight="1" x14ac:dyDescent="0.25">
      <c r="A615" s="223">
        <v>1</v>
      </c>
      <c r="B615" s="225">
        <f>SUBTOTAL(103,$A$552:A615)</f>
        <v>64</v>
      </c>
      <c r="C615" s="215" t="s">
        <v>1931</v>
      </c>
      <c r="D615" s="217">
        <v>1972</v>
      </c>
      <c r="E615" s="217"/>
      <c r="F615" s="226" t="s">
        <v>1571</v>
      </c>
      <c r="G615" s="217" t="s">
        <v>351</v>
      </c>
      <c r="H615" s="217" t="s">
        <v>303</v>
      </c>
      <c r="I615" s="190">
        <v>4729.3</v>
      </c>
      <c r="J615" s="190">
        <v>2860.4</v>
      </c>
      <c r="K615" s="190">
        <v>2738.6</v>
      </c>
      <c r="L615" s="219">
        <v>204</v>
      </c>
      <c r="M615" s="217" t="s">
        <v>265</v>
      </c>
      <c r="N615" s="217" t="s">
        <v>269</v>
      </c>
      <c r="O615" s="220" t="s">
        <v>1317</v>
      </c>
      <c r="P615" s="190">
        <v>7155522.0800000001</v>
      </c>
      <c r="Q615" s="190">
        <v>0</v>
      </c>
      <c r="R615" s="190">
        <v>0</v>
      </c>
      <c r="S615" s="190">
        <f>P615-Q615-R615</f>
        <v>7155522.0800000001</v>
      </c>
      <c r="T615" s="190">
        <f t="shared" si="66"/>
        <v>1513.0192798088513</v>
      </c>
      <c r="U615" s="190">
        <v>1513.0192798088513</v>
      </c>
      <c r="V615" s="221">
        <f t="shared" si="67"/>
        <v>0</v>
      </c>
      <c r="W615" s="221">
        <f>X615+Y615+Z615+AA615+AB615+AD615+AF615+AH615+AJ615+AL615+AN615+AO615</f>
        <v>645.09060326052474</v>
      </c>
      <c r="X615" s="221">
        <v>0</v>
      </c>
      <c r="Y615" s="222">
        <v>0</v>
      </c>
      <c r="Z615" s="222">
        <v>0</v>
      </c>
      <c r="AA615" s="222">
        <v>0</v>
      </c>
      <c r="AB615" s="222">
        <v>0</v>
      </c>
      <c r="AC615" s="222">
        <v>0</v>
      </c>
      <c r="AD615" s="222">
        <v>0</v>
      </c>
      <c r="AE615" s="222">
        <v>489</v>
      </c>
      <c r="AF615" s="221">
        <f>6238.91*AE615/I615</f>
        <v>645.09060326052474</v>
      </c>
      <c r="AG615" s="222">
        <v>0</v>
      </c>
      <c r="AH615" s="221">
        <v>0</v>
      </c>
      <c r="AI615" s="222">
        <v>0</v>
      </c>
      <c r="AJ615" s="221">
        <v>0</v>
      </c>
      <c r="AK615" s="222">
        <v>0</v>
      </c>
      <c r="AL615" s="222">
        <v>0</v>
      </c>
      <c r="AM615" s="222">
        <v>0</v>
      </c>
      <c r="AN615" s="222"/>
      <c r="AO615" s="222">
        <v>0</v>
      </c>
    </row>
    <row r="616" spans="1:41" s="223" customFormat="1" ht="36" customHeight="1" x14ac:dyDescent="0.25">
      <c r="A616" s="223">
        <v>1</v>
      </c>
      <c r="B616" s="225">
        <f>SUBTOTAL(103,$A$552:A616)</f>
        <v>65</v>
      </c>
      <c r="C616" s="215" t="s">
        <v>1063</v>
      </c>
      <c r="D616" s="217">
        <v>1959</v>
      </c>
      <c r="E616" s="217"/>
      <c r="F616" s="226" t="s">
        <v>267</v>
      </c>
      <c r="G616" s="217">
        <v>2</v>
      </c>
      <c r="H616" s="217" t="s">
        <v>303</v>
      </c>
      <c r="I616" s="190">
        <v>918.1</v>
      </c>
      <c r="J616" s="190">
        <v>907</v>
      </c>
      <c r="K616" s="190">
        <v>907</v>
      </c>
      <c r="L616" s="219">
        <v>40</v>
      </c>
      <c r="M616" s="217" t="s">
        <v>265</v>
      </c>
      <c r="N616" s="217" t="s">
        <v>269</v>
      </c>
      <c r="O616" s="220" t="s">
        <v>1071</v>
      </c>
      <c r="P616" s="190">
        <v>2112589</v>
      </c>
      <c r="Q616" s="190">
        <v>0</v>
      </c>
      <c r="R616" s="190">
        <v>0</v>
      </c>
      <c r="S616" s="190">
        <f>P616-R616-Q616</f>
        <v>2112589</v>
      </c>
      <c r="T616" s="190">
        <f t="shared" si="66"/>
        <v>2301.0445485241257</v>
      </c>
      <c r="U616" s="190">
        <v>3544.1128417383725</v>
      </c>
      <c r="V616" s="221">
        <f t="shared" si="67"/>
        <v>1243.0682932142468</v>
      </c>
      <c r="W616" s="221">
        <f>X616+Y616+Z616+AA616+AB616+AD616+AF616+AH616+AJ616+AL616+AN616+AO616</f>
        <v>3893.7974403659728</v>
      </c>
      <c r="X616" s="221">
        <v>0</v>
      </c>
      <c r="Y616" s="222">
        <v>0</v>
      </c>
      <c r="Z616" s="222">
        <v>0</v>
      </c>
      <c r="AA616" s="222">
        <v>0</v>
      </c>
      <c r="AB616" s="222">
        <v>0</v>
      </c>
      <c r="AC616" s="222">
        <v>0</v>
      </c>
      <c r="AD616" s="222">
        <v>0</v>
      </c>
      <c r="AE616" s="222">
        <v>573</v>
      </c>
      <c r="AF616" s="221">
        <f>6238.91*AE616/I616</f>
        <v>3893.7974403659728</v>
      </c>
      <c r="AG616" s="222">
        <v>0</v>
      </c>
      <c r="AH616" s="221">
        <v>0</v>
      </c>
      <c r="AI616" s="222">
        <v>0</v>
      </c>
      <c r="AJ616" s="221">
        <v>0</v>
      </c>
      <c r="AK616" s="222">
        <v>0</v>
      </c>
      <c r="AL616" s="222">
        <v>0</v>
      </c>
      <c r="AM616" s="222">
        <v>0</v>
      </c>
      <c r="AN616" s="222"/>
      <c r="AO616" s="222">
        <v>0</v>
      </c>
    </row>
    <row r="617" spans="1:41" s="223" customFormat="1" ht="36" customHeight="1" x14ac:dyDescent="0.25">
      <c r="A617" s="223">
        <v>1</v>
      </c>
      <c r="B617" s="225">
        <f>SUBTOTAL(103,$A$552:A617)</f>
        <v>66</v>
      </c>
      <c r="C617" s="215" t="s">
        <v>488</v>
      </c>
      <c r="D617" s="228">
        <v>1989</v>
      </c>
      <c r="E617" s="217"/>
      <c r="F617" s="226" t="s">
        <v>267</v>
      </c>
      <c r="G617" s="217">
        <v>5</v>
      </c>
      <c r="H617" s="217" t="s">
        <v>312</v>
      </c>
      <c r="I617" s="218">
        <v>2454.8000000000002</v>
      </c>
      <c r="J617" s="218">
        <v>1816.2</v>
      </c>
      <c r="K617" s="218">
        <v>1749.1</v>
      </c>
      <c r="L617" s="219">
        <v>71</v>
      </c>
      <c r="M617" s="217" t="s">
        <v>265</v>
      </c>
      <c r="N617" s="217" t="s">
        <v>269</v>
      </c>
      <c r="O617" s="220" t="s">
        <v>1380</v>
      </c>
      <c r="P617" s="190">
        <v>2556530.7300000004</v>
      </c>
      <c r="Q617" s="190">
        <v>0</v>
      </c>
      <c r="R617" s="190">
        <v>0</v>
      </c>
      <c r="S617" s="190">
        <f t="shared" ref="S617:S637" si="68">P617-Q617-R617</f>
        <v>2556530.7300000004</v>
      </c>
      <c r="T617" s="190">
        <f t="shared" si="66"/>
        <v>1041.4415553201891</v>
      </c>
      <c r="U617" s="190">
        <v>1837.1501140622452</v>
      </c>
      <c r="V617" s="221">
        <f t="shared" si="67"/>
        <v>795.70855874205608</v>
      </c>
      <c r="W617" s="221">
        <f>X617+Y617+Z617+AA617+AB617+AD617+AF617+AH617+AJ617+AL617+AN617+AO617</f>
        <v>4004.8883819455759</v>
      </c>
      <c r="X617" s="221">
        <v>0</v>
      </c>
      <c r="Y617" s="222">
        <v>0</v>
      </c>
      <c r="Z617" s="222">
        <v>0</v>
      </c>
      <c r="AA617" s="222">
        <v>0</v>
      </c>
      <c r="AB617" s="222">
        <v>0</v>
      </c>
      <c r="AC617" s="222">
        <v>4</v>
      </c>
      <c r="AD617" s="221">
        <f>2457800*AC617/I617</f>
        <v>4004.8883819455759</v>
      </c>
      <c r="AE617" s="222">
        <v>0</v>
      </c>
      <c r="AF617" s="221">
        <v>0</v>
      </c>
      <c r="AG617" s="222">
        <v>0</v>
      </c>
      <c r="AH617" s="221">
        <v>0</v>
      </c>
      <c r="AI617" s="222">
        <v>0</v>
      </c>
      <c r="AJ617" s="221">
        <v>0</v>
      </c>
      <c r="AK617" s="222">
        <v>0</v>
      </c>
      <c r="AL617" s="222">
        <v>0</v>
      </c>
      <c r="AM617" s="222">
        <v>0</v>
      </c>
      <c r="AN617" s="222"/>
      <c r="AO617" s="222">
        <v>0</v>
      </c>
    </row>
    <row r="618" spans="1:41" s="223" customFormat="1" ht="36" customHeight="1" x14ac:dyDescent="0.25">
      <c r="A618" s="223">
        <v>1</v>
      </c>
      <c r="B618" s="225">
        <f>SUBTOTAL(103,$A$552:A618)</f>
        <v>67</v>
      </c>
      <c r="C618" s="215" t="s">
        <v>1094</v>
      </c>
      <c r="D618" s="228">
        <v>1974</v>
      </c>
      <c r="E618" s="217"/>
      <c r="F618" s="226" t="s">
        <v>1571</v>
      </c>
      <c r="G618" s="217" t="s">
        <v>351</v>
      </c>
      <c r="H618" s="217" t="s">
        <v>308</v>
      </c>
      <c r="I618" s="218">
        <v>4916.8</v>
      </c>
      <c r="J618" s="218">
        <v>4565.5</v>
      </c>
      <c r="K618" s="218">
        <v>4565.5</v>
      </c>
      <c r="L618" s="219">
        <v>114</v>
      </c>
      <c r="M618" s="217" t="s">
        <v>265</v>
      </c>
      <c r="N618" s="217" t="s">
        <v>269</v>
      </c>
      <c r="O618" s="220" t="s">
        <v>1690</v>
      </c>
      <c r="P618" s="190">
        <v>2262188.67</v>
      </c>
      <c r="Q618" s="190">
        <v>0</v>
      </c>
      <c r="R618" s="190">
        <v>0</v>
      </c>
      <c r="S618" s="190">
        <f t="shared" si="68"/>
        <v>2262188.67</v>
      </c>
      <c r="T618" s="190">
        <f t="shared" si="66"/>
        <v>460.09369305239176</v>
      </c>
      <c r="U618" s="190">
        <v>1620.0424666449721</v>
      </c>
      <c r="V618" s="221">
        <f t="shared" si="67"/>
        <v>1159.9487735925804</v>
      </c>
      <c r="W618" s="221">
        <f>X618+Y618+Z618+AA618+AB618+AD618+AF618+AH618+AJ618+AL618+AN618+AO618</f>
        <v>1207.9894077448748</v>
      </c>
      <c r="X618" s="221">
        <v>0</v>
      </c>
      <c r="Y618" s="222">
        <v>0</v>
      </c>
      <c r="Z618" s="222">
        <v>0</v>
      </c>
      <c r="AA618" s="222">
        <v>0</v>
      </c>
      <c r="AB618" s="222">
        <v>0</v>
      </c>
      <c r="AC618" s="222">
        <v>0</v>
      </c>
      <c r="AD618" s="222">
        <v>0</v>
      </c>
      <c r="AE618" s="222">
        <v>952</v>
      </c>
      <c r="AF618" s="221">
        <f>6238.91*AE618/I618</f>
        <v>1207.9894077448748</v>
      </c>
      <c r="AG618" s="222">
        <v>0</v>
      </c>
      <c r="AH618" s="221">
        <v>0</v>
      </c>
      <c r="AI618" s="222">
        <v>0</v>
      </c>
      <c r="AJ618" s="221">
        <v>0</v>
      </c>
      <c r="AK618" s="222">
        <v>0</v>
      </c>
      <c r="AL618" s="222">
        <v>0</v>
      </c>
      <c r="AM618" s="222">
        <v>0</v>
      </c>
      <c r="AN618" s="222"/>
      <c r="AO618" s="222">
        <v>0</v>
      </c>
    </row>
    <row r="619" spans="1:41" s="223" customFormat="1" ht="36" customHeight="1" x14ac:dyDescent="0.25">
      <c r="A619" s="223">
        <v>1</v>
      </c>
      <c r="B619" s="225">
        <f>SUBTOTAL(103,$A$552:A619)</f>
        <v>68</v>
      </c>
      <c r="C619" s="215" t="s">
        <v>1583</v>
      </c>
      <c r="D619" s="228">
        <v>1970</v>
      </c>
      <c r="E619" s="217"/>
      <c r="F619" s="226" t="s">
        <v>267</v>
      </c>
      <c r="G619" s="217">
        <v>5</v>
      </c>
      <c r="H619" s="217" t="s">
        <v>308</v>
      </c>
      <c r="I619" s="218">
        <v>12297.5</v>
      </c>
      <c r="J619" s="218">
        <v>3386.1</v>
      </c>
      <c r="K619" s="218">
        <v>3386.1</v>
      </c>
      <c r="L619" s="219">
        <v>153</v>
      </c>
      <c r="M619" s="217" t="s">
        <v>265</v>
      </c>
      <c r="N619" s="217" t="s">
        <v>269</v>
      </c>
      <c r="O619" s="220" t="s">
        <v>1587</v>
      </c>
      <c r="P619" s="190">
        <v>4542675.7399999993</v>
      </c>
      <c r="Q619" s="190">
        <v>0</v>
      </c>
      <c r="R619" s="190">
        <v>0</v>
      </c>
      <c r="S619" s="190">
        <f t="shared" si="68"/>
        <v>4542675.7399999993</v>
      </c>
      <c r="T619" s="190">
        <f t="shared" si="66"/>
        <v>369.39831185200239</v>
      </c>
      <c r="U619" s="190">
        <v>592.16233380768449</v>
      </c>
      <c r="V619" s="221">
        <f t="shared" si="67"/>
        <v>222.7640219556821</v>
      </c>
      <c r="W619" s="221">
        <f>X619+Y619+Z619+AA619+AB619+AD619+AF619+AH619+AJ619+AL619+AN619+AO619</f>
        <v>303.38427973165273</v>
      </c>
      <c r="X619" s="221">
        <v>0</v>
      </c>
      <c r="Y619" s="222">
        <v>0</v>
      </c>
      <c r="Z619" s="222">
        <v>0</v>
      </c>
      <c r="AA619" s="222">
        <v>0</v>
      </c>
      <c r="AB619" s="222">
        <v>0</v>
      </c>
      <c r="AC619" s="222">
        <v>0</v>
      </c>
      <c r="AD619" s="222">
        <v>0</v>
      </c>
      <c r="AE619" s="222">
        <v>598</v>
      </c>
      <c r="AF619" s="221">
        <f>6238.91*AE619/I619</f>
        <v>303.38427973165273</v>
      </c>
      <c r="AG619" s="222">
        <v>0</v>
      </c>
      <c r="AH619" s="221">
        <v>0</v>
      </c>
      <c r="AI619" s="222">
        <v>0</v>
      </c>
      <c r="AJ619" s="221">
        <v>0</v>
      </c>
      <c r="AK619" s="222">
        <v>0</v>
      </c>
      <c r="AL619" s="222">
        <v>0</v>
      </c>
      <c r="AM619" s="222">
        <v>0</v>
      </c>
      <c r="AN619" s="222"/>
      <c r="AO619" s="222">
        <v>0</v>
      </c>
    </row>
    <row r="620" spans="1:41" s="223" customFormat="1" ht="36" customHeight="1" x14ac:dyDescent="0.25">
      <c r="A620" s="223">
        <v>1</v>
      </c>
      <c r="B620" s="225">
        <f>SUBTOTAL(103,$A$552:A620)</f>
        <v>69</v>
      </c>
      <c r="C620" s="215" t="s">
        <v>579</v>
      </c>
      <c r="D620" s="228">
        <v>1987</v>
      </c>
      <c r="E620" s="217"/>
      <c r="F620" s="226" t="s">
        <v>318</v>
      </c>
      <c r="G620" s="217" t="s">
        <v>351</v>
      </c>
      <c r="H620" s="217" t="s">
        <v>308</v>
      </c>
      <c r="I620" s="218">
        <v>3579.9</v>
      </c>
      <c r="J620" s="218">
        <v>3187.3</v>
      </c>
      <c r="K620" s="218">
        <v>3187.3</v>
      </c>
      <c r="L620" s="219">
        <v>157</v>
      </c>
      <c r="M620" s="217" t="s">
        <v>265</v>
      </c>
      <c r="N620" s="217" t="s">
        <v>269</v>
      </c>
      <c r="O620" s="220" t="s">
        <v>2271</v>
      </c>
      <c r="P620" s="190">
        <v>1966231.38</v>
      </c>
      <c r="Q620" s="190">
        <v>0</v>
      </c>
      <c r="R620" s="190">
        <v>0</v>
      </c>
      <c r="S620" s="190">
        <f t="shared" si="68"/>
        <v>1966231.38</v>
      </c>
      <c r="T620" s="190">
        <f t="shared" si="66"/>
        <v>549.24198441297233</v>
      </c>
      <c r="U620" s="190">
        <v>1668.2355065783961</v>
      </c>
      <c r="V620" s="221">
        <f t="shared" si="67"/>
        <v>1118.9935221654237</v>
      </c>
      <c r="W620" s="221">
        <f t="shared" ref="W620:W635" si="69">T620</f>
        <v>549.24198441297233</v>
      </c>
      <c r="X620" s="221">
        <v>0</v>
      </c>
      <c r="Y620" s="222">
        <v>0</v>
      </c>
      <c r="Z620" s="222">
        <v>0</v>
      </c>
      <c r="AA620" s="222">
        <v>0</v>
      </c>
      <c r="AB620" s="222">
        <v>0</v>
      </c>
      <c r="AC620" s="222">
        <v>0</v>
      </c>
      <c r="AD620" s="222">
        <v>0</v>
      </c>
      <c r="AE620" s="222">
        <v>0</v>
      </c>
      <c r="AF620" s="221">
        <v>0</v>
      </c>
      <c r="AG620" s="222">
        <v>0</v>
      </c>
      <c r="AH620" s="221">
        <v>0</v>
      </c>
      <c r="AI620" s="222">
        <v>0</v>
      </c>
      <c r="AJ620" s="221">
        <v>0</v>
      </c>
      <c r="AK620" s="222">
        <v>0</v>
      </c>
      <c r="AL620" s="222">
        <v>0</v>
      </c>
      <c r="AM620" s="222">
        <v>0</v>
      </c>
      <c r="AN620" s="222"/>
      <c r="AO620" s="222">
        <v>0</v>
      </c>
    </row>
    <row r="621" spans="1:41" s="223" customFormat="1" ht="36" customHeight="1" x14ac:dyDescent="0.25">
      <c r="A621" s="223">
        <v>1</v>
      </c>
      <c r="B621" s="225">
        <f>SUBTOTAL(103,$A$552:A621)</f>
        <v>70</v>
      </c>
      <c r="C621" s="215" t="s">
        <v>1584</v>
      </c>
      <c r="D621" s="228">
        <v>1960</v>
      </c>
      <c r="E621" s="217"/>
      <c r="F621" s="226" t="s">
        <v>1571</v>
      </c>
      <c r="G621" s="217" t="s">
        <v>308</v>
      </c>
      <c r="H621" s="217" t="s">
        <v>303</v>
      </c>
      <c r="I621" s="218">
        <v>1706.1</v>
      </c>
      <c r="J621" s="218">
        <v>1266.5999999999999</v>
      </c>
      <c r="K621" s="218">
        <v>1266.5999999999999</v>
      </c>
      <c r="L621" s="219">
        <v>56</v>
      </c>
      <c r="M621" s="217" t="s">
        <v>265</v>
      </c>
      <c r="N621" s="217" t="s">
        <v>269</v>
      </c>
      <c r="O621" s="220" t="s">
        <v>1317</v>
      </c>
      <c r="P621" s="190">
        <v>2739411.65</v>
      </c>
      <c r="Q621" s="190">
        <v>0</v>
      </c>
      <c r="R621" s="190">
        <v>0</v>
      </c>
      <c r="S621" s="190">
        <f t="shared" si="68"/>
        <v>2739411.65</v>
      </c>
      <c r="T621" s="190">
        <f t="shared" si="66"/>
        <v>1605.6571420198113</v>
      </c>
      <c r="U621" s="190">
        <v>5729.4281695094078</v>
      </c>
      <c r="V621" s="221">
        <f t="shared" si="67"/>
        <v>4123.7710274895962</v>
      </c>
      <c r="W621" s="221">
        <f t="shared" si="69"/>
        <v>1605.6571420198113</v>
      </c>
      <c r="X621" s="221">
        <v>0</v>
      </c>
      <c r="Y621" s="222">
        <v>0</v>
      </c>
      <c r="Z621" s="222">
        <v>0</v>
      </c>
      <c r="AA621" s="222">
        <v>0</v>
      </c>
      <c r="AB621" s="222">
        <v>0</v>
      </c>
      <c r="AC621" s="222">
        <v>0</v>
      </c>
      <c r="AD621" s="222">
        <v>0</v>
      </c>
      <c r="AE621" s="222">
        <v>0</v>
      </c>
      <c r="AF621" s="221">
        <v>0</v>
      </c>
      <c r="AG621" s="222">
        <v>0</v>
      </c>
      <c r="AH621" s="221">
        <v>0</v>
      </c>
      <c r="AI621" s="222">
        <v>0</v>
      </c>
      <c r="AJ621" s="221">
        <v>0</v>
      </c>
      <c r="AK621" s="222">
        <v>0</v>
      </c>
      <c r="AL621" s="222">
        <v>0</v>
      </c>
      <c r="AM621" s="222">
        <v>0</v>
      </c>
      <c r="AN621" s="222"/>
      <c r="AO621" s="222">
        <v>0</v>
      </c>
    </row>
    <row r="622" spans="1:41" s="223" customFormat="1" ht="36" customHeight="1" x14ac:dyDescent="0.25">
      <c r="A622" s="223">
        <v>1</v>
      </c>
      <c r="B622" s="225">
        <f>SUBTOTAL(103,$A$552:A622)</f>
        <v>71</v>
      </c>
      <c r="C622" s="215" t="s">
        <v>498</v>
      </c>
      <c r="D622" s="217">
        <v>1980</v>
      </c>
      <c r="E622" s="217"/>
      <c r="F622" s="226" t="s">
        <v>318</v>
      </c>
      <c r="G622" s="217" t="s">
        <v>351</v>
      </c>
      <c r="H622" s="217" t="s">
        <v>308</v>
      </c>
      <c r="I622" s="218">
        <v>3319.7</v>
      </c>
      <c r="J622" s="218">
        <v>3048.7</v>
      </c>
      <c r="K622" s="218">
        <v>3048.7</v>
      </c>
      <c r="L622" s="219">
        <v>147</v>
      </c>
      <c r="M622" s="217" t="s">
        <v>265</v>
      </c>
      <c r="N622" s="217" t="s">
        <v>269</v>
      </c>
      <c r="O622" s="220" t="s">
        <v>1690</v>
      </c>
      <c r="P622" s="190">
        <v>4074712.4</v>
      </c>
      <c r="Q622" s="190">
        <v>0</v>
      </c>
      <c r="R622" s="190">
        <v>0</v>
      </c>
      <c r="S622" s="190">
        <f t="shared" si="68"/>
        <v>4074712.4</v>
      </c>
      <c r="T622" s="190">
        <f t="shared" si="66"/>
        <v>1227.4339247522366</v>
      </c>
      <c r="U622" s="190">
        <v>1568.2621923667803</v>
      </c>
      <c r="V622" s="221">
        <f t="shared" si="67"/>
        <v>340.82826761454362</v>
      </c>
      <c r="W622" s="221">
        <f t="shared" si="69"/>
        <v>1227.4339247522366</v>
      </c>
      <c r="X622" s="221">
        <v>0</v>
      </c>
      <c r="Y622" s="222">
        <v>0</v>
      </c>
      <c r="Z622" s="222">
        <v>0</v>
      </c>
      <c r="AA622" s="222">
        <v>0</v>
      </c>
      <c r="AB622" s="222">
        <v>0</v>
      </c>
      <c r="AC622" s="222">
        <v>0</v>
      </c>
      <c r="AD622" s="222">
        <v>0</v>
      </c>
      <c r="AE622" s="222">
        <v>0</v>
      </c>
      <c r="AF622" s="221">
        <v>0</v>
      </c>
      <c r="AG622" s="222">
        <v>0</v>
      </c>
      <c r="AH622" s="221">
        <v>0</v>
      </c>
      <c r="AI622" s="222">
        <v>0</v>
      </c>
      <c r="AJ622" s="221">
        <v>0</v>
      </c>
      <c r="AK622" s="222">
        <v>0</v>
      </c>
      <c r="AL622" s="222">
        <v>0</v>
      </c>
      <c r="AM622" s="222">
        <v>0</v>
      </c>
      <c r="AN622" s="222"/>
      <c r="AO622" s="222">
        <v>0</v>
      </c>
    </row>
    <row r="623" spans="1:41" s="223" customFormat="1" ht="36" customHeight="1" x14ac:dyDescent="0.25">
      <c r="A623" s="223">
        <v>1</v>
      </c>
      <c r="B623" s="225">
        <f>SUBTOTAL(103,$A$552:A623)</f>
        <v>72</v>
      </c>
      <c r="C623" s="215" t="s">
        <v>1585</v>
      </c>
      <c r="D623" s="217">
        <v>1961</v>
      </c>
      <c r="E623" s="217"/>
      <c r="F623" s="226" t="s">
        <v>267</v>
      </c>
      <c r="G623" s="217">
        <v>4</v>
      </c>
      <c r="H623" s="217" t="s">
        <v>303</v>
      </c>
      <c r="I623" s="218">
        <v>1732.3</v>
      </c>
      <c r="J623" s="218">
        <v>1276.7</v>
      </c>
      <c r="K623" s="218">
        <v>1276.7</v>
      </c>
      <c r="L623" s="219">
        <v>59</v>
      </c>
      <c r="M623" s="217" t="s">
        <v>265</v>
      </c>
      <c r="N623" s="217" t="s">
        <v>269</v>
      </c>
      <c r="O623" s="220" t="s">
        <v>1588</v>
      </c>
      <c r="P623" s="190">
        <v>3000999.9</v>
      </c>
      <c r="Q623" s="190">
        <v>0</v>
      </c>
      <c r="R623" s="190">
        <v>0</v>
      </c>
      <c r="S623" s="190">
        <f t="shared" si="68"/>
        <v>3000999.9</v>
      </c>
      <c r="T623" s="190">
        <f t="shared" si="66"/>
        <v>1732.3788604745137</v>
      </c>
      <c r="U623" s="190">
        <v>2655.9740807019566</v>
      </c>
      <c r="V623" s="221">
        <f t="shared" si="67"/>
        <v>923.59522022744295</v>
      </c>
      <c r="W623" s="221">
        <f t="shared" si="69"/>
        <v>1732.3788604745137</v>
      </c>
      <c r="X623" s="221">
        <v>0</v>
      </c>
      <c r="Y623" s="222">
        <v>0</v>
      </c>
      <c r="Z623" s="222">
        <v>0</v>
      </c>
      <c r="AA623" s="222">
        <v>0</v>
      </c>
      <c r="AB623" s="222">
        <v>0</v>
      </c>
      <c r="AC623" s="222">
        <v>0</v>
      </c>
      <c r="AD623" s="222">
        <v>0</v>
      </c>
      <c r="AE623" s="222">
        <v>0</v>
      </c>
      <c r="AF623" s="221">
        <v>0</v>
      </c>
      <c r="AG623" s="222">
        <v>0</v>
      </c>
      <c r="AH623" s="221">
        <v>0</v>
      </c>
      <c r="AI623" s="222">
        <v>0</v>
      </c>
      <c r="AJ623" s="221">
        <v>0</v>
      </c>
      <c r="AK623" s="222">
        <v>0</v>
      </c>
      <c r="AL623" s="222">
        <v>0</v>
      </c>
      <c r="AM623" s="222">
        <v>0</v>
      </c>
      <c r="AN623" s="222"/>
      <c r="AO623" s="222">
        <v>0</v>
      </c>
    </row>
    <row r="624" spans="1:41" s="223" customFormat="1" ht="36" customHeight="1" x14ac:dyDescent="0.25">
      <c r="A624" s="223">
        <v>1</v>
      </c>
      <c r="B624" s="225">
        <f>SUBTOTAL(103,$A$552:A624)</f>
        <v>73</v>
      </c>
      <c r="C624" s="215" t="s">
        <v>502</v>
      </c>
      <c r="D624" s="217">
        <v>1981</v>
      </c>
      <c r="E624" s="217"/>
      <c r="F624" s="226" t="s">
        <v>1571</v>
      </c>
      <c r="G624" s="217" t="s">
        <v>351</v>
      </c>
      <c r="H624" s="217" t="s">
        <v>304</v>
      </c>
      <c r="I624" s="218">
        <v>855.3</v>
      </c>
      <c r="J624" s="218">
        <v>794.8</v>
      </c>
      <c r="K624" s="218">
        <v>583.6</v>
      </c>
      <c r="L624" s="219">
        <v>24</v>
      </c>
      <c r="M624" s="217" t="s">
        <v>265</v>
      </c>
      <c r="N624" s="217" t="s">
        <v>269</v>
      </c>
      <c r="O624" s="220" t="s">
        <v>348</v>
      </c>
      <c r="P624" s="190">
        <v>685138.2</v>
      </c>
      <c r="Q624" s="190">
        <v>0</v>
      </c>
      <c r="R624" s="190">
        <v>0</v>
      </c>
      <c r="S624" s="190">
        <f t="shared" si="68"/>
        <v>685138.2</v>
      </c>
      <c r="T624" s="190">
        <f t="shared" si="66"/>
        <v>801.0501578393546</v>
      </c>
      <c r="U624" s="190">
        <v>3626.97</v>
      </c>
      <c r="V624" s="221">
        <f t="shared" si="67"/>
        <v>2825.9198421606452</v>
      </c>
      <c r="W624" s="221">
        <f t="shared" si="69"/>
        <v>801.0501578393546</v>
      </c>
      <c r="X624" s="221">
        <v>0</v>
      </c>
      <c r="Y624" s="222">
        <v>0</v>
      </c>
      <c r="Z624" s="222">
        <v>0</v>
      </c>
      <c r="AA624" s="222">
        <v>0</v>
      </c>
      <c r="AB624" s="222">
        <v>0</v>
      </c>
      <c r="AC624" s="222">
        <v>0</v>
      </c>
      <c r="AD624" s="222">
        <v>0</v>
      </c>
      <c r="AE624" s="222">
        <v>0</v>
      </c>
      <c r="AF624" s="221">
        <v>0</v>
      </c>
      <c r="AG624" s="222">
        <v>0</v>
      </c>
      <c r="AH624" s="221">
        <v>0</v>
      </c>
      <c r="AI624" s="222">
        <v>0</v>
      </c>
      <c r="AJ624" s="221">
        <v>0</v>
      </c>
      <c r="AK624" s="222">
        <v>0</v>
      </c>
      <c r="AL624" s="222">
        <v>0</v>
      </c>
      <c r="AM624" s="222">
        <v>0</v>
      </c>
      <c r="AN624" s="222"/>
      <c r="AO624" s="222">
        <v>0</v>
      </c>
    </row>
    <row r="625" spans="1:41" s="223" customFormat="1" ht="36" customHeight="1" x14ac:dyDescent="0.25">
      <c r="A625" s="223">
        <v>1</v>
      </c>
      <c r="B625" s="225">
        <f>SUBTOTAL(103,$A$552:A625)</f>
        <v>74</v>
      </c>
      <c r="C625" s="215" t="s">
        <v>504</v>
      </c>
      <c r="D625" s="217">
        <v>1967</v>
      </c>
      <c r="E625" s="217"/>
      <c r="F625" s="226" t="s">
        <v>267</v>
      </c>
      <c r="G625" s="217">
        <v>2</v>
      </c>
      <c r="H625" s="217" t="s">
        <v>303</v>
      </c>
      <c r="I625" s="218">
        <v>709.3</v>
      </c>
      <c r="J625" s="218">
        <v>653.29999999999995</v>
      </c>
      <c r="K625" s="218">
        <v>653.29999999999995</v>
      </c>
      <c r="L625" s="219">
        <v>36</v>
      </c>
      <c r="M625" s="217" t="s">
        <v>265</v>
      </c>
      <c r="N625" s="217" t="s">
        <v>269</v>
      </c>
      <c r="O625" s="220" t="s">
        <v>1380</v>
      </c>
      <c r="P625" s="190">
        <v>2489210.85</v>
      </c>
      <c r="Q625" s="190">
        <v>0</v>
      </c>
      <c r="R625" s="190">
        <v>0</v>
      </c>
      <c r="S625" s="190">
        <f t="shared" si="68"/>
        <v>2489210.85</v>
      </c>
      <c r="T625" s="190">
        <f t="shared" si="66"/>
        <v>3509.39073734668</v>
      </c>
      <c r="U625" s="190">
        <v>5550.7662484139291</v>
      </c>
      <c r="V625" s="221">
        <f t="shared" si="67"/>
        <v>2041.3755110672491</v>
      </c>
      <c r="W625" s="221">
        <f t="shared" si="69"/>
        <v>3509.39073734668</v>
      </c>
      <c r="X625" s="221">
        <v>0</v>
      </c>
      <c r="Y625" s="222">
        <v>0</v>
      </c>
      <c r="Z625" s="222">
        <v>0</v>
      </c>
      <c r="AA625" s="222">
        <v>0</v>
      </c>
      <c r="AB625" s="222">
        <v>0</v>
      </c>
      <c r="AC625" s="222">
        <v>0</v>
      </c>
      <c r="AD625" s="222">
        <v>0</v>
      </c>
      <c r="AE625" s="222">
        <v>0</v>
      </c>
      <c r="AF625" s="221">
        <v>0</v>
      </c>
      <c r="AG625" s="222">
        <v>0</v>
      </c>
      <c r="AH625" s="221">
        <v>0</v>
      </c>
      <c r="AI625" s="222">
        <v>0</v>
      </c>
      <c r="AJ625" s="221">
        <v>0</v>
      </c>
      <c r="AK625" s="222">
        <v>0</v>
      </c>
      <c r="AL625" s="222">
        <v>0</v>
      </c>
      <c r="AM625" s="222">
        <v>0</v>
      </c>
      <c r="AN625" s="222"/>
      <c r="AO625" s="222">
        <v>0</v>
      </c>
    </row>
    <row r="626" spans="1:41" s="223" customFormat="1" ht="36" customHeight="1" x14ac:dyDescent="0.25">
      <c r="A626" s="223">
        <v>1</v>
      </c>
      <c r="B626" s="225">
        <f>SUBTOTAL(103,$A$552:A626)</f>
        <v>75</v>
      </c>
      <c r="C626" s="215" t="s">
        <v>527</v>
      </c>
      <c r="D626" s="217">
        <v>1988</v>
      </c>
      <c r="E626" s="217"/>
      <c r="F626" s="226" t="s">
        <v>267</v>
      </c>
      <c r="G626" s="217">
        <v>2</v>
      </c>
      <c r="H626" s="217" t="s">
        <v>303</v>
      </c>
      <c r="I626" s="218">
        <v>1063.8</v>
      </c>
      <c r="J626" s="218">
        <v>565.6</v>
      </c>
      <c r="K626" s="218">
        <v>565.6</v>
      </c>
      <c r="L626" s="219">
        <v>36</v>
      </c>
      <c r="M626" s="217" t="s">
        <v>265</v>
      </c>
      <c r="N626" s="217" t="s">
        <v>269</v>
      </c>
      <c r="O626" s="220" t="s">
        <v>1396</v>
      </c>
      <c r="P626" s="190">
        <v>2278490.67</v>
      </c>
      <c r="Q626" s="190">
        <v>0</v>
      </c>
      <c r="R626" s="190">
        <v>0</v>
      </c>
      <c r="S626" s="190">
        <f t="shared" si="68"/>
        <v>2278490.67</v>
      </c>
      <c r="T626" s="190">
        <f t="shared" si="66"/>
        <v>2141.8412013536381</v>
      </c>
      <c r="U626" s="190">
        <v>3456.3362474149276</v>
      </c>
      <c r="V626" s="221">
        <f t="shared" si="67"/>
        <v>1314.4950460612895</v>
      </c>
      <c r="W626" s="221">
        <f t="shared" si="69"/>
        <v>2141.8412013536381</v>
      </c>
      <c r="X626" s="221">
        <v>0</v>
      </c>
      <c r="Y626" s="222">
        <v>0</v>
      </c>
      <c r="Z626" s="222">
        <v>0</v>
      </c>
      <c r="AA626" s="222">
        <v>0</v>
      </c>
      <c r="AB626" s="222">
        <v>0</v>
      </c>
      <c r="AC626" s="222">
        <v>0</v>
      </c>
      <c r="AD626" s="222">
        <v>0</v>
      </c>
      <c r="AE626" s="222">
        <v>0</v>
      </c>
      <c r="AF626" s="221">
        <v>0</v>
      </c>
      <c r="AG626" s="222">
        <v>0</v>
      </c>
      <c r="AH626" s="221">
        <v>0</v>
      </c>
      <c r="AI626" s="222">
        <v>0</v>
      </c>
      <c r="AJ626" s="221">
        <v>0</v>
      </c>
      <c r="AK626" s="222">
        <v>0</v>
      </c>
      <c r="AL626" s="222">
        <v>0</v>
      </c>
      <c r="AM626" s="222">
        <v>0</v>
      </c>
      <c r="AN626" s="222"/>
      <c r="AO626" s="222">
        <v>0</v>
      </c>
    </row>
    <row r="627" spans="1:41" s="223" customFormat="1" ht="36" customHeight="1" x14ac:dyDescent="0.25">
      <c r="A627" s="223">
        <v>1</v>
      </c>
      <c r="B627" s="225">
        <f>SUBTOTAL(103,$A$552:A627)</f>
        <v>76</v>
      </c>
      <c r="C627" s="215" t="s">
        <v>1372</v>
      </c>
      <c r="D627" s="217">
        <v>1960</v>
      </c>
      <c r="E627" s="217"/>
      <c r="F627" s="226" t="s">
        <v>1571</v>
      </c>
      <c r="G627" s="217" t="s">
        <v>303</v>
      </c>
      <c r="H627" s="217" t="s">
        <v>303</v>
      </c>
      <c r="I627" s="218">
        <v>678.4</v>
      </c>
      <c r="J627" s="218">
        <v>622.9</v>
      </c>
      <c r="K627" s="218">
        <v>622.9</v>
      </c>
      <c r="L627" s="219">
        <v>21</v>
      </c>
      <c r="M627" s="217" t="s">
        <v>265</v>
      </c>
      <c r="N627" s="217" t="s">
        <v>269</v>
      </c>
      <c r="O627" s="220" t="s">
        <v>349</v>
      </c>
      <c r="P627" s="190">
        <v>2009865.45</v>
      </c>
      <c r="Q627" s="190">
        <v>0</v>
      </c>
      <c r="R627" s="190">
        <v>0</v>
      </c>
      <c r="S627" s="190">
        <f t="shared" si="68"/>
        <v>2009865.45</v>
      </c>
      <c r="T627" s="190">
        <f t="shared" si="66"/>
        <v>2962.6554392688681</v>
      </c>
      <c r="U627" s="190">
        <v>8070.7216981132087</v>
      </c>
      <c r="V627" s="221">
        <f t="shared" si="67"/>
        <v>5108.0662588443411</v>
      </c>
      <c r="W627" s="221">
        <f t="shared" si="69"/>
        <v>2962.6554392688681</v>
      </c>
      <c r="X627" s="221">
        <v>0</v>
      </c>
      <c r="Y627" s="222">
        <v>0</v>
      </c>
      <c r="Z627" s="222">
        <v>0</v>
      </c>
      <c r="AA627" s="222">
        <v>0</v>
      </c>
      <c r="AB627" s="222">
        <v>0</v>
      </c>
      <c r="AC627" s="222">
        <v>0</v>
      </c>
      <c r="AD627" s="222">
        <v>0</v>
      </c>
      <c r="AE627" s="222">
        <v>0</v>
      </c>
      <c r="AF627" s="221">
        <v>0</v>
      </c>
      <c r="AG627" s="222">
        <v>0</v>
      </c>
      <c r="AH627" s="221">
        <v>0</v>
      </c>
      <c r="AI627" s="222">
        <v>0</v>
      </c>
      <c r="AJ627" s="221">
        <v>0</v>
      </c>
      <c r="AK627" s="222">
        <v>0</v>
      </c>
      <c r="AL627" s="222">
        <v>0</v>
      </c>
      <c r="AM627" s="222">
        <v>0</v>
      </c>
      <c r="AN627" s="222"/>
      <c r="AO627" s="222">
        <v>0</v>
      </c>
    </row>
    <row r="628" spans="1:41" s="223" customFormat="1" ht="36" customHeight="1" x14ac:dyDescent="0.25">
      <c r="A628" s="223">
        <v>1</v>
      </c>
      <c r="B628" s="225">
        <f>SUBTOTAL(103,$A$552:A628)</f>
        <v>77</v>
      </c>
      <c r="C628" s="215" t="s">
        <v>1613</v>
      </c>
      <c r="D628" s="217">
        <v>1961</v>
      </c>
      <c r="E628" s="217"/>
      <c r="F628" s="226" t="s">
        <v>1571</v>
      </c>
      <c r="G628" s="217" t="s">
        <v>312</v>
      </c>
      <c r="H628" s="217" t="s">
        <v>312</v>
      </c>
      <c r="I628" s="218">
        <v>1516.8</v>
      </c>
      <c r="J628" s="218">
        <v>1516.8</v>
      </c>
      <c r="K628" s="218">
        <v>1516.8</v>
      </c>
      <c r="L628" s="219">
        <v>76</v>
      </c>
      <c r="M628" s="217" t="s">
        <v>265</v>
      </c>
      <c r="N628" s="217" t="s">
        <v>269</v>
      </c>
      <c r="O628" s="220" t="s">
        <v>2269</v>
      </c>
      <c r="P628" s="190">
        <v>3896205.56</v>
      </c>
      <c r="Q628" s="190">
        <v>0</v>
      </c>
      <c r="R628" s="190">
        <v>0</v>
      </c>
      <c r="S628" s="190">
        <f t="shared" si="68"/>
        <v>3896205.56</v>
      </c>
      <c r="T628" s="190">
        <f t="shared" si="66"/>
        <v>2568.7009229957807</v>
      </c>
      <c r="U628" s="190">
        <v>3766.9835179324891</v>
      </c>
      <c r="V628" s="221">
        <f t="shared" si="67"/>
        <v>1198.2825949367084</v>
      </c>
      <c r="W628" s="221">
        <f t="shared" si="69"/>
        <v>2568.7009229957807</v>
      </c>
      <c r="X628" s="221">
        <v>0</v>
      </c>
      <c r="Y628" s="222">
        <v>0</v>
      </c>
      <c r="Z628" s="222">
        <v>0</v>
      </c>
      <c r="AA628" s="222">
        <v>0</v>
      </c>
      <c r="AB628" s="222">
        <v>0</v>
      </c>
      <c r="AC628" s="222">
        <v>0</v>
      </c>
      <c r="AD628" s="222">
        <v>0</v>
      </c>
      <c r="AE628" s="222">
        <v>0</v>
      </c>
      <c r="AF628" s="221">
        <v>0</v>
      </c>
      <c r="AG628" s="222">
        <v>0</v>
      </c>
      <c r="AH628" s="221">
        <v>0</v>
      </c>
      <c r="AI628" s="222">
        <v>0</v>
      </c>
      <c r="AJ628" s="221">
        <v>0</v>
      </c>
      <c r="AK628" s="222">
        <v>0</v>
      </c>
      <c r="AL628" s="222">
        <v>0</v>
      </c>
      <c r="AM628" s="222">
        <v>0</v>
      </c>
      <c r="AN628" s="222"/>
      <c r="AO628" s="222">
        <v>0</v>
      </c>
    </row>
    <row r="629" spans="1:41" s="223" customFormat="1" ht="36" customHeight="1" x14ac:dyDescent="0.25">
      <c r="A629" s="223">
        <v>1</v>
      </c>
      <c r="B629" s="225">
        <f>SUBTOTAL(103,$A$552:A629)</f>
        <v>78</v>
      </c>
      <c r="C629" s="215" t="s">
        <v>568</v>
      </c>
      <c r="D629" s="217" t="s">
        <v>309</v>
      </c>
      <c r="E629" s="217"/>
      <c r="F629" s="226" t="s">
        <v>267</v>
      </c>
      <c r="G629" s="217" t="s">
        <v>351</v>
      </c>
      <c r="H629" s="217" t="s">
        <v>304</v>
      </c>
      <c r="I629" s="218">
        <v>658.3</v>
      </c>
      <c r="J629" s="218">
        <v>606.6</v>
      </c>
      <c r="K629" s="218">
        <v>606.6</v>
      </c>
      <c r="L629" s="219">
        <v>17</v>
      </c>
      <c r="M629" s="217" t="s">
        <v>265</v>
      </c>
      <c r="N629" s="217" t="s">
        <v>269</v>
      </c>
      <c r="O629" s="220" t="s">
        <v>1646</v>
      </c>
      <c r="P629" s="190">
        <v>908808.26</v>
      </c>
      <c r="Q629" s="190">
        <v>0</v>
      </c>
      <c r="R629" s="190">
        <v>0</v>
      </c>
      <c r="S629" s="190">
        <f t="shared" si="68"/>
        <v>908808.26</v>
      </c>
      <c r="T629" s="190">
        <f t="shared" si="66"/>
        <v>1380.5381437034787</v>
      </c>
      <c r="U629" s="190">
        <v>2273.6913261430959</v>
      </c>
      <c r="V629" s="221">
        <f t="shared" si="67"/>
        <v>893.15318243961724</v>
      </c>
      <c r="W629" s="221">
        <f t="shared" si="69"/>
        <v>1380.5381437034787</v>
      </c>
      <c r="X629" s="221">
        <v>0</v>
      </c>
      <c r="Y629" s="222">
        <v>0</v>
      </c>
      <c r="Z629" s="222">
        <v>0</v>
      </c>
      <c r="AA629" s="222">
        <v>0</v>
      </c>
      <c r="AB629" s="222">
        <v>0</v>
      </c>
      <c r="AC629" s="222">
        <v>0</v>
      </c>
      <c r="AD629" s="222">
        <v>0</v>
      </c>
      <c r="AE629" s="222">
        <v>0</v>
      </c>
      <c r="AF629" s="221">
        <v>0</v>
      </c>
      <c r="AG629" s="222">
        <v>0</v>
      </c>
      <c r="AH629" s="221">
        <v>0</v>
      </c>
      <c r="AI629" s="222">
        <v>0</v>
      </c>
      <c r="AJ629" s="221">
        <v>0</v>
      </c>
      <c r="AK629" s="222">
        <v>0</v>
      </c>
      <c r="AL629" s="222">
        <v>0</v>
      </c>
      <c r="AM629" s="222">
        <v>0</v>
      </c>
      <c r="AN629" s="222"/>
      <c r="AO629" s="222">
        <v>0</v>
      </c>
    </row>
    <row r="630" spans="1:41" s="223" customFormat="1" ht="36" customHeight="1" x14ac:dyDescent="0.25">
      <c r="A630" s="223">
        <v>1</v>
      </c>
      <c r="B630" s="225">
        <f>SUBTOTAL(103,$A$552:A630)</f>
        <v>79</v>
      </c>
      <c r="C630" s="215" t="s">
        <v>490</v>
      </c>
      <c r="D630" s="217">
        <v>1962</v>
      </c>
      <c r="E630" s="217"/>
      <c r="F630" s="226" t="s">
        <v>267</v>
      </c>
      <c r="G630" s="217">
        <v>3</v>
      </c>
      <c r="H630" s="217" t="s">
        <v>312</v>
      </c>
      <c r="I630" s="218">
        <v>2721.6</v>
      </c>
      <c r="J630" s="218">
        <v>1752.6</v>
      </c>
      <c r="K630" s="218">
        <v>1752.6</v>
      </c>
      <c r="L630" s="219">
        <v>82</v>
      </c>
      <c r="M630" s="217" t="s">
        <v>265</v>
      </c>
      <c r="N630" s="217" t="s">
        <v>269</v>
      </c>
      <c r="O630" s="220" t="s">
        <v>1319</v>
      </c>
      <c r="P630" s="190">
        <v>3888265.4</v>
      </c>
      <c r="Q630" s="190">
        <v>0</v>
      </c>
      <c r="R630" s="190">
        <v>0</v>
      </c>
      <c r="S630" s="190">
        <f t="shared" si="68"/>
        <v>3888265.4</v>
      </c>
      <c r="T630" s="190">
        <f t="shared" si="66"/>
        <v>1428.6689447383892</v>
      </c>
      <c r="U630" s="190">
        <v>2265.3567680776014</v>
      </c>
      <c r="V630" s="221">
        <f t="shared" si="67"/>
        <v>836.68782333921217</v>
      </c>
      <c r="W630" s="221">
        <f t="shared" si="69"/>
        <v>1428.6689447383892</v>
      </c>
      <c r="X630" s="221">
        <v>0</v>
      </c>
      <c r="Y630" s="222">
        <v>0</v>
      </c>
      <c r="Z630" s="222">
        <v>0</v>
      </c>
      <c r="AA630" s="222">
        <v>0</v>
      </c>
      <c r="AB630" s="222">
        <v>0</v>
      </c>
      <c r="AC630" s="222">
        <v>0</v>
      </c>
      <c r="AD630" s="222">
        <v>0</v>
      </c>
      <c r="AE630" s="222">
        <v>0</v>
      </c>
      <c r="AF630" s="221">
        <v>0</v>
      </c>
      <c r="AG630" s="222">
        <v>0</v>
      </c>
      <c r="AH630" s="221">
        <v>0</v>
      </c>
      <c r="AI630" s="222">
        <v>0</v>
      </c>
      <c r="AJ630" s="221">
        <v>0</v>
      </c>
      <c r="AK630" s="222">
        <v>0</v>
      </c>
      <c r="AL630" s="222">
        <v>0</v>
      </c>
      <c r="AM630" s="222">
        <v>0</v>
      </c>
      <c r="AN630" s="222"/>
      <c r="AO630" s="222">
        <v>0</v>
      </c>
    </row>
    <row r="631" spans="1:41" s="223" customFormat="1" ht="36" customHeight="1" x14ac:dyDescent="0.25">
      <c r="A631" s="223">
        <v>1</v>
      </c>
      <c r="B631" s="225">
        <f>SUBTOTAL(103,$A$552:A631)</f>
        <v>80</v>
      </c>
      <c r="C631" s="215" t="s">
        <v>1097</v>
      </c>
      <c r="D631" s="217">
        <v>1974</v>
      </c>
      <c r="E631" s="217"/>
      <c r="F631" s="226" t="s">
        <v>1571</v>
      </c>
      <c r="G631" s="217" t="s">
        <v>371</v>
      </c>
      <c r="H631" s="217" t="s">
        <v>304</v>
      </c>
      <c r="I631" s="218">
        <v>865.7</v>
      </c>
      <c r="J631" s="218">
        <v>865.7</v>
      </c>
      <c r="K631" s="218">
        <v>602.4</v>
      </c>
      <c r="L631" s="219">
        <v>22</v>
      </c>
      <c r="M631" s="217" t="s">
        <v>265</v>
      </c>
      <c r="N631" s="217" t="s">
        <v>269</v>
      </c>
      <c r="O631" s="220" t="s">
        <v>348</v>
      </c>
      <c r="P631" s="190">
        <v>4301356.74</v>
      </c>
      <c r="Q631" s="190">
        <v>0</v>
      </c>
      <c r="R631" s="190">
        <v>0</v>
      </c>
      <c r="S631" s="190">
        <f t="shared" si="68"/>
        <v>4301356.74</v>
      </c>
      <c r="T631" s="190">
        <f t="shared" si="66"/>
        <v>4968.6458819452464</v>
      </c>
      <c r="U631" s="190">
        <v>9722.3030380039272</v>
      </c>
      <c r="V631" s="221">
        <f t="shared" si="67"/>
        <v>4753.6571560586808</v>
      </c>
      <c r="W631" s="221">
        <f t="shared" si="69"/>
        <v>4968.6458819452464</v>
      </c>
      <c r="X631" s="221">
        <v>0</v>
      </c>
      <c r="Y631" s="222">
        <v>0</v>
      </c>
      <c r="Z631" s="222">
        <v>0</v>
      </c>
      <c r="AA631" s="222">
        <v>0</v>
      </c>
      <c r="AB631" s="222">
        <v>0</v>
      </c>
      <c r="AC631" s="222">
        <v>0</v>
      </c>
      <c r="AD631" s="222">
        <v>0</v>
      </c>
      <c r="AE631" s="222">
        <v>0</v>
      </c>
      <c r="AF631" s="221">
        <v>0</v>
      </c>
      <c r="AG631" s="222">
        <v>0</v>
      </c>
      <c r="AH631" s="221">
        <v>0</v>
      </c>
      <c r="AI631" s="222">
        <v>0</v>
      </c>
      <c r="AJ631" s="221">
        <v>0</v>
      </c>
      <c r="AK631" s="222">
        <v>0</v>
      </c>
      <c r="AL631" s="222">
        <v>0</v>
      </c>
      <c r="AM631" s="222">
        <v>0</v>
      </c>
      <c r="AN631" s="222"/>
      <c r="AO631" s="222">
        <v>0</v>
      </c>
    </row>
    <row r="632" spans="1:41" s="223" customFormat="1" ht="36" customHeight="1" x14ac:dyDescent="0.25">
      <c r="A632" s="223">
        <v>1</v>
      </c>
      <c r="B632" s="225">
        <f>SUBTOTAL(103,$A$552:A632)</f>
        <v>81</v>
      </c>
      <c r="C632" s="215" t="s">
        <v>1127</v>
      </c>
      <c r="D632" s="217">
        <v>1968</v>
      </c>
      <c r="E632" s="217"/>
      <c r="F632" s="226" t="s">
        <v>1571</v>
      </c>
      <c r="G632" s="217" t="s">
        <v>351</v>
      </c>
      <c r="H632" s="217" t="s">
        <v>308</v>
      </c>
      <c r="I632" s="218">
        <v>3176.3</v>
      </c>
      <c r="J632" s="218">
        <v>3176.3</v>
      </c>
      <c r="K632" s="218">
        <v>3093.8</v>
      </c>
      <c r="L632" s="219">
        <v>143</v>
      </c>
      <c r="M632" s="217" t="s">
        <v>265</v>
      </c>
      <c r="N632" s="217" t="s">
        <v>269</v>
      </c>
      <c r="O632" s="220" t="s">
        <v>2269</v>
      </c>
      <c r="P632" s="190">
        <v>1057247.3700000001</v>
      </c>
      <c r="Q632" s="190">
        <v>0</v>
      </c>
      <c r="R632" s="190">
        <v>0</v>
      </c>
      <c r="S632" s="190">
        <f t="shared" si="68"/>
        <v>1057247.3700000001</v>
      </c>
      <c r="T632" s="190">
        <f t="shared" si="66"/>
        <v>332.85501054686273</v>
      </c>
      <c r="U632" s="190">
        <v>2178.2831596511664</v>
      </c>
      <c r="V632" s="221">
        <f t="shared" si="67"/>
        <v>1845.4281491043037</v>
      </c>
      <c r="W632" s="221">
        <f t="shared" si="69"/>
        <v>332.85501054686273</v>
      </c>
      <c r="X632" s="221">
        <v>0</v>
      </c>
      <c r="Y632" s="222">
        <v>0</v>
      </c>
      <c r="Z632" s="222">
        <v>0</v>
      </c>
      <c r="AA632" s="222">
        <v>0</v>
      </c>
      <c r="AB632" s="222">
        <v>0</v>
      </c>
      <c r="AC632" s="222">
        <v>0</v>
      </c>
      <c r="AD632" s="222">
        <v>0</v>
      </c>
      <c r="AE632" s="222">
        <v>0</v>
      </c>
      <c r="AF632" s="221">
        <v>0</v>
      </c>
      <c r="AG632" s="222">
        <v>0</v>
      </c>
      <c r="AH632" s="221">
        <v>0</v>
      </c>
      <c r="AI632" s="222">
        <v>0</v>
      </c>
      <c r="AJ632" s="221">
        <v>0</v>
      </c>
      <c r="AK632" s="222">
        <v>0</v>
      </c>
      <c r="AL632" s="222">
        <v>0</v>
      </c>
      <c r="AM632" s="222">
        <v>0</v>
      </c>
      <c r="AN632" s="222"/>
      <c r="AO632" s="222">
        <v>0</v>
      </c>
    </row>
    <row r="633" spans="1:41" s="223" customFormat="1" ht="36" customHeight="1" x14ac:dyDescent="0.25">
      <c r="A633" s="223">
        <v>1</v>
      </c>
      <c r="B633" s="225">
        <f>SUBTOTAL(103,$A$552:A633)</f>
        <v>82</v>
      </c>
      <c r="C633" s="215" t="s">
        <v>581</v>
      </c>
      <c r="D633" s="217" t="s">
        <v>310</v>
      </c>
      <c r="E633" s="217"/>
      <c r="F633" s="226" t="s">
        <v>311</v>
      </c>
      <c r="G633" s="217" t="s">
        <v>351</v>
      </c>
      <c r="H633" s="217" t="s">
        <v>312</v>
      </c>
      <c r="I633" s="218">
        <v>2249.1</v>
      </c>
      <c r="J633" s="218">
        <v>2046.7</v>
      </c>
      <c r="K633" s="218">
        <v>2046.7</v>
      </c>
      <c r="L633" s="219">
        <v>100</v>
      </c>
      <c r="M633" s="217" t="s">
        <v>265</v>
      </c>
      <c r="N633" s="217" t="s">
        <v>269</v>
      </c>
      <c r="O633" s="220" t="s">
        <v>1381</v>
      </c>
      <c r="P633" s="190">
        <v>2647477.29</v>
      </c>
      <c r="Q633" s="190">
        <v>0</v>
      </c>
      <c r="R633" s="190">
        <v>0</v>
      </c>
      <c r="S633" s="190">
        <f t="shared" si="68"/>
        <v>2647477.29</v>
      </c>
      <c r="T633" s="190">
        <f t="shared" si="66"/>
        <v>1177.1274243030546</v>
      </c>
      <c r="U633" s="190">
        <v>1611.661953670357</v>
      </c>
      <c r="V633" s="221">
        <f t="shared" si="67"/>
        <v>434.53452936730241</v>
      </c>
      <c r="W633" s="221">
        <f t="shared" si="69"/>
        <v>1177.1274243030546</v>
      </c>
      <c r="X633" s="221">
        <v>0</v>
      </c>
      <c r="Y633" s="222">
        <v>0</v>
      </c>
      <c r="Z633" s="222">
        <v>0</v>
      </c>
      <c r="AA633" s="222">
        <v>0</v>
      </c>
      <c r="AB633" s="222">
        <v>0</v>
      </c>
      <c r="AC633" s="222">
        <v>0</v>
      </c>
      <c r="AD633" s="222">
        <v>0</v>
      </c>
      <c r="AE633" s="222">
        <v>0</v>
      </c>
      <c r="AF633" s="221">
        <v>0</v>
      </c>
      <c r="AG633" s="222">
        <v>0</v>
      </c>
      <c r="AH633" s="221">
        <v>0</v>
      </c>
      <c r="AI633" s="222">
        <v>0</v>
      </c>
      <c r="AJ633" s="221">
        <v>0</v>
      </c>
      <c r="AK633" s="222">
        <v>0</v>
      </c>
      <c r="AL633" s="222">
        <v>0</v>
      </c>
      <c r="AM633" s="222">
        <v>0</v>
      </c>
      <c r="AN633" s="222"/>
      <c r="AO633" s="222">
        <v>0</v>
      </c>
    </row>
    <row r="634" spans="1:41" s="223" customFormat="1" ht="36" customHeight="1" x14ac:dyDescent="0.25">
      <c r="A634" s="223">
        <v>1</v>
      </c>
      <c r="B634" s="225">
        <f>SUBTOTAL(103,$A$552:A634)</f>
        <v>83</v>
      </c>
      <c r="C634" s="215" t="s">
        <v>590</v>
      </c>
      <c r="D634" s="217" t="s">
        <v>370</v>
      </c>
      <c r="E634" s="217"/>
      <c r="F634" s="226" t="s">
        <v>311</v>
      </c>
      <c r="G634" s="217" t="s">
        <v>351</v>
      </c>
      <c r="H634" s="217" t="s">
        <v>312</v>
      </c>
      <c r="I634" s="218">
        <v>2899.7</v>
      </c>
      <c r="J634" s="218">
        <v>2899.7</v>
      </c>
      <c r="K634" s="218">
        <v>2899.7</v>
      </c>
      <c r="L634" s="219">
        <v>83</v>
      </c>
      <c r="M634" s="217" t="s">
        <v>265</v>
      </c>
      <c r="N634" s="217" t="s">
        <v>269</v>
      </c>
      <c r="O634" s="220" t="s">
        <v>1071</v>
      </c>
      <c r="P634" s="190">
        <v>2934054.27</v>
      </c>
      <c r="Q634" s="190">
        <v>0</v>
      </c>
      <c r="R634" s="190">
        <v>0</v>
      </c>
      <c r="S634" s="190">
        <f t="shared" si="68"/>
        <v>2934054.27</v>
      </c>
      <c r="T634" s="190">
        <f t="shared" si="66"/>
        <v>1011.8475256060973</v>
      </c>
      <c r="U634" s="190">
        <v>1394.8117219022658</v>
      </c>
      <c r="V634" s="221">
        <f t="shared" si="67"/>
        <v>382.96419629616855</v>
      </c>
      <c r="W634" s="221">
        <f t="shared" si="69"/>
        <v>1011.8475256060973</v>
      </c>
      <c r="X634" s="221">
        <v>0</v>
      </c>
      <c r="Y634" s="222">
        <v>0</v>
      </c>
      <c r="Z634" s="222">
        <v>0</v>
      </c>
      <c r="AA634" s="222">
        <v>0</v>
      </c>
      <c r="AB634" s="222">
        <v>0</v>
      </c>
      <c r="AC634" s="222">
        <v>0</v>
      </c>
      <c r="AD634" s="222">
        <v>0</v>
      </c>
      <c r="AE634" s="222">
        <v>0</v>
      </c>
      <c r="AF634" s="221">
        <v>0</v>
      </c>
      <c r="AG634" s="222">
        <v>0</v>
      </c>
      <c r="AH634" s="221">
        <v>0</v>
      </c>
      <c r="AI634" s="222">
        <v>0</v>
      </c>
      <c r="AJ634" s="221">
        <v>0</v>
      </c>
      <c r="AK634" s="222">
        <v>0</v>
      </c>
      <c r="AL634" s="222">
        <v>0</v>
      </c>
      <c r="AM634" s="222">
        <v>0</v>
      </c>
      <c r="AN634" s="222"/>
      <c r="AO634" s="222">
        <v>0</v>
      </c>
    </row>
    <row r="635" spans="1:41" s="223" customFormat="1" ht="36" customHeight="1" x14ac:dyDescent="0.25">
      <c r="A635" s="223">
        <v>1</v>
      </c>
      <c r="B635" s="225">
        <f>SUBTOTAL(103,$A$552:A635)</f>
        <v>84</v>
      </c>
      <c r="C635" s="215" t="s">
        <v>594</v>
      </c>
      <c r="D635" s="217" t="s">
        <v>376</v>
      </c>
      <c r="E635" s="217"/>
      <c r="F635" s="226" t="s">
        <v>311</v>
      </c>
      <c r="G635" s="217" t="s">
        <v>351</v>
      </c>
      <c r="H635" s="217" t="s">
        <v>312</v>
      </c>
      <c r="I635" s="218">
        <v>2812.6</v>
      </c>
      <c r="J635" s="218">
        <v>2039.4</v>
      </c>
      <c r="K635" s="218">
        <v>2039.4</v>
      </c>
      <c r="L635" s="219">
        <v>98</v>
      </c>
      <c r="M635" s="217" t="s">
        <v>265</v>
      </c>
      <c r="N635" s="217" t="s">
        <v>269</v>
      </c>
      <c r="O635" s="220" t="s">
        <v>1642</v>
      </c>
      <c r="P635" s="190">
        <v>2671247.02</v>
      </c>
      <c r="Q635" s="190">
        <v>0</v>
      </c>
      <c r="R635" s="190">
        <v>0</v>
      </c>
      <c r="S635" s="190">
        <f t="shared" si="68"/>
        <v>2671247.02</v>
      </c>
      <c r="T635" s="190">
        <f t="shared" si="66"/>
        <v>949.74294958401481</v>
      </c>
      <c r="U635" s="190">
        <v>1300.3368413567518</v>
      </c>
      <c r="V635" s="221">
        <f t="shared" si="67"/>
        <v>350.59389177273704</v>
      </c>
      <c r="W635" s="221">
        <f t="shared" si="69"/>
        <v>949.74294958401481</v>
      </c>
      <c r="X635" s="221">
        <v>0</v>
      </c>
      <c r="Y635" s="222">
        <v>0</v>
      </c>
      <c r="Z635" s="222">
        <v>0</v>
      </c>
      <c r="AA635" s="222">
        <v>0</v>
      </c>
      <c r="AB635" s="222">
        <v>0</v>
      </c>
      <c r="AC635" s="222">
        <v>0</v>
      </c>
      <c r="AD635" s="222">
        <v>0</v>
      </c>
      <c r="AE635" s="222">
        <v>0</v>
      </c>
      <c r="AF635" s="221">
        <v>0</v>
      </c>
      <c r="AG635" s="222">
        <v>0</v>
      </c>
      <c r="AH635" s="221">
        <v>0</v>
      </c>
      <c r="AI635" s="222">
        <v>0</v>
      </c>
      <c r="AJ635" s="221">
        <v>0</v>
      </c>
      <c r="AK635" s="222">
        <v>0</v>
      </c>
      <c r="AL635" s="222">
        <v>0</v>
      </c>
      <c r="AM635" s="222">
        <v>0</v>
      </c>
      <c r="AN635" s="222"/>
      <c r="AO635" s="222">
        <v>0</v>
      </c>
    </row>
    <row r="636" spans="1:41" s="223" customFormat="1" ht="36" customHeight="1" x14ac:dyDescent="0.25">
      <c r="A636" s="223">
        <v>1</v>
      </c>
      <c r="B636" s="225">
        <f>SUBTOTAL(103,$A$552:A636)</f>
        <v>85</v>
      </c>
      <c r="C636" s="215" t="s">
        <v>603</v>
      </c>
      <c r="D636" s="217" t="s">
        <v>323</v>
      </c>
      <c r="E636" s="217"/>
      <c r="F636" s="226" t="s">
        <v>311</v>
      </c>
      <c r="G636" s="217" t="s">
        <v>351</v>
      </c>
      <c r="H636" s="217" t="s">
        <v>308</v>
      </c>
      <c r="I636" s="218">
        <v>4424.1000000000004</v>
      </c>
      <c r="J636" s="218">
        <v>3136.3</v>
      </c>
      <c r="K636" s="218">
        <v>3136.3</v>
      </c>
      <c r="L636" s="219">
        <v>144</v>
      </c>
      <c r="M636" s="217" t="s">
        <v>265</v>
      </c>
      <c r="N636" s="217" t="s">
        <v>269</v>
      </c>
      <c r="O636" s="220" t="s">
        <v>1073</v>
      </c>
      <c r="P636" s="190">
        <v>3840496.51</v>
      </c>
      <c r="Q636" s="190">
        <v>0</v>
      </c>
      <c r="R636" s="190">
        <v>0</v>
      </c>
      <c r="S636" s="190">
        <f>P636-Q636-R636</f>
        <v>3840496.51</v>
      </c>
      <c r="T636" s="190">
        <f t="shared" si="66"/>
        <v>868.0853755566103</v>
      </c>
      <c r="U636" s="190">
        <v>1400.3594855450824</v>
      </c>
      <c r="V636" s="221">
        <f>U636-T636</f>
        <v>532.27410998847211</v>
      </c>
      <c r="W636" s="221">
        <f>T636</f>
        <v>868.0853755566103</v>
      </c>
      <c r="X636" s="221">
        <v>0</v>
      </c>
      <c r="Y636" s="222">
        <v>0</v>
      </c>
      <c r="Z636" s="222">
        <v>0</v>
      </c>
      <c r="AA636" s="222">
        <v>0</v>
      </c>
      <c r="AB636" s="222">
        <v>0</v>
      </c>
      <c r="AC636" s="222">
        <v>0</v>
      </c>
      <c r="AD636" s="222">
        <v>0</v>
      </c>
      <c r="AE636" s="222">
        <v>0</v>
      </c>
      <c r="AF636" s="221">
        <v>0</v>
      </c>
      <c r="AG636" s="222">
        <v>0</v>
      </c>
      <c r="AH636" s="221">
        <v>0</v>
      </c>
      <c r="AI636" s="222">
        <v>0</v>
      </c>
      <c r="AJ636" s="221">
        <v>0</v>
      </c>
      <c r="AK636" s="222">
        <v>0</v>
      </c>
      <c r="AL636" s="222">
        <v>0</v>
      </c>
      <c r="AM636" s="222">
        <v>0</v>
      </c>
      <c r="AN636" s="222"/>
      <c r="AO636" s="222">
        <v>0</v>
      </c>
    </row>
    <row r="637" spans="1:41" s="223" customFormat="1" ht="36" customHeight="1" x14ac:dyDescent="0.25">
      <c r="A637" s="223">
        <v>1</v>
      </c>
      <c r="B637" s="225">
        <f>SUBTOTAL(103,$A$552:A637)</f>
        <v>86</v>
      </c>
      <c r="C637" s="215" t="s">
        <v>587</v>
      </c>
      <c r="D637" s="217" t="s">
        <v>375</v>
      </c>
      <c r="E637" s="217"/>
      <c r="F637" s="226" t="s">
        <v>267</v>
      </c>
      <c r="G637" s="217" t="s">
        <v>2266</v>
      </c>
      <c r="H637" s="217" t="s">
        <v>304</v>
      </c>
      <c r="I637" s="218">
        <v>1800.4</v>
      </c>
      <c r="J637" s="218">
        <v>1058.3</v>
      </c>
      <c r="K637" s="218">
        <v>1043.0999999999999</v>
      </c>
      <c r="L637" s="219">
        <v>51</v>
      </c>
      <c r="M637" s="217" t="s">
        <v>265</v>
      </c>
      <c r="N637" s="217" t="s">
        <v>269</v>
      </c>
      <c r="O637" s="220" t="s">
        <v>1644</v>
      </c>
      <c r="P637" s="190">
        <v>2349559.61</v>
      </c>
      <c r="Q637" s="190">
        <v>0</v>
      </c>
      <c r="R637" s="190">
        <v>0</v>
      </c>
      <c r="S637" s="190">
        <f t="shared" si="68"/>
        <v>2349559.61</v>
      </c>
      <c r="T637" s="190">
        <f t="shared" si="66"/>
        <v>1305.0208898022661</v>
      </c>
      <c r="U637" s="190">
        <v>1320.5732059542324</v>
      </c>
      <c r="V637" s="221">
        <f t="shared" si="67"/>
        <v>15.552316151966352</v>
      </c>
      <c r="W637" s="221">
        <f>X637+Y637+Z637+AA637+AB637+AD637+AF637+AH637+AJ637+AL637+AN637+AO637</f>
        <v>2190.0639413463673</v>
      </c>
      <c r="X637" s="221">
        <v>0</v>
      </c>
      <c r="Y637" s="222">
        <v>0</v>
      </c>
      <c r="Z637" s="222">
        <v>0</v>
      </c>
      <c r="AA637" s="222">
        <v>0</v>
      </c>
      <c r="AB637" s="222">
        <v>0</v>
      </c>
      <c r="AC637" s="222">
        <v>0</v>
      </c>
      <c r="AD637" s="222">
        <v>0</v>
      </c>
      <c r="AE637" s="222">
        <v>632</v>
      </c>
      <c r="AF637" s="221">
        <f>6238.91*AE637/I637</f>
        <v>2190.0639413463673</v>
      </c>
      <c r="AG637" s="222">
        <v>0</v>
      </c>
      <c r="AH637" s="221">
        <v>0</v>
      </c>
      <c r="AI637" s="222">
        <v>0</v>
      </c>
      <c r="AJ637" s="221">
        <v>0</v>
      </c>
      <c r="AK637" s="222">
        <v>0</v>
      </c>
      <c r="AL637" s="222">
        <v>0</v>
      </c>
      <c r="AM637" s="222">
        <v>0</v>
      </c>
      <c r="AN637" s="222"/>
      <c r="AO637" s="222">
        <v>0</v>
      </c>
    </row>
    <row r="638" spans="1:41" s="223" customFormat="1" ht="36" customHeight="1" x14ac:dyDescent="0.25">
      <c r="A638" s="223">
        <v>1</v>
      </c>
      <c r="B638" s="225">
        <f>SUBTOTAL(103,$A$552:A638)</f>
        <v>87</v>
      </c>
      <c r="C638" s="215" t="s">
        <v>1102</v>
      </c>
      <c r="D638" s="217">
        <v>1959</v>
      </c>
      <c r="E638" s="217"/>
      <c r="F638" s="226" t="s">
        <v>267</v>
      </c>
      <c r="G638" s="217" t="s">
        <v>312</v>
      </c>
      <c r="H638" s="217" t="s">
        <v>312</v>
      </c>
      <c r="I638" s="218">
        <v>1764.5</v>
      </c>
      <c r="J638" s="218">
        <v>2310</v>
      </c>
      <c r="K638" s="218">
        <v>1604.9</v>
      </c>
      <c r="L638" s="219">
        <v>64</v>
      </c>
      <c r="M638" s="217" t="s">
        <v>265</v>
      </c>
      <c r="N638" s="217" t="s">
        <v>269</v>
      </c>
      <c r="O638" s="220" t="s">
        <v>1395</v>
      </c>
      <c r="P638" s="190">
        <v>3336923.37</v>
      </c>
      <c r="Q638" s="190">
        <v>0</v>
      </c>
      <c r="R638" s="190">
        <v>0</v>
      </c>
      <c r="S638" s="190">
        <f>P638-Q638-R638</f>
        <v>3336923.37</v>
      </c>
      <c r="T638" s="190">
        <f t="shared" si="66"/>
        <v>1891.1438764522529</v>
      </c>
      <c r="U638" s="190">
        <v>6426.5054757721737</v>
      </c>
      <c r="V638" s="221">
        <f>U638-T638</f>
        <v>4535.361599319921</v>
      </c>
      <c r="W638" s="221">
        <f>X638+Y638+Z638+AA638+AB638+AD638+AF638+AH638+AJ638+AL638+AN638+AO638</f>
        <v>3465.0789458770187</v>
      </c>
      <c r="X638" s="221">
        <v>0</v>
      </c>
      <c r="Y638" s="222">
        <v>0</v>
      </c>
      <c r="Z638" s="222">
        <v>0</v>
      </c>
      <c r="AA638" s="222">
        <v>0</v>
      </c>
      <c r="AB638" s="222">
        <v>0</v>
      </c>
      <c r="AC638" s="222">
        <v>0</v>
      </c>
      <c r="AD638" s="222">
        <v>0</v>
      </c>
      <c r="AE638" s="222">
        <v>980</v>
      </c>
      <c r="AF638" s="221">
        <f>6238.91*AE638/I638</f>
        <v>3465.0789458770187</v>
      </c>
      <c r="AG638" s="222">
        <v>0</v>
      </c>
      <c r="AH638" s="221">
        <v>0</v>
      </c>
      <c r="AI638" s="222">
        <v>0</v>
      </c>
      <c r="AJ638" s="221">
        <v>0</v>
      </c>
      <c r="AK638" s="222">
        <v>0</v>
      </c>
      <c r="AL638" s="222">
        <v>0</v>
      </c>
      <c r="AM638" s="222">
        <v>0</v>
      </c>
      <c r="AN638" s="222"/>
      <c r="AO638" s="222">
        <v>0</v>
      </c>
    </row>
    <row r="639" spans="1:41" s="223" customFormat="1" ht="36" customHeight="1" x14ac:dyDescent="0.25">
      <c r="A639" s="223">
        <v>1</v>
      </c>
      <c r="B639" s="225">
        <f>SUBTOTAL(103,$A$552:A639)</f>
        <v>88</v>
      </c>
      <c r="C639" s="215" t="s">
        <v>799</v>
      </c>
      <c r="D639" s="217">
        <v>1963</v>
      </c>
      <c r="E639" s="217"/>
      <c r="F639" s="226" t="s">
        <v>1571</v>
      </c>
      <c r="G639" s="217" t="s">
        <v>303</v>
      </c>
      <c r="H639" s="217" t="s">
        <v>304</v>
      </c>
      <c r="I639" s="218">
        <v>316.5</v>
      </c>
      <c r="J639" s="218">
        <v>207.1</v>
      </c>
      <c r="K639" s="218">
        <v>207.1</v>
      </c>
      <c r="L639" s="219">
        <v>24</v>
      </c>
      <c r="M639" s="217" t="s">
        <v>265</v>
      </c>
      <c r="N639" s="217" t="s">
        <v>269</v>
      </c>
      <c r="O639" s="220" t="s">
        <v>2269</v>
      </c>
      <c r="P639" s="190">
        <v>1125497.8499999999</v>
      </c>
      <c r="Q639" s="190">
        <v>0</v>
      </c>
      <c r="R639" s="190">
        <v>0</v>
      </c>
      <c r="S639" s="190">
        <f>P639-Q639-R639</f>
        <v>1125497.8499999999</v>
      </c>
      <c r="T639" s="190">
        <f t="shared" si="66"/>
        <v>3556.0753554502367</v>
      </c>
      <c r="U639" s="190">
        <v>6378.1628436018955</v>
      </c>
      <c r="V639" s="221">
        <f>U639-T639</f>
        <v>2822.0874881516588</v>
      </c>
      <c r="W639" s="221">
        <f>T639</f>
        <v>3556.0753554502367</v>
      </c>
      <c r="X639" s="221">
        <v>0</v>
      </c>
      <c r="Y639" s="222">
        <v>0</v>
      </c>
      <c r="Z639" s="222">
        <v>0</v>
      </c>
      <c r="AA639" s="222">
        <v>0</v>
      </c>
      <c r="AB639" s="222">
        <v>0</v>
      </c>
      <c r="AC639" s="222">
        <v>0</v>
      </c>
      <c r="AD639" s="222">
        <v>0</v>
      </c>
      <c r="AE639" s="222">
        <v>0</v>
      </c>
      <c r="AF639" s="221">
        <v>0</v>
      </c>
      <c r="AG639" s="222">
        <v>0</v>
      </c>
      <c r="AH639" s="221">
        <v>0</v>
      </c>
      <c r="AI639" s="222">
        <v>0</v>
      </c>
      <c r="AJ639" s="221">
        <v>0</v>
      </c>
      <c r="AK639" s="222">
        <v>0</v>
      </c>
      <c r="AL639" s="222">
        <v>0</v>
      </c>
      <c r="AM639" s="222">
        <v>0</v>
      </c>
      <c r="AN639" s="222"/>
      <c r="AO639" s="222">
        <v>0</v>
      </c>
    </row>
    <row r="640" spans="1:41" s="223" customFormat="1" ht="36" customHeight="1" x14ac:dyDescent="0.25">
      <c r="A640" s="223">
        <v>1</v>
      </c>
      <c r="B640" s="225">
        <f>SUBTOTAL(103,$A$552:A640)</f>
        <v>89</v>
      </c>
      <c r="C640" s="215" t="s">
        <v>525</v>
      </c>
      <c r="D640" s="217">
        <v>1997</v>
      </c>
      <c r="E640" s="217"/>
      <c r="F640" s="226" t="s">
        <v>267</v>
      </c>
      <c r="G640" s="217">
        <v>4</v>
      </c>
      <c r="H640" s="217" t="s">
        <v>312</v>
      </c>
      <c r="I640" s="218">
        <v>2862.3</v>
      </c>
      <c r="J640" s="218">
        <v>2046.7</v>
      </c>
      <c r="K640" s="218">
        <v>2046.7</v>
      </c>
      <c r="L640" s="219">
        <v>95</v>
      </c>
      <c r="M640" s="217" t="s">
        <v>265</v>
      </c>
      <c r="N640" s="217" t="s">
        <v>269</v>
      </c>
      <c r="O640" s="220" t="s">
        <v>1396</v>
      </c>
      <c r="P640" s="190">
        <v>3949680.45</v>
      </c>
      <c r="Q640" s="190">
        <v>0</v>
      </c>
      <c r="R640" s="190">
        <v>0</v>
      </c>
      <c r="S640" s="190">
        <f>P640-Q640-R640</f>
        <v>3949680.45</v>
      </c>
      <c r="T640" s="190">
        <f t="shared" si="66"/>
        <v>1379.897442616078</v>
      </c>
      <c r="U640" s="190">
        <v>2055.3264158194456</v>
      </c>
      <c r="V640" s="221">
        <f>U640-T640</f>
        <v>675.4289732033676</v>
      </c>
      <c r="W640" s="221">
        <f>T640</f>
        <v>1379.897442616078</v>
      </c>
      <c r="X640" s="221">
        <v>0</v>
      </c>
      <c r="Y640" s="222">
        <v>0</v>
      </c>
      <c r="Z640" s="222">
        <v>0</v>
      </c>
      <c r="AA640" s="222">
        <v>0</v>
      </c>
      <c r="AB640" s="222">
        <v>0</v>
      </c>
      <c r="AC640" s="222">
        <v>0</v>
      </c>
      <c r="AD640" s="222">
        <v>0</v>
      </c>
      <c r="AE640" s="222">
        <v>0</v>
      </c>
      <c r="AF640" s="221">
        <v>0</v>
      </c>
      <c r="AG640" s="222">
        <v>0</v>
      </c>
      <c r="AH640" s="221">
        <v>0</v>
      </c>
      <c r="AI640" s="222">
        <v>0</v>
      </c>
      <c r="AJ640" s="221">
        <v>0</v>
      </c>
      <c r="AK640" s="222">
        <v>0</v>
      </c>
      <c r="AL640" s="222">
        <v>0</v>
      </c>
      <c r="AM640" s="222">
        <v>0</v>
      </c>
      <c r="AN640" s="222"/>
      <c r="AO640" s="222">
        <v>0</v>
      </c>
    </row>
    <row r="641" spans="1:41" s="223" customFormat="1" ht="36" customHeight="1" x14ac:dyDescent="0.25">
      <c r="B641" s="215" t="s">
        <v>756</v>
      </c>
      <c r="C641" s="227"/>
      <c r="D641" s="217" t="s">
        <v>890</v>
      </c>
      <c r="E641" s="217" t="s">
        <v>890</v>
      </c>
      <c r="F641" s="217" t="s">
        <v>890</v>
      </c>
      <c r="G641" s="217" t="s">
        <v>890</v>
      </c>
      <c r="H641" s="217" t="s">
        <v>890</v>
      </c>
      <c r="I641" s="218">
        <f>SUM(I642:I672)</f>
        <v>46935.01</v>
      </c>
      <c r="J641" s="218">
        <f>SUM(J642:J672)</f>
        <v>43959.5</v>
      </c>
      <c r="K641" s="218">
        <f>SUM(K642:K672)</f>
        <v>41237.199999999997</v>
      </c>
      <c r="L641" s="219">
        <f>SUM(L642:L672)</f>
        <v>1959</v>
      </c>
      <c r="M641" s="217" t="s">
        <v>890</v>
      </c>
      <c r="N641" s="217" t="s">
        <v>890</v>
      </c>
      <c r="O641" s="220" t="s">
        <v>890</v>
      </c>
      <c r="P641" s="218">
        <v>99817914.320000023</v>
      </c>
      <c r="Q641" s="218">
        <f>SUM(Q642:Q672)</f>
        <v>0</v>
      </c>
      <c r="R641" s="218">
        <f>SUM(R642:R672)</f>
        <v>0</v>
      </c>
      <c r="S641" s="218">
        <f>SUM(S642:S672)</f>
        <v>99817914.320000023</v>
      </c>
      <c r="T641" s="190">
        <f t="shared" si="66"/>
        <v>2126.7261756202888</v>
      </c>
      <c r="U641" s="190">
        <f>MAX(U642:U672)</f>
        <v>10033.85808</v>
      </c>
      <c r="V641" s="221">
        <f t="shared" ref="V641:V704" si="70">U641-T641</f>
        <v>7907.1319043797112</v>
      </c>
      <c r="W641" s="221"/>
      <c r="X641" s="221"/>
      <c r="Y641" s="222"/>
      <c r="Z641" s="222"/>
      <c r="AA641" s="222"/>
      <c r="AB641" s="222"/>
      <c r="AC641" s="222"/>
      <c r="AD641" s="222"/>
      <c r="AE641" s="222"/>
      <c r="AF641" s="222"/>
      <c r="AG641" s="222"/>
      <c r="AH641" s="222"/>
      <c r="AI641" s="222"/>
      <c r="AJ641" s="222"/>
      <c r="AK641" s="222"/>
      <c r="AL641" s="222"/>
      <c r="AM641" s="222"/>
      <c r="AN641" s="222"/>
      <c r="AO641" s="222"/>
    </row>
    <row r="642" spans="1:41" s="223" customFormat="1" ht="36" customHeight="1" x14ac:dyDescent="0.25">
      <c r="A642" s="223">
        <v>1</v>
      </c>
      <c r="B642" s="225">
        <f>SUBTOTAL(103,$A$552:A642)</f>
        <v>90</v>
      </c>
      <c r="C642" s="215" t="s">
        <v>455</v>
      </c>
      <c r="D642" s="217">
        <v>1960</v>
      </c>
      <c r="E642" s="217"/>
      <c r="F642" s="226" t="s">
        <v>267</v>
      </c>
      <c r="G642" s="217">
        <v>2</v>
      </c>
      <c r="H642" s="217" t="s">
        <v>303</v>
      </c>
      <c r="I642" s="218">
        <v>634.6</v>
      </c>
      <c r="J642" s="218">
        <v>634.6</v>
      </c>
      <c r="K642" s="218">
        <v>634.6</v>
      </c>
      <c r="L642" s="219">
        <v>26</v>
      </c>
      <c r="M642" s="217" t="s">
        <v>265</v>
      </c>
      <c r="N642" s="217" t="s">
        <v>266</v>
      </c>
      <c r="O642" s="220" t="s">
        <v>268</v>
      </c>
      <c r="P642" s="190">
        <v>3616357.54</v>
      </c>
      <c r="Q642" s="190">
        <v>0</v>
      </c>
      <c r="R642" s="190">
        <v>0</v>
      </c>
      <c r="S642" s="190">
        <f t="shared" ref="S642:S672" si="71">P642-Q642-R642</f>
        <v>3616357.54</v>
      </c>
      <c r="T642" s="190">
        <f t="shared" si="66"/>
        <v>5698.6409391742827</v>
      </c>
      <c r="U642" s="190">
        <v>6367.2091553734626</v>
      </c>
      <c r="V642" s="221">
        <f t="shared" si="70"/>
        <v>668.56821619917991</v>
      </c>
      <c r="W642" s="221">
        <f t="shared" ref="W642:W670" si="72">X642+Y642+Z642+AA642+AB642+AD642+AF642+AH642+AJ642+AL642+AN642+AO642</f>
        <v>6104.221901985502</v>
      </c>
      <c r="X642" s="221">
        <v>0</v>
      </c>
      <c r="Y642" s="222">
        <v>0</v>
      </c>
      <c r="Z642" s="222">
        <v>0</v>
      </c>
      <c r="AA642" s="222">
        <v>0</v>
      </c>
      <c r="AB642" s="222">
        <v>0</v>
      </c>
      <c r="AC642" s="222">
        <v>0</v>
      </c>
      <c r="AD642" s="222">
        <v>0</v>
      </c>
      <c r="AE642" s="222">
        <v>620.9</v>
      </c>
      <c r="AF642" s="221">
        <f>6238.91*AE642/I642</f>
        <v>6104.221901985502</v>
      </c>
      <c r="AG642" s="222">
        <v>0</v>
      </c>
      <c r="AH642" s="221">
        <v>0</v>
      </c>
      <c r="AI642" s="222">
        <v>0</v>
      </c>
      <c r="AJ642" s="221">
        <v>0</v>
      </c>
      <c r="AK642" s="222">
        <v>0</v>
      </c>
      <c r="AL642" s="222">
        <v>0</v>
      </c>
      <c r="AM642" s="222">
        <v>0</v>
      </c>
      <c r="AN642" s="222"/>
      <c r="AO642" s="222">
        <v>0</v>
      </c>
    </row>
    <row r="643" spans="1:41" s="223" customFormat="1" ht="61.5" x14ac:dyDescent="0.25">
      <c r="A643" s="223">
        <v>1</v>
      </c>
      <c r="B643" s="225">
        <f>SUBTOTAL(103,$A$552:A643)</f>
        <v>91</v>
      </c>
      <c r="C643" s="215" t="s">
        <v>456</v>
      </c>
      <c r="D643" s="217">
        <v>1952</v>
      </c>
      <c r="E643" s="217">
        <v>2008</v>
      </c>
      <c r="F643" s="226" t="s">
        <v>267</v>
      </c>
      <c r="G643" s="217">
        <v>2</v>
      </c>
      <c r="H643" s="217" t="s">
        <v>304</v>
      </c>
      <c r="I643" s="218">
        <v>427.8</v>
      </c>
      <c r="J643" s="218">
        <v>392.1</v>
      </c>
      <c r="K643" s="218">
        <v>392.1</v>
      </c>
      <c r="L643" s="219">
        <v>21</v>
      </c>
      <c r="M643" s="217" t="s">
        <v>265</v>
      </c>
      <c r="N643" s="217" t="s">
        <v>269</v>
      </c>
      <c r="O643" s="220" t="s">
        <v>340</v>
      </c>
      <c r="P643" s="190">
        <v>1638422.64</v>
      </c>
      <c r="Q643" s="190">
        <v>0</v>
      </c>
      <c r="R643" s="190">
        <v>0</v>
      </c>
      <c r="S643" s="190">
        <f t="shared" si="71"/>
        <v>1638422.64</v>
      </c>
      <c r="T643" s="190">
        <f t="shared" si="66"/>
        <v>3829.8799438990177</v>
      </c>
      <c r="U643" s="190">
        <v>7634.5546143057509</v>
      </c>
      <c r="V643" s="221">
        <f t="shared" si="70"/>
        <v>3804.6746704067332</v>
      </c>
      <c r="W643" s="221">
        <f t="shared" si="72"/>
        <v>7634.5546143057509</v>
      </c>
      <c r="X643" s="221">
        <v>0</v>
      </c>
      <c r="Y643" s="222">
        <v>0</v>
      </c>
      <c r="Z643" s="222">
        <v>0</v>
      </c>
      <c r="AA643" s="222">
        <v>0</v>
      </c>
      <c r="AB643" s="222">
        <v>0</v>
      </c>
      <c r="AC643" s="222">
        <v>0</v>
      </c>
      <c r="AD643" s="222">
        <v>0</v>
      </c>
      <c r="AE643" s="222">
        <v>0</v>
      </c>
      <c r="AF643" s="221">
        <v>0</v>
      </c>
      <c r="AG643" s="222">
        <v>0</v>
      </c>
      <c r="AH643" s="221">
        <v>0</v>
      </c>
      <c r="AI643" s="222">
        <v>439.04</v>
      </c>
      <c r="AJ643" s="221">
        <f>7439.1*AI643/I643</f>
        <v>7634.5546143057509</v>
      </c>
      <c r="AK643" s="222">
        <v>0</v>
      </c>
      <c r="AL643" s="222">
        <v>0</v>
      </c>
      <c r="AM643" s="222">
        <v>0</v>
      </c>
      <c r="AN643" s="222"/>
      <c r="AO643" s="222">
        <v>0</v>
      </c>
    </row>
    <row r="644" spans="1:41" s="223" customFormat="1" ht="36" customHeight="1" x14ac:dyDescent="0.25">
      <c r="A644" s="223">
        <v>1</v>
      </c>
      <c r="B644" s="225">
        <f>SUBTOTAL(103,$A$552:A644)</f>
        <v>92</v>
      </c>
      <c r="C644" s="215" t="s">
        <v>457</v>
      </c>
      <c r="D644" s="217">
        <v>1963</v>
      </c>
      <c r="E644" s="217"/>
      <c r="F644" s="226" t="s">
        <v>267</v>
      </c>
      <c r="G644" s="217">
        <v>4</v>
      </c>
      <c r="H644" s="217" t="s">
        <v>312</v>
      </c>
      <c r="I644" s="218">
        <v>2171.1999999999998</v>
      </c>
      <c r="J644" s="218">
        <v>2025.5</v>
      </c>
      <c r="K644" s="218">
        <v>2025.5</v>
      </c>
      <c r="L644" s="219">
        <v>84</v>
      </c>
      <c r="M644" s="217" t="s">
        <v>265</v>
      </c>
      <c r="N644" s="217" t="s">
        <v>266</v>
      </c>
      <c r="O644" s="220" t="s">
        <v>268</v>
      </c>
      <c r="P644" s="190">
        <v>4857937.9999999991</v>
      </c>
      <c r="Q644" s="190">
        <v>0</v>
      </c>
      <c r="R644" s="190">
        <v>0</v>
      </c>
      <c r="S644" s="190">
        <f t="shared" si="71"/>
        <v>4857937.9999999991</v>
      </c>
      <c r="T644" s="190">
        <f t="shared" si="66"/>
        <v>2237.4438098747232</v>
      </c>
      <c r="U644" s="190">
        <v>2655.592391304348</v>
      </c>
      <c r="V644" s="221">
        <f t="shared" si="70"/>
        <v>418.14858142962476</v>
      </c>
      <c r="W644" s="221">
        <f t="shared" si="72"/>
        <v>2545.9074521002212</v>
      </c>
      <c r="X644" s="221">
        <v>0</v>
      </c>
      <c r="Y644" s="222">
        <v>0</v>
      </c>
      <c r="Z644" s="222">
        <v>0</v>
      </c>
      <c r="AA644" s="222">
        <v>0</v>
      </c>
      <c r="AB644" s="222">
        <v>0</v>
      </c>
      <c r="AC644" s="222">
        <v>0</v>
      </c>
      <c r="AD644" s="222">
        <v>0</v>
      </c>
      <c r="AE644" s="222">
        <v>886</v>
      </c>
      <c r="AF644" s="221">
        <f>6238.91*AE644/I644</f>
        <v>2545.9074521002212</v>
      </c>
      <c r="AG644" s="222">
        <v>0</v>
      </c>
      <c r="AH644" s="221">
        <v>0</v>
      </c>
      <c r="AI644" s="222">
        <v>0</v>
      </c>
      <c r="AJ644" s="221">
        <v>0</v>
      </c>
      <c r="AK644" s="222">
        <v>0</v>
      </c>
      <c r="AL644" s="222">
        <v>0</v>
      </c>
      <c r="AM644" s="222">
        <v>0</v>
      </c>
      <c r="AN644" s="222"/>
      <c r="AO644" s="222">
        <v>0</v>
      </c>
    </row>
    <row r="645" spans="1:41" s="223" customFormat="1" ht="36" customHeight="1" x14ac:dyDescent="0.25">
      <c r="A645" s="223">
        <v>1</v>
      </c>
      <c r="B645" s="225">
        <f>SUBTOTAL(103,$A$552:A645)</f>
        <v>93</v>
      </c>
      <c r="C645" s="215" t="s">
        <v>458</v>
      </c>
      <c r="D645" s="217">
        <v>1959</v>
      </c>
      <c r="E645" s="217"/>
      <c r="F645" s="226" t="s">
        <v>267</v>
      </c>
      <c r="G645" s="217">
        <v>2</v>
      </c>
      <c r="H645" s="217" t="s">
        <v>303</v>
      </c>
      <c r="I645" s="218">
        <v>679.1</v>
      </c>
      <c r="J645" s="218">
        <v>632.4</v>
      </c>
      <c r="K645" s="218">
        <v>632.4</v>
      </c>
      <c r="L645" s="219">
        <v>43</v>
      </c>
      <c r="M645" s="217" t="s">
        <v>265</v>
      </c>
      <c r="N645" s="217" t="s">
        <v>266</v>
      </c>
      <c r="O645" s="220" t="s">
        <v>268</v>
      </c>
      <c r="P645" s="190">
        <v>3345121.12</v>
      </c>
      <c r="Q645" s="190">
        <v>0</v>
      </c>
      <c r="R645" s="190">
        <v>0</v>
      </c>
      <c r="S645" s="190">
        <f t="shared" si="71"/>
        <v>3345121.12</v>
      </c>
      <c r="T645" s="190">
        <f t="shared" si="66"/>
        <v>4925.8152260344577</v>
      </c>
      <c r="U645" s="190">
        <v>5788.0294507436311</v>
      </c>
      <c r="V645" s="221">
        <f t="shared" si="70"/>
        <v>862.21422470917332</v>
      </c>
      <c r="W645" s="221">
        <f t="shared" si="72"/>
        <v>5548.9642762479752</v>
      </c>
      <c r="X645" s="221">
        <v>0</v>
      </c>
      <c r="Y645" s="222">
        <v>0</v>
      </c>
      <c r="Z645" s="222">
        <v>0</v>
      </c>
      <c r="AA645" s="222">
        <v>0</v>
      </c>
      <c r="AB645" s="222">
        <v>0</v>
      </c>
      <c r="AC645" s="222">
        <v>0</v>
      </c>
      <c r="AD645" s="222">
        <v>0</v>
      </c>
      <c r="AE645" s="222">
        <v>604</v>
      </c>
      <c r="AF645" s="221">
        <f>6238.91*AE645/I645</f>
        <v>5548.9642762479752</v>
      </c>
      <c r="AG645" s="222">
        <v>0</v>
      </c>
      <c r="AH645" s="221">
        <v>0</v>
      </c>
      <c r="AI645" s="222">
        <v>0</v>
      </c>
      <c r="AJ645" s="221">
        <v>0</v>
      </c>
      <c r="AK645" s="222">
        <v>0</v>
      </c>
      <c r="AL645" s="222">
        <v>0</v>
      </c>
      <c r="AM645" s="222">
        <v>0</v>
      </c>
      <c r="AN645" s="222"/>
      <c r="AO645" s="222">
        <v>0</v>
      </c>
    </row>
    <row r="646" spans="1:41" s="223" customFormat="1" ht="36" customHeight="1" x14ac:dyDescent="0.25">
      <c r="A646" s="223">
        <v>1</v>
      </c>
      <c r="B646" s="225">
        <f>SUBTOTAL(103,$A$552:A646)</f>
        <v>94</v>
      </c>
      <c r="C646" s="215" t="s">
        <v>459</v>
      </c>
      <c r="D646" s="217">
        <v>1959</v>
      </c>
      <c r="E646" s="217"/>
      <c r="F646" s="226" t="s">
        <v>267</v>
      </c>
      <c r="G646" s="217">
        <v>2</v>
      </c>
      <c r="H646" s="217" t="s">
        <v>303</v>
      </c>
      <c r="I646" s="218">
        <v>692.3</v>
      </c>
      <c r="J646" s="218">
        <v>645.9</v>
      </c>
      <c r="K646" s="218">
        <v>615.29999999999995</v>
      </c>
      <c r="L646" s="219">
        <v>28</v>
      </c>
      <c r="M646" s="217" t="s">
        <v>265</v>
      </c>
      <c r="N646" s="217" t="s">
        <v>266</v>
      </c>
      <c r="O646" s="220" t="s">
        <v>268</v>
      </c>
      <c r="P646" s="190">
        <v>3345121.12</v>
      </c>
      <c r="Q646" s="190">
        <v>0</v>
      </c>
      <c r="R646" s="190">
        <v>0</v>
      </c>
      <c r="S646" s="190">
        <f t="shared" si="71"/>
        <v>3345121.12</v>
      </c>
      <c r="T646" s="190">
        <f t="shared" si="66"/>
        <v>4831.8953055033953</v>
      </c>
      <c r="U646" s="190">
        <v>5677.6697963310708</v>
      </c>
      <c r="V646" s="221">
        <f t="shared" si="70"/>
        <v>845.77449082767544</v>
      </c>
      <c r="W646" s="221">
        <f t="shared" si="72"/>
        <v>5443.162848476095</v>
      </c>
      <c r="X646" s="221">
        <v>0</v>
      </c>
      <c r="Y646" s="222">
        <v>0</v>
      </c>
      <c r="Z646" s="222">
        <v>0</v>
      </c>
      <c r="AA646" s="222">
        <v>0</v>
      </c>
      <c r="AB646" s="222">
        <v>0</v>
      </c>
      <c r="AC646" s="222">
        <v>0</v>
      </c>
      <c r="AD646" s="222">
        <v>0</v>
      </c>
      <c r="AE646" s="222">
        <v>604</v>
      </c>
      <c r="AF646" s="221">
        <f>6238.91*AE646/I646</f>
        <v>5443.162848476095</v>
      </c>
      <c r="AG646" s="222">
        <v>0</v>
      </c>
      <c r="AH646" s="221">
        <v>0</v>
      </c>
      <c r="AI646" s="222">
        <v>0</v>
      </c>
      <c r="AJ646" s="221">
        <v>0</v>
      </c>
      <c r="AK646" s="222">
        <v>0</v>
      </c>
      <c r="AL646" s="222">
        <v>0</v>
      </c>
      <c r="AM646" s="222">
        <v>0</v>
      </c>
      <c r="AN646" s="222"/>
      <c r="AO646" s="222">
        <v>0</v>
      </c>
    </row>
    <row r="647" spans="1:41" s="223" customFormat="1" ht="36" customHeight="1" x14ac:dyDescent="0.25">
      <c r="A647" s="223">
        <v>1</v>
      </c>
      <c r="B647" s="225">
        <f>SUBTOTAL(103,$A$552:A647)</f>
        <v>95</v>
      </c>
      <c r="C647" s="215" t="s">
        <v>460</v>
      </c>
      <c r="D647" s="217">
        <v>1972</v>
      </c>
      <c r="E647" s="217"/>
      <c r="F647" s="226" t="s">
        <v>267</v>
      </c>
      <c r="G647" s="217">
        <v>2</v>
      </c>
      <c r="H647" s="217" t="s">
        <v>303</v>
      </c>
      <c r="I647" s="218">
        <v>800.8</v>
      </c>
      <c r="J647" s="218">
        <v>734.3</v>
      </c>
      <c r="K647" s="218">
        <v>734.3</v>
      </c>
      <c r="L647" s="219">
        <v>35</v>
      </c>
      <c r="M647" s="217" t="s">
        <v>265</v>
      </c>
      <c r="N647" s="217" t="s">
        <v>266</v>
      </c>
      <c r="O647" s="220" t="s">
        <v>268</v>
      </c>
      <c r="P647" s="190">
        <v>3589208.6799999997</v>
      </c>
      <c r="Q647" s="190">
        <v>0</v>
      </c>
      <c r="R647" s="190">
        <v>0</v>
      </c>
      <c r="S647" s="190">
        <f t="shared" si="71"/>
        <v>3589208.6799999997</v>
      </c>
      <c r="T647" s="190">
        <f t="shared" si="66"/>
        <v>4482.0288211788211</v>
      </c>
      <c r="U647" s="190">
        <v>5877.4087762237759</v>
      </c>
      <c r="V647" s="221">
        <f t="shared" si="70"/>
        <v>1395.3799550449548</v>
      </c>
      <c r="W647" s="221">
        <f t="shared" si="72"/>
        <v>5634.6519335664343</v>
      </c>
      <c r="X647" s="221">
        <v>0</v>
      </c>
      <c r="Y647" s="222">
        <v>0</v>
      </c>
      <c r="Z647" s="222">
        <v>0</v>
      </c>
      <c r="AA647" s="222">
        <v>0</v>
      </c>
      <c r="AB647" s="222">
        <v>0</v>
      </c>
      <c r="AC647" s="222">
        <v>0</v>
      </c>
      <c r="AD647" s="222">
        <v>0</v>
      </c>
      <c r="AE647" s="222">
        <v>723.24</v>
      </c>
      <c r="AF647" s="221">
        <f>6238.91*AE647/I647</f>
        <v>5634.6519335664343</v>
      </c>
      <c r="AG647" s="222">
        <v>0</v>
      </c>
      <c r="AH647" s="221">
        <v>0</v>
      </c>
      <c r="AI647" s="222">
        <v>0</v>
      </c>
      <c r="AJ647" s="221">
        <v>0</v>
      </c>
      <c r="AK647" s="222">
        <v>0</v>
      </c>
      <c r="AL647" s="222">
        <v>0</v>
      </c>
      <c r="AM647" s="222">
        <v>0</v>
      </c>
      <c r="AN647" s="222"/>
      <c r="AO647" s="222">
        <v>0</v>
      </c>
    </row>
    <row r="648" spans="1:41" s="223" customFormat="1" ht="36" customHeight="1" x14ac:dyDescent="0.25">
      <c r="A648" s="223">
        <v>1</v>
      </c>
      <c r="B648" s="225">
        <f>SUBTOTAL(103,$A$552:A648)</f>
        <v>96</v>
      </c>
      <c r="C648" s="215" t="s">
        <v>461</v>
      </c>
      <c r="D648" s="217">
        <v>1954</v>
      </c>
      <c r="E648" s="217"/>
      <c r="F648" s="226" t="s">
        <v>324</v>
      </c>
      <c r="G648" s="217">
        <v>2</v>
      </c>
      <c r="H648" s="217" t="s">
        <v>303</v>
      </c>
      <c r="I648" s="218">
        <v>391.3</v>
      </c>
      <c r="J648" s="218">
        <v>360.5</v>
      </c>
      <c r="K648" s="218">
        <v>360.5</v>
      </c>
      <c r="L648" s="219">
        <v>15</v>
      </c>
      <c r="M648" s="217" t="s">
        <v>265</v>
      </c>
      <c r="N648" s="217" t="s">
        <v>266</v>
      </c>
      <c r="O648" s="220" t="s">
        <v>268</v>
      </c>
      <c r="P648" s="190">
        <v>998954.77999999991</v>
      </c>
      <c r="Q648" s="190">
        <v>0</v>
      </c>
      <c r="R648" s="190">
        <v>0</v>
      </c>
      <c r="S648" s="190">
        <f t="shared" si="71"/>
        <v>998954.77999999991</v>
      </c>
      <c r="T648" s="190">
        <f t="shared" si="66"/>
        <v>2552.912803475594</v>
      </c>
      <c r="U648" s="190">
        <v>8165.5220930232554</v>
      </c>
      <c r="V648" s="221">
        <f t="shared" si="70"/>
        <v>5612.6092895476613</v>
      </c>
      <c r="W648" s="221">
        <f t="shared" si="72"/>
        <v>8165.5220930232554</v>
      </c>
      <c r="X648" s="221">
        <v>0</v>
      </c>
      <c r="Y648" s="222">
        <v>0</v>
      </c>
      <c r="Z648" s="222">
        <v>0</v>
      </c>
      <c r="AA648" s="222">
        <v>0</v>
      </c>
      <c r="AB648" s="222">
        <v>0</v>
      </c>
      <c r="AC648" s="222">
        <v>0</v>
      </c>
      <c r="AD648" s="222">
        <v>0</v>
      </c>
      <c r="AE648" s="222">
        <v>0</v>
      </c>
      <c r="AF648" s="221">
        <v>0</v>
      </c>
      <c r="AG648" s="222">
        <v>0</v>
      </c>
      <c r="AH648" s="221">
        <v>0</v>
      </c>
      <c r="AI648" s="222">
        <v>409.5</v>
      </c>
      <c r="AJ648" s="221">
        <f>7802.61*AI648/I648</f>
        <v>8165.5220930232554</v>
      </c>
      <c r="AK648" s="222">
        <v>0</v>
      </c>
      <c r="AL648" s="222">
        <v>0</v>
      </c>
      <c r="AM648" s="222">
        <v>0</v>
      </c>
      <c r="AN648" s="222"/>
      <c r="AO648" s="222">
        <v>0</v>
      </c>
    </row>
    <row r="649" spans="1:41" s="223" customFormat="1" ht="36" customHeight="1" x14ac:dyDescent="0.25">
      <c r="A649" s="223">
        <v>1</v>
      </c>
      <c r="B649" s="225">
        <f>SUBTOTAL(103,$A$552:A649)</f>
        <v>97</v>
      </c>
      <c r="C649" s="215" t="s">
        <v>464</v>
      </c>
      <c r="D649" s="217">
        <v>1957</v>
      </c>
      <c r="E649" s="217">
        <v>2010</v>
      </c>
      <c r="F649" s="226" t="s">
        <v>267</v>
      </c>
      <c r="G649" s="217">
        <v>2</v>
      </c>
      <c r="H649" s="217" t="s">
        <v>303</v>
      </c>
      <c r="I649" s="218">
        <v>728.8</v>
      </c>
      <c r="J649" s="218">
        <v>720.3</v>
      </c>
      <c r="K649" s="218">
        <v>720.3</v>
      </c>
      <c r="L649" s="219">
        <v>14</v>
      </c>
      <c r="M649" s="217" t="s">
        <v>265</v>
      </c>
      <c r="N649" s="217" t="s">
        <v>341</v>
      </c>
      <c r="O649" s="220" t="s">
        <v>342</v>
      </c>
      <c r="P649" s="190">
        <v>3809028.03</v>
      </c>
      <c r="Q649" s="190">
        <v>0</v>
      </c>
      <c r="R649" s="190">
        <v>0</v>
      </c>
      <c r="S649" s="190">
        <f t="shared" si="71"/>
        <v>3809028.03</v>
      </c>
      <c r="T649" s="190">
        <f t="shared" si="66"/>
        <v>5226.4380214050498</v>
      </c>
      <c r="U649" s="190">
        <v>5226.4380214050498</v>
      </c>
      <c r="V649" s="221">
        <f t="shared" si="70"/>
        <v>0</v>
      </c>
      <c r="W649" s="221">
        <f t="shared" si="72"/>
        <v>4523.83</v>
      </c>
      <c r="X649" s="221">
        <v>101.55</v>
      </c>
      <c r="Y649" s="222">
        <v>0</v>
      </c>
      <c r="Z649" s="222">
        <v>3626.97</v>
      </c>
      <c r="AA649" s="222">
        <v>0</v>
      </c>
      <c r="AB649" s="222">
        <v>795.31</v>
      </c>
      <c r="AC649" s="222">
        <v>0</v>
      </c>
      <c r="AD649" s="222">
        <v>0</v>
      </c>
      <c r="AE649" s="222">
        <v>0</v>
      </c>
      <c r="AF649" s="221">
        <v>0</v>
      </c>
      <c r="AG649" s="222">
        <v>0</v>
      </c>
      <c r="AH649" s="221">
        <v>0</v>
      </c>
      <c r="AI649" s="222">
        <v>0</v>
      </c>
      <c r="AJ649" s="221">
        <v>0</v>
      </c>
      <c r="AK649" s="222">
        <v>0</v>
      </c>
      <c r="AL649" s="222">
        <v>0</v>
      </c>
      <c r="AM649" s="222">
        <v>0</v>
      </c>
      <c r="AN649" s="222"/>
      <c r="AO649" s="222">
        <v>0</v>
      </c>
    </row>
    <row r="650" spans="1:41" s="223" customFormat="1" ht="36" customHeight="1" x14ac:dyDescent="0.25">
      <c r="A650" s="223">
        <v>1</v>
      </c>
      <c r="B650" s="225">
        <f>SUBTOTAL(103,$A$552:A650)</f>
        <v>98</v>
      </c>
      <c r="C650" s="215" t="s">
        <v>465</v>
      </c>
      <c r="D650" s="217">
        <v>1976</v>
      </c>
      <c r="E650" s="217">
        <v>2008</v>
      </c>
      <c r="F650" s="226" t="s">
        <v>311</v>
      </c>
      <c r="G650" s="217">
        <v>5</v>
      </c>
      <c r="H650" s="217" t="s">
        <v>2268</v>
      </c>
      <c r="I650" s="218">
        <v>7722.2</v>
      </c>
      <c r="J650" s="218">
        <v>7705.8</v>
      </c>
      <c r="K650" s="218">
        <v>7705.8</v>
      </c>
      <c r="L650" s="219">
        <v>351</v>
      </c>
      <c r="M650" s="217" t="s">
        <v>265</v>
      </c>
      <c r="N650" s="217" t="s">
        <v>269</v>
      </c>
      <c r="O650" s="220" t="s">
        <v>343</v>
      </c>
      <c r="P650" s="190">
        <v>7806669.5299999993</v>
      </c>
      <c r="Q650" s="190">
        <v>0</v>
      </c>
      <c r="R650" s="190">
        <v>0</v>
      </c>
      <c r="S650" s="190">
        <f t="shared" si="71"/>
        <v>7806669.5299999993</v>
      </c>
      <c r="T650" s="190">
        <f t="shared" si="66"/>
        <v>1010.938531765559</v>
      </c>
      <c r="U650" s="190">
        <v>2590.0767352567918</v>
      </c>
      <c r="V650" s="221">
        <f t="shared" si="70"/>
        <v>1579.1382034912328</v>
      </c>
      <c r="W650" s="221">
        <f t="shared" si="72"/>
        <v>2483.0978140296802</v>
      </c>
      <c r="X650" s="221">
        <v>0</v>
      </c>
      <c r="Y650" s="222">
        <v>0</v>
      </c>
      <c r="Z650" s="222">
        <v>0</v>
      </c>
      <c r="AA650" s="222">
        <v>0</v>
      </c>
      <c r="AB650" s="222">
        <v>0</v>
      </c>
      <c r="AC650" s="222">
        <v>0</v>
      </c>
      <c r="AD650" s="222">
        <v>0</v>
      </c>
      <c r="AE650" s="222">
        <v>3073.45</v>
      </c>
      <c r="AF650" s="221">
        <f t="shared" ref="AF650:AF657" si="73">6238.91*AE650/I650</f>
        <v>2483.0978140296802</v>
      </c>
      <c r="AG650" s="222">
        <v>0</v>
      </c>
      <c r="AH650" s="221">
        <v>0</v>
      </c>
      <c r="AI650" s="222">
        <v>0</v>
      </c>
      <c r="AJ650" s="221">
        <v>0</v>
      </c>
      <c r="AK650" s="222">
        <v>0</v>
      </c>
      <c r="AL650" s="222">
        <v>0</v>
      </c>
      <c r="AM650" s="222">
        <v>0</v>
      </c>
      <c r="AN650" s="222"/>
      <c r="AO650" s="222">
        <v>0</v>
      </c>
    </row>
    <row r="651" spans="1:41" s="223" customFormat="1" ht="36" customHeight="1" x14ac:dyDescent="0.25">
      <c r="A651" s="223">
        <v>1</v>
      </c>
      <c r="B651" s="225">
        <f>SUBTOTAL(103,$A$552:A651)</f>
        <v>99</v>
      </c>
      <c r="C651" s="215" t="s">
        <v>445</v>
      </c>
      <c r="D651" s="217">
        <v>1969</v>
      </c>
      <c r="E651" s="217"/>
      <c r="F651" s="226" t="s">
        <v>267</v>
      </c>
      <c r="G651" s="217">
        <v>2</v>
      </c>
      <c r="H651" s="217" t="s">
        <v>303</v>
      </c>
      <c r="I651" s="190">
        <v>725.2</v>
      </c>
      <c r="J651" s="190">
        <v>674.9</v>
      </c>
      <c r="K651" s="190">
        <v>674.9</v>
      </c>
      <c r="L651" s="219">
        <v>25</v>
      </c>
      <c r="M651" s="217" t="s">
        <v>265</v>
      </c>
      <c r="N651" s="217" t="s">
        <v>266</v>
      </c>
      <c r="O651" s="220" t="s">
        <v>268</v>
      </c>
      <c r="P651" s="190">
        <v>4800723</v>
      </c>
      <c r="Q651" s="190">
        <v>0</v>
      </c>
      <c r="R651" s="190">
        <v>0</v>
      </c>
      <c r="S651" s="190">
        <f t="shared" si="71"/>
        <v>4800723</v>
      </c>
      <c r="T651" s="190">
        <f t="shared" si="66"/>
        <v>6619.860728075013</v>
      </c>
      <c r="U651" s="190">
        <v>7627.6130722559292</v>
      </c>
      <c r="V651" s="221">
        <f t="shared" si="70"/>
        <v>1007.7523441809162</v>
      </c>
      <c r="W651" s="221">
        <f t="shared" si="72"/>
        <v>7312.5668781025915</v>
      </c>
      <c r="X651" s="221">
        <v>0</v>
      </c>
      <c r="Y651" s="222">
        <v>0</v>
      </c>
      <c r="Z651" s="222">
        <v>0</v>
      </c>
      <c r="AA651" s="222">
        <v>0</v>
      </c>
      <c r="AB651" s="222">
        <v>0</v>
      </c>
      <c r="AC651" s="222">
        <v>0</v>
      </c>
      <c r="AD651" s="222">
        <v>0</v>
      </c>
      <c r="AE651" s="222">
        <v>850</v>
      </c>
      <c r="AF651" s="221">
        <f t="shared" si="73"/>
        <v>7312.5668781025915</v>
      </c>
      <c r="AG651" s="222">
        <v>0</v>
      </c>
      <c r="AH651" s="221">
        <v>0</v>
      </c>
      <c r="AI651" s="222">
        <v>0</v>
      </c>
      <c r="AJ651" s="221">
        <v>0</v>
      </c>
      <c r="AK651" s="222">
        <v>0</v>
      </c>
      <c r="AL651" s="222">
        <v>0</v>
      </c>
      <c r="AM651" s="222">
        <v>0</v>
      </c>
      <c r="AN651" s="222"/>
      <c r="AO651" s="222">
        <v>0</v>
      </c>
    </row>
    <row r="652" spans="1:41" s="223" customFormat="1" ht="36" customHeight="1" x14ac:dyDescent="0.25">
      <c r="A652" s="223">
        <v>1</v>
      </c>
      <c r="B652" s="225">
        <f>SUBTOTAL(103,$A$552:A652)</f>
        <v>100</v>
      </c>
      <c r="C652" s="215" t="s">
        <v>1285</v>
      </c>
      <c r="D652" s="217">
        <v>1970</v>
      </c>
      <c r="E652" s="217"/>
      <c r="F652" s="226" t="s">
        <v>267</v>
      </c>
      <c r="G652" s="217">
        <v>2</v>
      </c>
      <c r="H652" s="217" t="s">
        <v>303</v>
      </c>
      <c r="I652" s="218">
        <v>781.5</v>
      </c>
      <c r="J652" s="218">
        <v>722.4</v>
      </c>
      <c r="K652" s="218">
        <v>722.4</v>
      </c>
      <c r="L652" s="219">
        <v>29</v>
      </c>
      <c r="M652" s="217" t="s">
        <v>265</v>
      </c>
      <c r="N652" s="217" t="s">
        <v>266</v>
      </c>
      <c r="O652" s="220" t="s">
        <v>268</v>
      </c>
      <c r="P652" s="190">
        <v>3973949.3400000003</v>
      </c>
      <c r="Q652" s="190">
        <v>0</v>
      </c>
      <c r="R652" s="190">
        <v>0</v>
      </c>
      <c r="S652" s="190">
        <f t="shared" si="71"/>
        <v>3973949.3400000003</v>
      </c>
      <c r="T652" s="190">
        <f t="shared" si="66"/>
        <v>5085.027946257198</v>
      </c>
      <c r="U652" s="190">
        <v>5967.9314600127955</v>
      </c>
      <c r="V652" s="221">
        <f t="shared" si="70"/>
        <v>882.90351375559749</v>
      </c>
      <c r="W652" s="221">
        <f t="shared" si="72"/>
        <v>5721.4357246321169</v>
      </c>
      <c r="X652" s="221">
        <v>0</v>
      </c>
      <c r="Y652" s="222">
        <v>0</v>
      </c>
      <c r="Z652" s="222">
        <v>0</v>
      </c>
      <c r="AA652" s="222">
        <v>0</v>
      </c>
      <c r="AB652" s="222">
        <v>0</v>
      </c>
      <c r="AC652" s="222">
        <v>0</v>
      </c>
      <c r="AD652" s="222">
        <v>0</v>
      </c>
      <c r="AE652" s="222">
        <v>716.68</v>
      </c>
      <c r="AF652" s="221">
        <f t="shared" si="73"/>
        <v>5721.4357246321169</v>
      </c>
      <c r="AG652" s="222">
        <v>0</v>
      </c>
      <c r="AH652" s="221">
        <v>0</v>
      </c>
      <c r="AI652" s="222">
        <v>0</v>
      </c>
      <c r="AJ652" s="221">
        <v>0</v>
      </c>
      <c r="AK652" s="222">
        <v>0</v>
      </c>
      <c r="AL652" s="222">
        <v>0</v>
      </c>
      <c r="AM652" s="222">
        <v>0</v>
      </c>
      <c r="AN652" s="222"/>
      <c r="AO652" s="222">
        <v>0</v>
      </c>
    </row>
    <row r="653" spans="1:41" s="223" customFormat="1" ht="36" customHeight="1" x14ac:dyDescent="0.25">
      <c r="A653" s="223">
        <v>1</v>
      </c>
      <c r="B653" s="225">
        <f>SUBTOTAL(103,$A$552:A653)</f>
        <v>101</v>
      </c>
      <c r="C653" s="215" t="s">
        <v>463</v>
      </c>
      <c r="D653" s="217">
        <v>1971</v>
      </c>
      <c r="E653" s="217"/>
      <c r="F653" s="226" t="s">
        <v>267</v>
      </c>
      <c r="G653" s="217">
        <v>2</v>
      </c>
      <c r="H653" s="217" t="s">
        <v>303</v>
      </c>
      <c r="I653" s="218">
        <v>775.3</v>
      </c>
      <c r="J653" s="218">
        <v>716.1</v>
      </c>
      <c r="K653" s="218">
        <v>716.1</v>
      </c>
      <c r="L653" s="219">
        <v>35</v>
      </c>
      <c r="M653" s="217" t="s">
        <v>265</v>
      </c>
      <c r="N653" s="217" t="s">
        <v>266</v>
      </c>
      <c r="O653" s="220" t="s">
        <v>268</v>
      </c>
      <c r="P653" s="190">
        <v>3793636.92</v>
      </c>
      <c r="Q653" s="190">
        <v>0</v>
      </c>
      <c r="R653" s="190">
        <v>0</v>
      </c>
      <c r="S653" s="190">
        <f t="shared" si="71"/>
        <v>3793636.92</v>
      </c>
      <c r="T653" s="190">
        <f t="shared" ref="T653:T716" si="74">P653/I653</f>
        <v>4893.1212691861219</v>
      </c>
      <c r="U653" s="190">
        <v>6077.0989294466663</v>
      </c>
      <c r="V653" s="221">
        <f t="shared" si="70"/>
        <v>1183.9776602605443</v>
      </c>
      <c r="W653" s="221">
        <f t="shared" si="72"/>
        <v>5826.0942086934092</v>
      </c>
      <c r="X653" s="221">
        <v>0</v>
      </c>
      <c r="Y653" s="222">
        <v>0</v>
      </c>
      <c r="Z653" s="222">
        <v>0</v>
      </c>
      <c r="AA653" s="222">
        <v>0</v>
      </c>
      <c r="AB653" s="222">
        <v>0</v>
      </c>
      <c r="AC653" s="222">
        <v>0</v>
      </c>
      <c r="AD653" s="222">
        <v>0</v>
      </c>
      <c r="AE653" s="222">
        <v>724</v>
      </c>
      <c r="AF653" s="221">
        <f t="shared" si="73"/>
        <v>5826.0942086934092</v>
      </c>
      <c r="AG653" s="222">
        <v>0</v>
      </c>
      <c r="AH653" s="221">
        <v>0</v>
      </c>
      <c r="AI653" s="222">
        <v>0</v>
      </c>
      <c r="AJ653" s="221">
        <v>0</v>
      </c>
      <c r="AK653" s="222">
        <v>0</v>
      </c>
      <c r="AL653" s="222">
        <v>0</v>
      </c>
      <c r="AM653" s="222">
        <v>0</v>
      </c>
      <c r="AN653" s="222"/>
      <c r="AO653" s="222">
        <v>0</v>
      </c>
    </row>
    <row r="654" spans="1:41" s="223" customFormat="1" ht="36" customHeight="1" x14ac:dyDescent="0.25">
      <c r="A654" s="223">
        <v>1</v>
      </c>
      <c r="B654" s="225">
        <f>SUBTOTAL(103,$A$552:A654)</f>
        <v>102</v>
      </c>
      <c r="C654" s="215" t="s">
        <v>1621</v>
      </c>
      <c r="D654" s="217">
        <v>1959</v>
      </c>
      <c r="E654" s="217"/>
      <c r="F654" s="226" t="s">
        <v>1341</v>
      </c>
      <c r="G654" s="217">
        <v>2</v>
      </c>
      <c r="H654" s="217" t="s">
        <v>303</v>
      </c>
      <c r="I654" s="218">
        <v>693.8</v>
      </c>
      <c r="J654" s="218">
        <v>645.20000000000005</v>
      </c>
      <c r="K654" s="218">
        <v>573.4</v>
      </c>
      <c r="L654" s="219">
        <v>22</v>
      </c>
      <c r="M654" s="217" t="s">
        <v>265</v>
      </c>
      <c r="N654" s="217" t="s">
        <v>266</v>
      </c>
      <c r="O654" s="220" t="s">
        <v>268</v>
      </c>
      <c r="P654" s="190">
        <v>3607695.84</v>
      </c>
      <c r="Q654" s="190">
        <v>0</v>
      </c>
      <c r="R654" s="190">
        <v>0</v>
      </c>
      <c r="S654" s="190">
        <f t="shared" si="71"/>
        <v>3607695.84</v>
      </c>
      <c r="T654" s="190">
        <f t="shared" si="74"/>
        <v>5199.9075237820698</v>
      </c>
      <c r="U654" s="190">
        <v>5886.7577399827042</v>
      </c>
      <c r="V654" s="221">
        <f t="shared" si="70"/>
        <v>686.85021620063435</v>
      </c>
      <c r="W654" s="221">
        <f t="shared" si="72"/>
        <v>5643.6147535312775</v>
      </c>
      <c r="X654" s="221">
        <v>0</v>
      </c>
      <c r="Y654" s="222">
        <v>0</v>
      </c>
      <c r="Z654" s="222">
        <v>0</v>
      </c>
      <c r="AA654" s="222">
        <v>0</v>
      </c>
      <c r="AB654" s="222">
        <v>0</v>
      </c>
      <c r="AC654" s="222">
        <v>0</v>
      </c>
      <c r="AD654" s="222">
        <v>0</v>
      </c>
      <c r="AE654" s="222">
        <v>627.6</v>
      </c>
      <c r="AF654" s="221">
        <f t="shared" si="73"/>
        <v>5643.6147535312775</v>
      </c>
      <c r="AG654" s="222">
        <v>0</v>
      </c>
      <c r="AH654" s="221">
        <v>0</v>
      </c>
      <c r="AI654" s="222">
        <v>0</v>
      </c>
      <c r="AJ654" s="221">
        <v>0</v>
      </c>
      <c r="AK654" s="222">
        <v>0</v>
      </c>
      <c r="AL654" s="222">
        <v>0</v>
      </c>
      <c r="AM654" s="222">
        <v>0</v>
      </c>
      <c r="AN654" s="222"/>
      <c r="AO654" s="222">
        <v>0</v>
      </c>
    </row>
    <row r="655" spans="1:41" s="223" customFormat="1" ht="36" customHeight="1" x14ac:dyDescent="0.25">
      <c r="A655" s="223">
        <v>1</v>
      </c>
      <c r="B655" s="225">
        <f>SUBTOTAL(103,$A$552:A655)</f>
        <v>103</v>
      </c>
      <c r="C655" s="215" t="s">
        <v>1622</v>
      </c>
      <c r="D655" s="217">
        <v>1959</v>
      </c>
      <c r="E655" s="217"/>
      <c r="F655" s="226" t="s">
        <v>1341</v>
      </c>
      <c r="G655" s="217">
        <v>2</v>
      </c>
      <c r="H655" s="217" t="s">
        <v>304</v>
      </c>
      <c r="I655" s="218">
        <v>301.39999999999998</v>
      </c>
      <c r="J655" s="218">
        <v>280.39999999999998</v>
      </c>
      <c r="K655" s="218">
        <v>280.39999999999998</v>
      </c>
      <c r="L655" s="219">
        <v>17</v>
      </c>
      <c r="M655" s="217" t="s">
        <v>265</v>
      </c>
      <c r="N655" s="217" t="s">
        <v>266</v>
      </c>
      <c r="O655" s="220" t="s">
        <v>268</v>
      </c>
      <c r="P655" s="190">
        <v>1597480.36</v>
      </c>
      <c r="Q655" s="190">
        <v>0</v>
      </c>
      <c r="R655" s="190">
        <v>0</v>
      </c>
      <c r="S655" s="190">
        <f t="shared" si="71"/>
        <v>1597480.36</v>
      </c>
      <c r="T655" s="190">
        <f t="shared" si="74"/>
        <v>5300.2002654280031</v>
      </c>
      <c r="U655" s="190">
        <v>6000.2980424684802</v>
      </c>
      <c r="V655" s="221">
        <f t="shared" si="70"/>
        <v>700.09777704047701</v>
      </c>
      <c r="W655" s="221">
        <f t="shared" si="72"/>
        <v>5752.4654578633044</v>
      </c>
      <c r="X655" s="221">
        <v>0</v>
      </c>
      <c r="Y655" s="222">
        <v>0</v>
      </c>
      <c r="Z655" s="222">
        <v>0</v>
      </c>
      <c r="AA655" s="222">
        <v>0</v>
      </c>
      <c r="AB655" s="222">
        <v>0</v>
      </c>
      <c r="AC655" s="222">
        <v>0</v>
      </c>
      <c r="AD655" s="222">
        <v>0</v>
      </c>
      <c r="AE655" s="222">
        <v>277.89999999999998</v>
      </c>
      <c r="AF655" s="221">
        <f t="shared" si="73"/>
        <v>5752.4654578633044</v>
      </c>
      <c r="AG655" s="222">
        <v>0</v>
      </c>
      <c r="AH655" s="221">
        <v>0</v>
      </c>
      <c r="AI655" s="222">
        <v>0</v>
      </c>
      <c r="AJ655" s="221">
        <v>0</v>
      </c>
      <c r="AK655" s="222">
        <v>0</v>
      </c>
      <c r="AL655" s="222">
        <v>0</v>
      </c>
      <c r="AM655" s="222">
        <v>0</v>
      </c>
      <c r="AN655" s="222"/>
      <c r="AO655" s="222">
        <v>0</v>
      </c>
    </row>
    <row r="656" spans="1:41" s="223" customFormat="1" ht="36" customHeight="1" x14ac:dyDescent="0.25">
      <c r="A656" s="223">
        <v>1</v>
      </c>
      <c r="B656" s="225">
        <f>SUBTOTAL(103,$A$552:A656)</f>
        <v>104</v>
      </c>
      <c r="C656" s="215" t="s">
        <v>1623</v>
      </c>
      <c r="D656" s="217">
        <v>1962</v>
      </c>
      <c r="E656" s="217"/>
      <c r="F656" s="226" t="s">
        <v>1341</v>
      </c>
      <c r="G656" s="217">
        <v>2</v>
      </c>
      <c r="H656" s="217" t="s">
        <v>303</v>
      </c>
      <c r="I656" s="218">
        <v>585.91</v>
      </c>
      <c r="J656" s="218">
        <v>546.5</v>
      </c>
      <c r="K656" s="218">
        <v>546.5</v>
      </c>
      <c r="L656" s="219">
        <v>38</v>
      </c>
      <c r="M656" s="217" t="s">
        <v>265</v>
      </c>
      <c r="N656" s="217" t="s">
        <v>266</v>
      </c>
      <c r="O656" s="220" t="s">
        <v>268</v>
      </c>
      <c r="P656" s="190">
        <v>3132303.1599999997</v>
      </c>
      <c r="Q656" s="190">
        <v>0</v>
      </c>
      <c r="R656" s="190">
        <v>0</v>
      </c>
      <c r="S656" s="190">
        <f t="shared" si="71"/>
        <v>3132303.1599999997</v>
      </c>
      <c r="T656" s="190">
        <f t="shared" si="74"/>
        <v>5346.0483009335903</v>
      </c>
      <c r="U656" s="190">
        <v>6052.2020958850335</v>
      </c>
      <c r="V656" s="221">
        <f t="shared" si="70"/>
        <v>706.15379495144316</v>
      </c>
      <c r="W656" s="221">
        <f t="shared" si="72"/>
        <v>5802.225698486116</v>
      </c>
      <c r="X656" s="221">
        <v>0</v>
      </c>
      <c r="Y656" s="222">
        <v>0</v>
      </c>
      <c r="Z656" s="222">
        <v>0</v>
      </c>
      <c r="AA656" s="222">
        <v>0</v>
      </c>
      <c r="AB656" s="222">
        <v>0</v>
      </c>
      <c r="AC656" s="222">
        <v>0</v>
      </c>
      <c r="AD656" s="222">
        <v>0</v>
      </c>
      <c r="AE656" s="222">
        <v>544.9</v>
      </c>
      <c r="AF656" s="221">
        <f t="shared" si="73"/>
        <v>5802.225698486116</v>
      </c>
      <c r="AG656" s="222">
        <v>0</v>
      </c>
      <c r="AH656" s="221">
        <v>0</v>
      </c>
      <c r="AI656" s="222">
        <v>0</v>
      </c>
      <c r="AJ656" s="221">
        <v>0</v>
      </c>
      <c r="AK656" s="222">
        <v>0</v>
      </c>
      <c r="AL656" s="222">
        <v>0</v>
      </c>
      <c r="AM656" s="222">
        <v>0</v>
      </c>
      <c r="AN656" s="222"/>
      <c r="AO656" s="222">
        <v>0</v>
      </c>
    </row>
    <row r="657" spans="1:41" s="223" customFormat="1" ht="36" customHeight="1" x14ac:dyDescent="0.25">
      <c r="A657" s="223">
        <v>1</v>
      </c>
      <c r="B657" s="225">
        <f>SUBTOTAL(103,$A$552:A657)</f>
        <v>105</v>
      </c>
      <c r="C657" s="215" t="s">
        <v>1624</v>
      </c>
      <c r="D657" s="217">
        <v>1966</v>
      </c>
      <c r="E657" s="217"/>
      <c r="F657" s="226" t="s">
        <v>1341</v>
      </c>
      <c r="G657" s="217">
        <v>2</v>
      </c>
      <c r="H657" s="217" t="s">
        <v>303</v>
      </c>
      <c r="I657" s="218">
        <v>462.3</v>
      </c>
      <c r="J657" s="218">
        <v>462.3</v>
      </c>
      <c r="K657" s="218">
        <v>462.3</v>
      </c>
      <c r="L657" s="219">
        <v>32</v>
      </c>
      <c r="M657" s="217" t="s">
        <v>265</v>
      </c>
      <c r="N657" s="217" t="s">
        <v>266</v>
      </c>
      <c r="O657" s="220" t="s">
        <v>268</v>
      </c>
      <c r="P657" s="190">
        <v>1937212.2999999998</v>
      </c>
      <c r="Q657" s="190">
        <v>0</v>
      </c>
      <c r="R657" s="190">
        <v>0</v>
      </c>
      <c r="S657" s="190">
        <f t="shared" si="71"/>
        <v>1937212.2999999998</v>
      </c>
      <c r="T657" s="190">
        <f t="shared" si="74"/>
        <v>4190.3791910015134</v>
      </c>
      <c r="U657" s="190">
        <v>4743.8782176076138</v>
      </c>
      <c r="V657" s="221">
        <f t="shared" si="70"/>
        <v>553.49902660610041</v>
      </c>
      <c r="W657" s="221">
        <f t="shared" si="72"/>
        <v>4547.9400173047798</v>
      </c>
      <c r="X657" s="221">
        <v>0</v>
      </c>
      <c r="Y657" s="222">
        <v>0</v>
      </c>
      <c r="Z657" s="222">
        <v>0</v>
      </c>
      <c r="AA657" s="222">
        <v>0</v>
      </c>
      <c r="AB657" s="222">
        <v>0</v>
      </c>
      <c r="AC657" s="222">
        <v>0</v>
      </c>
      <c r="AD657" s="222">
        <v>0</v>
      </c>
      <c r="AE657" s="222">
        <v>337</v>
      </c>
      <c r="AF657" s="221">
        <f t="shared" si="73"/>
        <v>4547.9400173047798</v>
      </c>
      <c r="AG657" s="222">
        <v>0</v>
      </c>
      <c r="AH657" s="221">
        <v>0</v>
      </c>
      <c r="AI657" s="222">
        <v>0</v>
      </c>
      <c r="AJ657" s="221">
        <v>0</v>
      </c>
      <c r="AK657" s="222">
        <v>0</v>
      </c>
      <c r="AL657" s="222">
        <v>0</v>
      </c>
      <c r="AM657" s="222">
        <v>0</v>
      </c>
      <c r="AN657" s="222"/>
      <c r="AO657" s="222">
        <v>0</v>
      </c>
    </row>
    <row r="658" spans="1:41" s="223" customFormat="1" ht="36" customHeight="1" x14ac:dyDescent="0.25">
      <c r="A658" s="223">
        <v>1</v>
      </c>
      <c r="B658" s="225">
        <f>SUBTOTAL(103,$A$552:A658)</f>
        <v>106</v>
      </c>
      <c r="C658" s="215" t="s">
        <v>476</v>
      </c>
      <c r="D658" s="217">
        <v>1958</v>
      </c>
      <c r="E658" s="217"/>
      <c r="F658" s="226" t="s">
        <v>267</v>
      </c>
      <c r="G658" s="217">
        <v>2</v>
      </c>
      <c r="H658" s="217" t="s">
        <v>304</v>
      </c>
      <c r="I658" s="190">
        <v>660.3</v>
      </c>
      <c r="J658" s="190">
        <v>660.3</v>
      </c>
      <c r="K658" s="190">
        <v>660.3</v>
      </c>
      <c r="L658" s="219">
        <v>17</v>
      </c>
      <c r="M658" s="217" t="s">
        <v>265</v>
      </c>
      <c r="N658" s="217" t="s">
        <v>341</v>
      </c>
      <c r="O658" s="220" t="s">
        <v>342</v>
      </c>
      <c r="P658" s="190">
        <v>2847699.39</v>
      </c>
      <c r="Q658" s="190">
        <v>0</v>
      </c>
      <c r="R658" s="190">
        <v>0</v>
      </c>
      <c r="S658" s="190">
        <f t="shared" si="71"/>
        <v>2847699.39</v>
      </c>
      <c r="T658" s="190">
        <f t="shared" si="74"/>
        <v>4312.7357110404364</v>
      </c>
      <c r="U658" s="190">
        <v>5026.3925488414361</v>
      </c>
      <c r="V658" s="221">
        <f t="shared" si="70"/>
        <v>713.65683780099971</v>
      </c>
      <c r="W658" s="221">
        <f>X658+Y658+Z658+AA658+AB658+AD658+AF658+AH658+AJ658+AL658+AN658+AO658</f>
        <v>3259.66</v>
      </c>
      <c r="X658" s="221">
        <v>0</v>
      </c>
      <c r="Y658" s="222">
        <v>0</v>
      </c>
      <c r="Z658" s="222">
        <v>3259.66</v>
      </c>
      <c r="AA658" s="222">
        <v>0</v>
      </c>
      <c r="AB658" s="222">
        <v>0</v>
      </c>
      <c r="AC658" s="222">
        <v>0</v>
      </c>
      <c r="AD658" s="222">
        <v>0</v>
      </c>
      <c r="AE658" s="222">
        <v>0</v>
      </c>
      <c r="AF658" s="221">
        <v>0</v>
      </c>
      <c r="AG658" s="222">
        <v>0</v>
      </c>
      <c r="AH658" s="221">
        <v>0</v>
      </c>
      <c r="AI658" s="222">
        <v>0</v>
      </c>
      <c r="AJ658" s="221">
        <v>0</v>
      </c>
      <c r="AK658" s="222">
        <v>0</v>
      </c>
      <c r="AL658" s="222">
        <v>0</v>
      </c>
      <c r="AM658" s="222">
        <v>0</v>
      </c>
      <c r="AN658" s="222"/>
      <c r="AO658" s="222">
        <v>0</v>
      </c>
    </row>
    <row r="659" spans="1:41" s="223" customFormat="1" ht="36" customHeight="1" x14ac:dyDescent="0.25">
      <c r="A659" s="223">
        <v>1</v>
      </c>
      <c r="B659" s="225">
        <f>SUBTOTAL(103,$A$552:A659)</f>
        <v>107</v>
      </c>
      <c r="C659" s="215" t="s">
        <v>1134</v>
      </c>
      <c r="D659" s="217">
        <v>1933</v>
      </c>
      <c r="E659" s="217">
        <v>2008</v>
      </c>
      <c r="F659" s="226" t="s">
        <v>267</v>
      </c>
      <c r="G659" s="217">
        <v>3</v>
      </c>
      <c r="H659" s="217" t="s">
        <v>308</v>
      </c>
      <c r="I659" s="190">
        <v>1863.4</v>
      </c>
      <c r="J659" s="190">
        <v>1677.4</v>
      </c>
      <c r="K659" s="190">
        <v>1677.4</v>
      </c>
      <c r="L659" s="219">
        <v>86</v>
      </c>
      <c r="M659" s="217" t="s">
        <v>265</v>
      </c>
      <c r="N659" s="217" t="s">
        <v>269</v>
      </c>
      <c r="O659" s="220" t="s">
        <v>346</v>
      </c>
      <c r="P659" s="190">
        <v>2152387.4200000004</v>
      </c>
      <c r="Q659" s="190">
        <v>0</v>
      </c>
      <c r="R659" s="190">
        <v>0</v>
      </c>
      <c r="S659" s="190">
        <f t="shared" si="71"/>
        <v>2152387.4200000004</v>
      </c>
      <c r="T659" s="190">
        <f t="shared" si="74"/>
        <v>1155.086089943115</v>
      </c>
      <c r="U659" s="190">
        <v>3626.97</v>
      </c>
      <c r="V659" s="221">
        <f t="shared" si="70"/>
        <v>2471.8839100568848</v>
      </c>
      <c r="W659" s="221">
        <f>X659+Y659+Z659+AA659+AB659+AD659+AF659+AH659+AJ659+AL659+AN659+AO659</f>
        <v>3259.66</v>
      </c>
      <c r="X659" s="221">
        <v>0</v>
      </c>
      <c r="Y659" s="222">
        <v>0</v>
      </c>
      <c r="Z659" s="222">
        <v>3259.66</v>
      </c>
      <c r="AA659" s="222">
        <v>0</v>
      </c>
      <c r="AB659" s="222">
        <v>0</v>
      </c>
      <c r="AC659" s="222">
        <v>0</v>
      </c>
      <c r="AD659" s="222">
        <v>0</v>
      </c>
      <c r="AE659" s="222">
        <v>0</v>
      </c>
      <c r="AF659" s="221">
        <v>0</v>
      </c>
      <c r="AG659" s="222">
        <v>0</v>
      </c>
      <c r="AH659" s="221">
        <v>0</v>
      </c>
      <c r="AI659" s="222">
        <v>0</v>
      </c>
      <c r="AJ659" s="221">
        <v>0</v>
      </c>
      <c r="AK659" s="222">
        <v>0</v>
      </c>
      <c r="AL659" s="222">
        <v>0</v>
      </c>
      <c r="AM659" s="222">
        <v>0</v>
      </c>
      <c r="AN659" s="222"/>
      <c r="AO659" s="222">
        <v>0</v>
      </c>
    </row>
    <row r="660" spans="1:41" s="223" customFormat="1" ht="36" customHeight="1" x14ac:dyDescent="0.25">
      <c r="A660" s="223">
        <v>1</v>
      </c>
      <c r="B660" s="225">
        <f>SUBTOTAL(103,$A$552:A660)</f>
        <v>108</v>
      </c>
      <c r="C660" s="215" t="s">
        <v>1139</v>
      </c>
      <c r="D660" s="217">
        <v>1964</v>
      </c>
      <c r="E660" s="217"/>
      <c r="F660" s="226" t="s">
        <v>267</v>
      </c>
      <c r="G660" s="217">
        <v>2</v>
      </c>
      <c r="H660" s="217" t="s">
        <v>304</v>
      </c>
      <c r="I660" s="190">
        <v>380.8</v>
      </c>
      <c r="J660" s="190">
        <v>380.8</v>
      </c>
      <c r="K660" s="190">
        <v>380.8</v>
      </c>
      <c r="L660" s="219">
        <v>13</v>
      </c>
      <c r="M660" s="217" t="s">
        <v>265</v>
      </c>
      <c r="N660" s="217" t="s">
        <v>266</v>
      </c>
      <c r="O660" s="220" t="s">
        <v>268</v>
      </c>
      <c r="P660" s="190">
        <v>534516.64</v>
      </c>
      <c r="Q660" s="190">
        <v>0</v>
      </c>
      <c r="R660" s="190">
        <v>0</v>
      </c>
      <c r="S660" s="190">
        <f t="shared" si="71"/>
        <v>534516.64</v>
      </c>
      <c r="T660" s="190">
        <f t="shared" si="74"/>
        <v>1403.6676470588236</v>
      </c>
      <c r="U660" s="190">
        <v>3626.97</v>
      </c>
      <c r="V660" s="221">
        <f t="shared" si="70"/>
        <v>2223.3023529411762</v>
      </c>
      <c r="W660" s="221">
        <f>X660+Y660+Z660+AA660+AB660+AD660+AF660+AH660+AJ660+AL660+AN660+AO660</f>
        <v>3259.66</v>
      </c>
      <c r="X660" s="221">
        <v>0</v>
      </c>
      <c r="Y660" s="222">
        <v>0</v>
      </c>
      <c r="Z660" s="222">
        <v>3259.66</v>
      </c>
      <c r="AA660" s="222">
        <v>0</v>
      </c>
      <c r="AB660" s="222">
        <v>0</v>
      </c>
      <c r="AC660" s="222">
        <v>0</v>
      </c>
      <c r="AD660" s="222">
        <v>0</v>
      </c>
      <c r="AE660" s="222">
        <v>0</v>
      </c>
      <c r="AF660" s="221">
        <v>0</v>
      </c>
      <c r="AG660" s="222">
        <v>0</v>
      </c>
      <c r="AH660" s="221">
        <v>0</v>
      </c>
      <c r="AI660" s="222">
        <v>0</v>
      </c>
      <c r="AJ660" s="221">
        <v>0</v>
      </c>
      <c r="AK660" s="222">
        <v>0</v>
      </c>
      <c r="AL660" s="222">
        <v>0</v>
      </c>
      <c r="AM660" s="222">
        <v>0</v>
      </c>
      <c r="AN660" s="222"/>
      <c r="AO660" s="222">
        <v>0</v>
      </c>
    </row>
    <row r="661" spans="1:41" s="223" customFormat="1" ht="36" customHeight="1" x14ac:dyDescent="0.25">
      <c r="A661" s="223">
        <v>1</v>
      </c>
      <c r="B661" s="225">
        <f>SUBTOTAL(103,$A$552:A661)</f>
        <v>109</v>
      </c>
      <c r="C661" s="215" t="s">
        <v>1144</v>
      </c>
      <c r="D661" s="217">
        <v>1977</v>
      </c>
      <c r="E661" s="217">
        <v>2014</v>
      </c>
      <c r="F661" s="226" t="s">
        <v>267</v>
      </c>
      <c r="G661" s="217">
        <v>5</v>
      </c>
      <c r="H661" s="217" t="s">
        <v>308</v>
      </c>
      <c r="I661" s="190">
        <v>3912.3</v>
      </c>
      <c r="J661" s="190">
        <v>3639.1</v>
      </c>
      <c r="K661" s="190">
        <v>2732.3</v>
      </c>
      <c r="L661" s="219">
        <v>140</v>
      </c>
      <c r="M661" s="217" t="s">
        <v>265</v>
      </c>
      <c r="N661" s="217" t="s">
        <v>269</v>
      </c>
      <c r="O661" s="220" t="s">
        <v>1299</v>
      </c>
      <c r="P661" s="190">
        <v>1370144.55</v>
      </c>
      <c r="Q661" s="190">
        <v>0</v>
      </c>
      <c r="R661" s="190">
        <v>0</v>
      </c>
      <c r="S661" s="190">
        <f t="shared" si="71"/>
        <v>1370144.55</v>
      </c>
      <c r="T661" s="190">
        <f t="shared" si="74"/>
        <v>350.2145924392301</v>
      </c>
      <c r="U661" s="190">
        <v>3626.97</v>
      </c>
      <c r="V661" s="221">
        <f t="shared" si="70"/>
        <v>3276.7554075607695</v>
      </c>
      <c r="W661" s="221">
        <f>X661+Y661+Z661+AA661+AB661+AD661+AF661+AH661+AJ661+AL661+AN661+AO661</f>
        <v>4054.97</v>
      </c>
      <c r="X661" s="221">
        <v>0</v>
      </c>
      <c r="Y661" s="222">
        <v>0</v>
      </c>
      <c r="Z661" s="222">
        <v>3259.66</v>
      </c>
      <c r="AA661" s="222">
        <v>0</v>
      </c>
      <c r="AB661" s="222">
        <v>795.31</v>
      </c>
      <c r="AC661" s="222">
        <v>0</v>
      </c>
      <c r="AD661" s="222">
        <v>0</v>
      </c>
      <c r="AE661" s="222">
        <v>0</v>
      </c>
      <c r="AF661" s="221">
        <v>0</v>
      </c>
      <c r="AG661" s="222">
        <v>0</v>
      </c>
      <c r="AH661" s="221">
        <v>0</v>
      </c>
      <c r="AI661" s="222">
        <v>0</v>
      </c>
      <c r="AJ661" s="221">
        <v>0</v>
      </c>
      <c r="AK661" s="222">
        <v>0</v>
      </c>
      <c r="AL661" s="222">
        <v>0</v>
      </c>
      <c r="AM661" s="222">
        <v>0</v>
      </c>
      <c r="AN661" s="222"/>
      <c r="AO661" s="222">
        <v>0</v>
      </c>
    </row>
    <row r="662" spans="1:41" s="223" customFormat="1" ht="36" customHeight="1" x14ac:dyDescent="0.25">
      <c r="A662" s="223">
        <v>1</v>
      </c>
      <c r="B662" s="225">
        <f>SUBTOTAL(103,$A$552:A662)</f>
        <v>110</v>
      </c>
      <c r="C662" s="215" t="s">
        <v>1146</v>
      </c>
      <c r="D662" s="217">
        <v>1985</v>
      </c>
      <c r="E662" s="217">
        <v>2014</v>
      </c>
      <c r="F662" s="226" t="s">
        <v>267</v>
      </c>
      <c r="G662" s="217">
        <v>9</v>
      </c>
      <c r="H662" s="217" t="s">
        <v>312</v>
      </c>
      <c r="I662" s="190">
        <v>7073.4</v>
      </c>
      <c r="J662" s="190">
        <v>6236.1</v>
      </c>
      <c r="K662" s="190">
        <v>5330.6</v>
      </c>
      <c r="L662" s="219">
        <v>229</v>
      </c>
      <c r="M662" s="217" t="s">
        <v>265</v>
      </c>
      <c r="N662" s="217" t="s">
        <v>269</v>
      </c>
      <c r="O662" s="220" t="s">
        <v>1327</v>
      </c>
      <c r="P662" s="190">
        <v>4854047.7300000004</v>
      </c>
      <c r="Q662" s="190">
        <v>0</v>
      </c>
      <c r="R662" s="190">
        <v>0</v>
      </c>
      <c r="S662" s="190">
        <f t="shared" si="71"/>
        <v>4854047.7300000004</v>
      </c>
      <c r="T662" s="190">
        <f t="shared" si="74"/>
        <v>686.23967681737224</v>
      </c>
      <c r="U662" s="190">
        <v>4437.43</v>
      </c>
      <c r="V662" s="221">
        <f t="shared" si="70"/>
        <v>3751.1903231826282</v>
      </c>
      <c r="W662" s="221">
        <f>X662+Y662+Z662+AA662+AB662+AD662+AF662+AH662+AJ662+AL662+AN662+AO662</f>
        <v>473.37050216303339</v>
      </c>
      <c r="X662" s="221">
        <v>0</v>
      </c>
      <c r="Y662" s="222">
        <v>0</v>
      </c>
      <c r="Z662" s="222">
        <v>0</v>
      </c>
      <c r="AA662" s="222">
        <v>0</v>
      </c>
      <c r="AB662" s="222">
        <v>0</v>
      </c>
      <c r="AC662" s="222">
        <v>0</v>
      </c>
      <c r="AD662" s="222">
        <v>0</v>
      </c>
      <c r="AE662" s="222">
        <v>0</v>
      </c>
      <c r="AF662" s="221">
        <v>0</v>
      </c>
      <c r="AG662" s="222">
        <v>0</v>
      </c>
      <c r="AH662" s="221">
        <v>0</v>
      </c>
      <c r="AI662" s="222">
        <v>450.1</v>
      </c>
      <c r="AJ662" s="221">
        <f>7439.1*AI662/I662</f>
        <v>473.37050216303339</v>
      </c>
      <c r="AK662" s="222">
        <v>0</v>
      </c>
      <c r="AL662" s="222">
        <v>0</v>
      </c>
      <c r="AM662" s="222">
        <v>0</v>
      </c>
      <c r="AN662" s="222"/>
      <c r="AO662" s="222">
        <v>0</v>
      </c>
    </row>
    <row r="663" spans="1:41" s="223" customFormat="1" ht="36" customHeight="1" x14ac:dyDescent="0.25">
      <c r="A663" s="223">
        <v>1</v>
      </c>
      <c r="B663" s="225">
        <f>SUBTOTAL(103,$A$552:A663)</f>
        <v>111</v>
      </c>
      <c r="C663" s="215" t="s">
        <v>1142</v>
      </c>
      <c r="D663" s="217">
        <v>1955</v>
      </c>
      <c r="E663" s="217"/>
      <c r="F663" s="226" t="s">
        <v>267</v>
      </c>
      <c r="G663" s="217">
        <v>2</v>
      </c>
      <c r="H663" s="217" t="s">
        <v>304</v>
      </c>
      <c r="I663" s="190">
        <v>388.3</v>
      </c>
      <c r="J663" s="190">
        <v>388.3</v>
      </c>
      <c r="K663" s="190">
        <v>388.3</v>
      </c>
      <c r="L663" s="219">
        <v>24</v>
      </c>
      <c r="M663" s="217" t="s">
        <v>265</v>
      </c>
      <c r="N663" s="217" t="s">
        <v>266</v>
      </c>
      <c r="O663" s="220" t="s">
        <v>268</v>
      </c>
      <c r="P663" s="190">
        <v>1971369.43</v>
      </c>
      <c r="Q663" s="190">
        <v>0</v>
      </c>
      <c r="R663" s="190">
        <v>0</v>
      </c>
      <c r="S663" s="190">
        <f t="shared" si="71"/>
        <v>1971369.43</v>
      </c>
      <c r="T663" s="190">
        <f t="shared" si="74"/>
        <v>5076.9235900077256</v>
      </c>
      <c r="U663" s="190">
        <v>8623.072134947206</v>
      </c>
      <c r="V663" s="221">
        <f t="shared" si="70"/>
        <v>3546.1485449394804</v>
      </c>
      <c r="W663" s="221">
        <f>T663</f>
        <v>5076.9235900077256</v>
      </c>
      <c r="X663" s="221">
        <v>0</v>
      </c>
      <c r="Y663" s="222">
        <v>0</v>
      </c>
      <c r="Z663" s="222">
        <v>0</v>
      </c>
      <c r="AA663" s="222">
        <v>0</v>
      </c>
      <c r="AB663" s="222">
        <v>0</v>
      </c>
      <c r="AC663" s="222">
        <v>0</v>
      </c>
      <c r="AD663" s="222">
        <v>0</v>
      </c>
      <c r="AE663" s="222">
        <v>0</v>
      </c>
      <c r="AF663" s="221">
        <v>0</v>
      </c>
      <c r="AG663" s="222">
        <v>0</v>
      </c>
      <c r="AH663" s="221">
        <v>0</v>
      </c>
      <c r="AI663" s="222">
        <v>538.6</v>
      </c>
      <c r="AJ663" s="221">
        <f>3979.46*AI663/I663</f>
        <v>5519.7969508112283</v>
      </c>
      <c r="AK663" s="222">
        <v>0</v>
      </c>
      <c r="AL663" s="222">
        <v>0</v>
      </c>
      <c r="AM663" s="222">
        <v>0</v>
      </c>
      <c r="AN663" s="222"/>
      <c r="AO663" s="222">
        <v>0</v>
      </c>
    </row>
    <row r="664" spans="1:41" s="223" customFormat="1" ht="36" customHeight="1" x14ac:dyDescent="0.25">
      <c r="A664" s="223">
        <v>1</v>
      </c>
      <c r="B664" s="225">
        <f>SUBTOTAL(103,$A$552:A664)</f>
        <v>112</v>
      </c>
      <c r="C664" s="215" t="s">
        <v>454</v>
      </c>
      <c r="D664" s="217">
        <v>1937</v>
      </c>
      <c r="E664" s="217">
        <v>2010</v>
      </c>
      <c r="F664" s="226" t="s">
        <v>330</v>
      </c>
      <c r="G664" s="217">
        <v>2</v>
      </c>
      <c r="H664" s="217" t="s">
        <v>303</v>
      </c>
      <c r="I664" s="218">
        <v>522</v>
      </c>
      <c r="J664" s="218">
        <v>471.4</v>
      </c>
      <c r="K664" s="218">
        <v>471.4</v>
      </c>
      <c r="L664" s="219">
        <v>22</v>
      </c>
      <c r="M664" s="217" t="s">
        <v>265</v>
      </c>
      <c r="N664" s="217" t="s">
        <v>266</v>
      </c>
      <c r="O664" s="220" t="s">
        <v>268</v>
      </c>
      <c r="P664" s="190">
        <v>2358287.8899999997</v>
      </c>
      <c r="Q664" s="190">
        <v>0</v>
      </c>
      <c r="R664" s="190">
        <v>0</v>
      </c>
      <c r="S664" s="190">
        <f t="shared" si="71"/>
        <v>2358287.8899999997</v>
      </c>
      <c r="T664" s="190">
        <f t="shared" si="74"/>
        <v>4517.7928927203056</v>
      </c>
      <c r="U664" s="190">
        <v>4517.7928927203056</v>
      </c>
      <c r="V664" s="221">
        <f t="shared" si="70"/>
        <v>0</v>
      </c>
      <c r="W664" s="221">
        <f t="shared" si="72"/>
        <v>6095.4867816091955</v>
      </c>
      <c r="X664" s="221">
        <v>0</v>
      </c>
      <c r="Y664" s="222">
        <v>0</v>
      </c>
      <c r="Z664" s="222">
        <v>0</v>
      </c>
      <c r="AA664" s="222">
        <v>0</v>
      </c>
      <c r="AB664" s="222">
        <v>0</v>
      </c>
      <c r="AC664" s="222">
        <v>0</v>
      </c>
      <c r="AD664" s="222">
        <v>0</v>
      </c>
      <c r="AE664" s="222">
        <v>510</v>
      </c>
      <c r="AF664" s="221">
        <f>6238.91*AE664/I664</f>
        <v>6095.4867816091955</v>
      </c>
      <c r="AG664" s="222">
        <v>0</v>
      </c>
      <c r="AH664" s="221">
        <v>0</v>
      </c>
      <c r="AI664" s="222">
        <v>0</v>
      </c>
      <c r="AJ664" s="221">
        <v>0</v>
      </c>
      <c r="AK664" s="222">
        <v>0</v>
      </c>
      <c r="AL664" s="222">
        <v>0</v>
      </c>
      <c r="AM664" s="222">
        <v>0</v>
      </c>
      <c r="AN664" s="222"/>
      <c r="AO664" s="222">
        <v>0</v>
      </c>
    </row>
    <row r="665" spans="1:41" s="223" customFormat="1" ht="36" customHeight="1" x14ac:dyDescent="0.25">
      <c r="A665" s="223">
        <v>1</v>
      </c>
      <c r="B665" s="225">
        <f>SUBTOTAL(103,$A$552:A665)</f>
        <v>113</v>
      </c>
      <c r="C665" s="215" t="s">
        <v>1135</v>
      </c>
      <c r="D665" s="217">
        <v>1928</v>
      </c>
      <c r="E665" s="217"/>
      <c r="F665" s="226" t="s">
        <v>1571</v>
      </c>
      <c r="G665" s="217" t="s">
        <v>303</v>
      </c>
      <c r="H665" s="217" t="s">
        <v>303</v>
      </c>
      <c r="I665" s="190">
        <v>550</v>
      </c>
      <c r="J665" s="190">
        <v>498.3</v>
      </c>
      <c r="K665" s="190">
        <v>498.3</v>
      </c>
      <c r="L665" s="219">
        <v>28</v>
      </c>
      <c r="M665" s="217" t="s">
        <v>265</v>
      </c>
      <c r="N665" s="217" t="s">
        <v>266</v>
      </c>
      <c r="O665" s="220" t="s">
        <v>268</v>
      </c>
      <c r="P665" s="190">
        <v>2333192.16</v>
      </c>
      <c r="Q665" s="190">
        <v>0</v>
      </c>
      <c r="R665" s="190">
        <v>0</v>
      </c>
      <c r="S665" s="190">
        <f t="shared" si="71"/>
        <v>2333192.16</v>
      </c>
      <c r="T665" s="190">
        <f t="shared" si="74"/>
        <v>4242.1675636363643</v>
      </c>
      <c r="U665" s="190">
        <v>10033.85808</v>
      </c>
      <c r="V665" s="221">
        <f t="shared" si="70"/>
        <v>5791.6905163636357</v>
      </c>
      <c r="W665" s="221">
        <f t="shared" si="72"/>
        <v>3259.66</v>
      </c>
      <c r="X665" s="221">
        <v>0</v>
      </c>
      <c r="Y665" s="222">
        <v>0</v>
      </c>
      <c r="Z665" s="222">
        <v>3259.66</v>
      </c>
      <c r="AA665" s="222">
        <v>0</v>
      </c>
      <c r="AB665" s="222">
        <v>0</v>
      </c>
      <c r="AC665" s="222">
        <v>0</v>
      </c>
      <c r="AD665" s="222">
        <v>0</v>
      </c>
      <c r="AE665" s="222">
        <v>0</v>
      </c>
      <c r="AF665" s="221">
        <v>0</v>
      </c>
      <c r="AG665" s="222">
        <v>0</v>
      </c>
      <c r="AH665" s="221">
        <v>0</v>
      </c>
      <c r="AI665" s="222">
        <v>0</v>
      </c>
      <c r="AJ665" s="221">
        <v>0</v>
      </c>
      <c r="AK665" s="222">
        <v>0</v>
      </c>
      <c r="AL665" s="222">
        <v>0</v>
      </c>
      <c r="AM665" s="222">
        <v>0</v>
      </c>
      <c r="AN665" s="222"/>
      <c r="AO665" s="222">
        <v>0</v>
      </c>
    </row>
    <row r="666" spans="1:41" s="223" customFormat="1" ht="36" customHeight="1" x14ac:dyDescent="0.25">
      <c r="A666" s="223">
        <v>1</v>
      </c>
      <c r="B666" s="225">
        <f>SUBTOTAL(103,$A$552:A666)</f>
        <v>114</v>
      </c>
      <c r="C666" s="215" t="s">
        <v>1145</v>
      </c>
      <c r="D666" s="217">
        <v>1970</v>
      </c>
      <c r="E666" s="217"/>
      <c r="F666" s="226" t="s">
        <v>267</v>
      </c>
      <c r="G666" s="217">
        <v>5</v>
      </c>
      <c r="H666" s="217" t="s">
        <v>308</v>
      </c>
      <c r="I666" s="190">
        <v>3635.4</v>
      </c>
      <c r="J666" s="190">
        <v>3360</v>
      </c>
      <c r="K666" s="190">
        <v>3247.2</v>
      </c>
      <c r="L666" s="219">
        <v>167</v>
      </c>
      <c r="M666" s="217" t="s">
        <v>265</v>
      </c>
      <c r="N666" s="217" t="s">
        <v>269</v>
      </c>
      <c r="O666" s="220" t="s">
        <v>1327</v>
      </c>
      <c r="P666" s="190">
        <v>1540784.43</v>
      </c>
      <c r="Q666" s="190">
        <v>0</v>
      </c>
      <c r="R666" s="190">
        <v>0</v>
      </c>
      <c r="S666" s="190">
        <f t="shared" si="71"/>
        <v>1540784.43</v>
      </c>
      <c r="T666" s="190">
        <f t="shared" si="74"/>
        <v>423.82803267865984</v>
      </c>
      <c r="U666" s="190">
        <v>3626.97</v>
      </c>
      <c r="V666" s="221">
        <f t="shared" si="70"/>
        <v>3203.14196732134</v>
      </c>
      <c r="W666" s="221">
        <f t="shared" si="72"/>
        <v>3259.66</v>
      </c>
      <c r="X666" s="221">
        <v>0</v>
      </c>
      <c r="Y666" s="222">
        <v>0</v>
      </c>
      <c r="Z666" s="222">
        <v>3259.66</v>
      </c>
      <c r="AA666" s="222">
        <v>0</v>
      </c>
      <c r="AB666" s="222">
        <v>0</v>
      </c>
      <c r="AC666" s="222">
        <v>0</v>
      </c>
      <c r="AD666" s="222">
        <v>0</v>
      </c>
      <c r="AE666" s="222">
        <v>0</v>
      </c>
      <c r="AF666" s="221">
        <v>0</v>
      </c>
      <c r="AG666" s="222">
        <v>0</v>
      </c>
      <c r="AH666" s="221">
        <v>0</v>
      </c>
      <c r="AI666" s="222">
        <v>0</v>
      </c>
      <c r="AJ666" s="221">
        <v>0</v>
      </c>
      <c r="AK666" s="222">
        <v>0</v>
      </c>
      <c r="AL666" s="222">
        <v>0</v>
      </c>
      <c r="AM666" s="222">
        <v>0</v>
      </c>
      <c r="AN666" s="222"/>
      <c r="AO666" s="222">
        <v>0</v>
      </c>
    </row>
    <row r="667" spans="1:41" s="223" customFormat="1" ht="36" customHeight="1" x14ac:dyDescent="0.25">
      <c r="A667" s="223">
        <v>1</v>
      </c>
      <c r="B667" s="225">
        <f>SUBTOTAL(103,$A$552:A667)</f>
        <v>115</v>
      </c>
      <c r="C667" s="215" t="s">
        <v>462</v>
      </c>
      <c r="D667" s="217">
        <v>1970</v>
      </c>
      <c r="E667" s="217"/>
      <c r="F667" s="226" t="s">
        <v>267</v>
      </c>
      <c r="G667" s="217">
        <v>2</v>
      </c>
      <c r="H667" s="217" t="s">
        <v>303</v>
      </c>
      <c r="I667" s="190">
        <v>794.7</v>
      </c>
      <c r="J667" s="190">
        <v>737.8</v>
      </c>
      <c r="K667" s="190">
        <v>737.8</v>
      </c>
      <c r="L667" s="219">
        <v>38</v>
      </c>
      <c r="M667" s="217" t="s">
        <v>265</v>
      </c>
      <c r="N667" s="217" t="s">
        <v>266</v>
      </c>
      <c r="O667" s="220" t="s">
        <v>268</v>
      </c>
      <c r="P667" s="190">
        <v>2256753.77</v>
      </c>
      <c r="Q667" s="190">
        <v>0</v>
      </c>
      <c r="R667" s="190">
        <v>0</v>
      </c>
      <c r="S667" s="190">
        <f t="shared" si="71"/>
        <v>2256753.77</v>
      </c>
      <c r="T667" s="190">
        <f t="shared" si="74"/>
        <v>2839.7555933056497</v>
      </c>
      <c r="U667" s="190">
        <v>5118.8665785831126</v>
      </c>
      <c r="V667" s="221">
        <f t="shared" si="70"/>
        <v>2279.110985277463</v>
      </c>
      <c r="W667" s="221">
        <f t="shared" si="72"/>
        <v>3259.66</v>
      </c>
      <c r="X667" s="221">
        <v>0</v>
      </c>
      <c r="Y667" s="222">
        <v>0</v>
      </c>
      <c r="Z667" s="222">
        <v>3259.66</v>
      </c>
      <c r="AA667" s="222">
        <v>0</v>
      </c>
      <c r="AB667" s="222">
        <v>0</v>
      </c>
      <c r="AC667" s="222">
        <v>0</v>
      </c>
      <c r="AD667" s="222">
        <v>0</v>
      </c>
      <c r="AE667" s="222">
        <v>0</v>
      </c>
      <c r="AF667" s="221">
        <v>0</v>
      </c>
      <c r="AG667" s="222">
        <v>0</v>
      </c>
      <c r="AH667" s="221">
        <v>0</v>
      </c>
      <c r="AI667" s="222">
        <v>0</v>
      </c>
      <c r="AJ667" s="221">
        <v>0</v>
      </c>
      <c r="AK667" s="222">
        <v>0</v>
      </c>
      <c r="AL667" s="222">
        <v>0</v>
      </c>
      <c r="AM667" s="222">
        <v>0</v>
      </c>
      <c r="AN667" s="222"/>
      <c r="AO667" s="222">
        <v>0</v>
      </c>
    </row>
    <row r="668" spans="1:41" s="223" customFormat="1" ht="36" customHeight="1" x14ac:dyDescent="0.25">
      <c r="A668" s="223">
        <v>1</v>
      </c>
      <c r="B668" s="225">
        <f>SUBTOTAL(103,$A$552:A668)</f>
        <v>116</v>
      </c>
      <c r="C668" s="215" t="s">
        <v>1284</v>
      </c>
      <c r="D668" s="217">
        <v>1978</v>
      </c>
      <c r="E668" s="217"/>
      <c r="F668" s="226" t="s">
        <v>330</v>
      </c>
      <c r="G668" s="217" t="s">
        <v>303</v>
      </c>
      <c r="H668" s="217" t="s">
        <v>312</v>
      </c>
      <c r="I668" s="190">
        <v>873.7</v>
      </c>
      <c r="J668" s="190">
        <v>873.7</v>
      </c>
      <c r="K668" s="190">
        <v>873.7</v>
      </c>
      <c r="L668" s="219">
        <v>31</v>
      </c>
      <c r="M668" s="217" t="s">
        <v>265</v>
      </c>
      <c r="N668" s="217" t="s">
        <v>266</v>
      </c>
      <c r="O668" s="220" t="s">
        <v>268</v>
      </c>
      <c r="P668" s="190">
        <v>2922293.2399999998</v>
      </c>
      <c r="Q668" s="190">
        <v>0</v>
      </c>
      <c r="R668" s="190">
        <v>0</v>
      </c>
      <c r="S668" s="190">
        <f t="shared" si="71"/>
        <v>2922293.2399999998</v>
      </c>
      <c r="T668" s="190">
        <f t="shared" si="74"/>
        <v>3344.7330204875811</v>
      </c>
      <c r="U668" s="190">
        <v>3344.7330204875811</v>
      </c>
      <c r="V668" s="221">
        <f t="shared" si="70"/>
        <v>0</v>
      </c>
      <c r="W668" s="221">
        <f t="shared" si="72"/>
        <v>4054.97</v>
      </c>
      <c r="X668" s="221">
        <v>0</v>
      </c>
      <c r="Y668" s="222">
        <v>0</v>
      </c>
      <c r="Z668" s="222">
        <v>3259.66</v>
      </c>
      <c r="AA668" s="222">
        <v>0</v>
      </c>
      <c r="AB668" s="222">
        <v>795.31</v>
      </c>
      <c r="AC668" s="222">
        <v>0</v>
      </c>
      <c r="AD668" s="222">
        <v>0</v>
      </c>
      <c r="AE668" s="222">
        <v>0</v>
      </c>
      <c r="AF668" s="221">
        <v>0</v>
      </c>
      <c r="AG668" s="222">
        <v>0</v>
      </c>
      <c r="AH668" s="221">
        <v>0</v>
      </c>
      <c r="AI668" s="222">
        <v>0</v>
      </c>
      <c r="AJ668" s="221">
        <v>0</v>
      </c>
      <c r="AK668" s="222">
        <v>0</v>
      </c>
      <c r="AL668" s="222">
        <v>0</v>
      </c>
      <c r="AM668" s="222">
        <v>0</v>
      </c>
      <c r="AN668" s="222"/>
      <c r="AO668" s="222">
        <v>0</v>
      </c>
    </row>
    <row r="669" spans="1:41" s="223" customFormat="1" ht="61.5" x14ac:dyDescent="0.25">
      <c r="A669" s="223">
        <v>1</v>
      </c>
      <c r="B669" s="225">
        <f>SUBTOTAL(103,$A$552:A669)</f>
        <v>117</v>
      </c>
      <c r="C669" s="215" t="s">
        <v>1553</v>
      </c>
      <c r="D669" s="217">
        <v>1927</v>
      </c>
      <c r="E669" s="217"/>
      <c r="F669" s="226" t="s">
        <v>1571</v>
      </c>
      <c r="G669" s="217">
        <v>2</v>
      </c>
      <c r="H669" s="217" t="s">
        <v>303</v>
      </c>
      <c r="I669" s="190">
        <v>522.4</v>
      </c>
      <c r="J669" s="190">
        <v>474.6</v>
      </c>
      <c r="K669" s="190">
        <v>239.9</v>
      </c>
      <c r="L669" s="219">
        <v>7</v>
      </c>
      <c r="M669" s="217" t="s">
        <v>265</v>
      </c>
      <c r="N669" s="217" t="s">
        <v>269</v>
      </c>
      <c r="O669" s="220" t="s">
        <v>1570</v>
      </c>
      <c r="P669" s="190">
        <v>3147456.93</v>
      </c>
      <c r="Q669" s="190">
        <v>0</v>
      </c>
      <c r="R669" s="190">
        <v>0</v>
      </c>
      <c r="S669" s="190">
        <f t="shared" si="71"/>
        <v>3147456.93</v>
      </c>
      <c r="T669" s="190">
        <f t="shared" si="74"/>
        <v>6024.9941232771826</v>
      </c>
      <c r="U669" s="190">
        <v>9036.8546324655454</v>
      </c>
      <c r="V669" s="221">
        <f t="shared" si="70"/>
        <v>3011.8605091883628</v>
      </c>
      <c r="W669" s="221">
        <f t="shared" si="72"/>
        <v>6409.5308384379787</v>
      </c>
      <c r="X669" s="221">
        <v>0</v>
      </c>
      <c r="Y669" s="222">
        <v>0</v>
      </c>
      <c r="Z669" s="222">
        <v>0</v>
      </c>
      <c r="AA669" s="222">
        <v>0</v>
      </c>
      <c r="AB669" s="222">
        <v>0</v>
      </c>
      <c r="AC669" s="222">
        <v>0</v>
      </c>
      <c r="AD669" s="222">
        <v>0</v>
      </c>
      <c r="AE669" s="222">
        <v>0</v>
      </c>
      <c r="AF669" s="221">
        <v>0</v>
      </c>
      <c r="AG669" s="222">
        <v>0</v>
      </c>
      <c r="AH669" s="221">
        <v>0</v>
      </c>
      <c r="AI669" s="222">
        <v>450.1</v>
      </c>
      <c r="AJ669" s="221">
        <f>7439.1*AI669/I669</f>
        <v>6409.5308384379787</v>
      </c>
      <c r="AK669" s="222">
        <v>0</v>
      </c>
      <c r="AL669" s="222">
        <v>0</v>
      </c>
      <c r="AM669" s="222">
        <v>0</v>
      </c>
      <c r="AN669" s="222"/>
      <c r="AO669" s="222">
        <v>0</v>
      </c>
    </row>
    <row r="670" spans="1:41" s="223" customFormat="1" ht="36" customHeight="1" x14ac:dyDescent="0.25">
      <c r="A670" s="223">
        <v>1</v>
      </c>
      <c r="B670" s="225">
        <f>SUBTOTAL(103,$A$552:A670)</f>
        <v>118</v>
      </c>
      <c r="C670" s="215" t="s">
        <v>453</v>
      </c>
      <c r="D670" s="217">
        <v>1962</v>
      </c>
      <c r="E670" s="217"/>
      <c r="F670" s="226" t="s">
        <v>267</v>
      </c>
      <c r="G670" s="217" t="s">
        <v>312</v>
      </c>
      <c r="H670" s="217" t="s">
        <v>312</v>
      </c>
      <c r="I670" s="190">
        <v>1651.8</v>
      </c>
      <c r="J670" s="190">
        <v>1537.5</v>
      </c>
      <c r="K670" s="190">
        <v>1462.9</v>
      </c>
      <c r="L670" s="219">
        <v>58</v>
      </c>
      <c r="M670" s="217" t="s">
        <v>265</v>
      </c>
      <c r="N670" s="217" t="s">
        <v>341</v>
      </c>
      <c r="O670" s="220" t="s">
        <v>347</v>
      </c>
      <c r="P670" s="190">
        <v>2775034.26</v>
      </c>
      <c r="Q670" s="190">
        <v>0</v>
      </c>
      <c r="R670" s="190">
        <v>0</v>
      </c>
      <c r="S670" s="190">
        <f t="shared" si="71"/>
        <v>2775034.26</v>
      </c>
      <c r="T670" s="190">
        <f t="shared" si="74"/>
        <v>1680.0062114057391</v>
      </c>
      <c r="U670" s="190">
        <v>3313.340416515317</v>
      </c>
      <c r="V670" s="221">
        <f t="shared" si="70"/>
        <v>1633.3342051095779</v>
      </c>
      <c r="W670" s="221">
        <f t="shared" si="72"/>
        <v>3251.6890713766797</v>
      </c>
      <c r="X670" s="221">
        <v>0</v>
      </c>
      <c r="Y670" s="222">
        <v>0</v>
      </c>
      <c r="Z670" s="222">
        <v>0</v>
      </c>
      <c r="AA670" s="222">
        <v>0</v>
      </c>
      <c r="AB670" s="222">
        <v>0</v>
      </c>
      <c r="AC670" s="222">
        <v>0</v>
      </c>
      <c r="AD670" s="222">
        <v>0</v>
      </c>
      <c r="AE670" s="222">
        <v>860.91</v>
      </c>
      <c r="AF670" s="221">
        <f>6238.91*AE670/I670</f>
        <v>3251.6890713766797</v>
      </c>
      <c r="AG670" s="222">
        <v>0</v>
      </c>
      <c r="AH670" s="221">
        <v>0</v>
      </c>
      <c r="AI670" s="222">
        <v>0</v>
      </c>
      <c r="AJ670" s="221">
        <v>0</v>
      </c>
      <c r="AK670" s="222">
        <v>0</v>
      </c>
      <c r="AL670" s="222">
        <v>0</v>
      </c>
      <c r="AM670" s="222">
        <v>0</v>
      </c>
      <c r="AN670" s="222"/>
      <c r="AO670" s="222">
        <v>0</v>
      </c>
    </row>
    <row r="671" spans="1:41" s="223" customFormat="1" ht="61.5" x14ac:dyDescent="0.25">
      <c r="A671" s="223">
        <v>1</v>
      </c>
      <c r="B671" s="225">
        <f>SUBTOTAL(103,$A$552:A671)</f>
        <v>119</v>
      </c>
      <c r="C671" s="215" t="s">
        <v>1932</v>
      </c>
      <c r="D671" s="217">
        <v>1976</v>
      </c>
      <c r="E671" s="217"/>
      <c r="F671" s="226" t="s">
        <v>1571</v>
      </c>
      <c r="G671" s="217" t="s">
        <v>351</v>
      </c>
      <c r="H671" s="217" t="s">
        <v>371</v>
      </c>
      <c r="I671" s="190">
        <v>4908.2</v>
      </c>
      <c r="J671" s="190">
        <v>4507.3</v>
      </c>
      <c r="K671" s="190">
        <v>4121.8</v>
      </c>
      <c r="L671" s="219">
        <v>252</v>
      </c>
      <c r="M671" s="217" t="s">
        <v>265</v>
      </c>
      <c r="N671" s="217" t="s">
        <v>266</v>
      </c>
      <c r="O671" s="220" t="s">
        <v>268</v>
      </c>
      <c r="P671" s="190">
        <v>9113040.370000001</v>
      </c>
      <c r="Q671" s="190">
        <v>0</v>
      </c>
      <c r="R671" s="190">
        <v>0</v>
      </c>
      <c r="S671" s="190">
        <f t="shared" si="71"/>
        <v>9113040.370000001</v>
      </c>
      <c r="T671" s="190">
        <f t="shared" si="74"/>
        <v>1856.6970314983093</v>
      </c>
      <c r="U671" s="190">
        <v>1856.6970314983093</v>
      </c>
      <c r="V671" s="221">
        <f t="shared" si="70"/>
        <v>0</v>
      </c>
      <c r="W671" s="221">
        <f>T671</f>
        <v>1856.6970314983093</v>
      </c>
      <c r="X671" s="221">
        <v>0</v>
      </c>
      <c r="Y671" s="222">
        <v>0</v>
      </c>
      <c r="Z671" s="222">
        <v>0</v>
      </c>
      <c r="AA671" s="222">
        <v>0</v>
      </c>
      <c r="AB671" s="222">
        <v>0</v>
      </c>
      <c r="AC671" s="222">
        <v>0</v>
      </c>
      <c r="AD671" s="222">
        <v>0</v>
      </c>
      <c r="AE671" s="222">
        <v>0</v>
      </c>
      <c r="AF671" s="221">
        <v>0</v>
      </c>
      <c r="AG671" s="222">
        <v>0</v>
      </c>
      <c r="AH671" s="221">
        <v>0</v>
      </c>
      <c r="AI671" s="222">
        <v>538.6</v>
      </c>
      <c r="AJ671" s="221">
        <f>3979.46*AI671/I671</f>
        <v>436.68496719775072</v>
      </c>
      <c r="AK671" s="222">
        <v>0</v>
      </c>
      <c r="AL671" s="222">
        <v>0</v>
      </c>
      <c r="AM671" s="222">
        <v>0</v>
      </c>
      <c r="AN671" s="222"/>
      <c r="AO671" s="222">
        <v>0</v>
      </c>
    </row>
    <row r="672" spans="1:41" s="223" customFormat="1" ht="61.5" x14ac:dyDescent="0.25">
      <c r="A672" s="223">
        <v>1</v>
      </c>
      <c r="B672" s="225">
        <f>SUBTOTAL(103,$A$552:A672)</f>
        <v>120</v>
      </c>
      <c r="C672" s="215" t="s">
        <v>2307</v>
      </c>
      <c r="D672" s="217">
        <v>1961</v>
      </c>
      <c r="E672" s="217" t="s">
        <v>729</v>
      </c>
      <c r="F672" s="226" t="s">
        <v>267</v>
      </c>
      <c r="G672" s="217">
        <v>2</v>
      </c>
      <c r="H672" s="217">
        <v>2</v>
      </c>
      <c r="I672" s="190">
        <v>624.79999999999995</v>
      </c>
      <c r="J672" s="190">
        <v>617.70000000000005</v>
      </c>
      <c r="K672" s="190">
        <v>617.70000000000005</v>
      </c>
      <c r="L672" s="219">
        <v>32</v>
      </c>
      <c r="M672" s="217" t="s">
        <v>265</v>
      </c>
      <c r="N672" s="217" t="s">
        <v>266</v>
      </c>
      <c r="O672" s="220" t="s">
        <v>268</v>
      </c>
      <c r="P672" s="190">
        <v>3791083.75</v>
      </c>
      <c r="Q672" s="190">
        <v>0</v>
      </c>
      <c r="R672" s="190">
        <v>0</v>
      </c>
      <c r="S672" s="190">
        <f t="shared" si="71"/>
        <v>3791083.75</v>
      </c>
      <c r="T672" s="190">
        <f t="shared" si="74"/>
        <v>6067.6756562099872</v>
      </c>
      <c r="U672" s="190">
        <v>6477.4946062740082</v>
      </c>
      <c r="V672" s="221">
        <f t="shared" si="70"/>
        <v>409.81895006402101</v>
      </c>
      <c r="W672" s="221">
        <f>T672</f>
        <v>6067.6756562099872</v>
      </c>
      <c r="X672" s="221">
        <v>0</v>
      </c>
      <c r="Y672" s="222">
        <v>0</v>
      </c>
      <c r="Z672" s="222">
        <v>0</v>
      </c>
      <c r="AA672" s="222">
        <v>0</v>
      </c>
      <c r="AB672" s="222">
        <v>0</v>
      </c>
      <c r="AC672" s="222">
        <v>0</v>
      </c>
      <c r="AD672" s="222">
        <v>0</v>
      </c>
      <c r="AE672" s="222">
        <v>0</v>
      </c>
      <c r="AF672" s="221">
        <v>0</v>
      </c>
      <c r="AG672" s="222">
        <v>0</v>
      </c>
      <c r="AH672" s="221">
        <v>0</v>
      </c>
      <c r="AI672" s="222">
        <v>538.6</v>
      </c>
      <c r="AJ672" s="221">
        <f>3979.46*AI672/I672</f>
        <v>3430.4371895006402</v>
      </c>
      <c r="AK672" s="222">
        <v>0</v>
      </c>
      <c r="AL672" s="222">
        <v>0</v>
      </c>
      <c r="AM672" s="222">
        <v>0</v>
      </c>
      <c r="AN672" s="222"/>
      <c r="AO672" s="222">
        <v>0</v>
      </c>
    </row>
    <row r="673" spans="1:41" s="223" customFormat="1" ht="36" customHeight="1" x14ac:dyDescent="0.25">
      <c r="B673" s="215" t="s">
        <v>757</v>
      </c>
      <c r="C673" s="227"/>
      <c r="D673" s="217" t="s">
        <v>890</v>
      </c>
      <c r="E673" s="217" t="s">
        <v>890</v>
      </c>
      <c r="F673" s="217" t="s">
        <v>890</v>
      </c>
      <c r="G673" s="217" t="s">
        <v>890</v>
      </c>
      <c r="H673" s="217" t="s">
        <v>890</v>
      </c>
      <c r="I673" s="218">
        <f>SUM(I674:I716)</f>
        <v>90090.07</v>
      </c>
      <c r="J673" s="218">
        <f>SUM(J674:J716)</f>
        <v>76194.12</v>
      </c>
      <c r="K673" s="218">
        <f>SUM(K674:K716)</f>
        <v>70311.820000000007</v>
      </c>
      <c r="L673" s="219">
        <f>SUM(L674:L716)</f>
        <v>3367</v>
      </c>
      <c r="M673" s="217" t="s">
        <v>890</v>
      </c>
      <c r="N673" s="217" t="s">
        <v>890</v>
      </c>
      <c r="O673" s="220" t="s">
        <v>890</v>
      </c>
      <c r="P673" s="218">
        <v>160867854.94000003</v>
      </c>
      <c r="Q673" s="218">
        <f>SUM(Q674:Q716)</f>
        <v>0</v>
      </c>
      <c r="R673" s="218">
        <f>SUM(R674:R716)</f>
        <v>0</v>
      </c>
      <c r="S673" s="218">
        <f>SUM(S674:S716)</f>
        <v>160867854.94000003</v>
      </c>
      <c r="T673" s="190">
        <f t="shared" si="74"/>
        <v>1785.6335880302902</v>
      </c>
      <c r="U673" s="190">
        <f>MAX(U674:U716)</f>
        <v>7388.5934817243879</v>
      </c>
      <c r="V673" s="221">
        <f t="shared" si="70"/>
        <v>5602.9598936940974</v>
      </c>
      <c r="W673" s="221"/>
      <c r="X673" s="221"/>
      <c r="Y673" s="222"/>
      <c r="Z673" s="222"/>
      <c r="AA673" s="222"/>
      <c r="AB673" s="222"/>
      <c r="AC673" s="222"/>
      <c r="AD673" s="222"/>
      <c r="AE673" s="222"/>
      <c r="AF673" s="222"/>
      <c r="AG673" s="222"/>
      <c r="AH673" s="222"/>
      <c r="AI673" s="222"/>
      <c r="AJ673" s="222"/>
      <c r="AK673" s="222"/>
      <c r="AL673" s="222"/>
      <c r="AM673" s="222"/>
      <c r="AN673" s="222"/>
      <c r="AO673" s="222"/>
    </row>
    <row r="674" spans="1:41" s="223" customFormat="1" ht="36" customHeight="1" x14ac:dyDescent="0.25">
      <c r="A674" s="223">
        <v>1</v>
      </c>
      <c r="B674" s="225">
        <f>SUBTOTAL(103,$A$552:A674)</f>
        <v>121</v>
      </c>
      <c r="C674" s="215" t="s">
        <v>401</v>
      </c>
      <c r="D674" s="217">
        <v>1985</v>
      </c>
      <c r="E674" s="217"/>
      <c r="F674" s="226" t="s">
        <v>267</v>
      </c>
      <c r="G674" s="217">
        <v>5</v>
      </c>
      <c r="H674" s="217" t="s">
        <v>371</v>
      </c>
      <c r="I674" s="218">
        <v>4537.2</v>
      </c>
      <c r="J674" s="218">
        <v>4163</v>
      </c>
      <c r="K674" s="218">
        <v>4163</v>
      </c>
      <c r="L674" s="219">
        <v>198</v>
      </c>
      <c r="M674" s="217" t="s">
        <v>265</v>
      </c>
      <c r="N674" s="217" t="s">
        <v>269</v>
      </c>
      <c r="O674" s="220" t="s">
        <v>990</v>
      </c>
      <c r="P674" s="190">
        <v>8209197.7199999997</v>
      </c>
      <c r="Q674" s="190">
        <v>0</v>
      </c>
      <c r="R674" s="190">
        <v>0</v>
      </c>
      <c r="S674" s="190">
        <f t="shared" ref="S674:S716" si="75">P674-Q674-R674</f>
        <v>8209197.7199999997</v>
      </c>
      <c r="T674" s="190">
        <f t="shared" si="74"/>
        <v>1809.3092039143085</v>
      </c>
      <c r="U674" s="190">
        <v>1809.3092039143085</v>
      </c>
      <c r="V674" s="221">
        <f t="shared" si="70"/>
        <v>0</v>
      </c>
      <c r="W674" s="221">
        <f t="shared" ref="W674:W710" si="76">X674+Y674+Z674+AA674+AB674+AD674+AF674+AH674+AJ674+AL674+AN674+AO674</f>
        <v>1608.8170457550914</v>
      </c>
      <c r="X674" s="221">
        <v>0</v>
      </c>
      <c r="Y674" s="222">
        <v>0</v>
      </c>
      <c r="Z674" s="222">
        <v>0</v>
      </c>
      <c r="AA674" s="222">
        <v>0</v>
      </c>
      <c r="AB674" s="222">
        <v>0</v>
      </c>
      <c r="AC674" s="222">
        <v>0</v>
      </c>
      <c r="AD674" s="222">
        <v>0</v>
      </c>
      <c r="AE674" s="222">
        <v>1170</v>
      </c>
      <c r="AF674" s="221">
        <f>6238.91*AE674/I674</f>
        <v>1608.8170457550914</v>
      </c>
      <c r="AG674" s="222">
        <v>0</v>
      </c>
      <c r="AH674" s="221">
        <v>0</v>
      </c>
      <c r="AI674" s="222">
        <v>0</v>
      </c>
      <c r="AJ674" s="221">
        <v>0</v>
      </c>
      <c r="AK674" s="222">
        <v>0</v>
      </c>
      <c r="AL674" s="222">
        <v>0</v>
      </c>
      <c r="AM674" s="222">
        <v>0</v>
      </c>
      <c r="AN674" s="222"/>
      <c r="AO674" s="222">
        <v>0</v>
      </c>
    </row>
    <row r="675" spans="1:41" s="223" customFormat="1" ht="36" customHeight="1" x14ac:dyDescent="0.25">
      <c r="A675" s="223">
        <v>1</v>
      </c>
      <c r="B675" s="225">
        <f>SUBTOTAL(103,$A$552:A675)</f>
        <v>122</v>
      </c>
      <c r="C675" s="215" t="s">
        <v>403</v>
      </c>
      <c r="D675" s="217">
        <v>1987</v>
      </c>
      <c r="E675" s="217"/>
      <c r="F675" s="226" t="s">
        <v>267</v>
      </c>
      <c r="G675" s="217">
        <v>9</v>
      </c>
      <c r="H675" s="217" t="s">
        <v>304</v>
      </c>
      <c r="I675" s="218">
        <v>6006.9</v>
      </c>
      <c r="J675" s="218">
        <v>4691.3999999999996</v>
      </c>
      <c r="K675" s="218">
        <v>3628.4</v>
      </c>
      <c r="L675" s="219">
        <v>297</v>
      </c>
      <c r="M675" s="217" t="s">
        <v>265</v>
      </c>
      <c r="N675" s="217" t="s">
        <v>269</v>
      </c>
      <c r="O675" s="220" t="s">
        <v>321</v>
      </c>
      <c r="P675" s="190">
        <v>4914920.1100000003</v>
      </c>
      <c r="Q675" s="190">
        <v>0</v>
      </c>
      <c r="R675" s="190">
        <v>0</v>
      </c>
      <c r="S675" s="190">
        <f t="shared" si="75"/>
        <v>4914920.1100000003</v>
      </c>
      <c r="T675" s="190">
        <f t="shared" si="74"/>
        <v>818.21240739815892</v>
      </c>
      <c r="U675" s="190">
        <v>913.98904593051327</v>
      </c>
      <c r="V675" s="221">
        <f t="shared" si="70"/>
        <v>95.776638532354355</v>
      </c>
      <c r="W675" s="221">
        <f t="shared" si="76"/>
        <v>913.98904593051327</v>
      </c>
      <c r="X675" s="221">
        <v>0</v>
      </c>
      <c r="Y675" s="222">
        <v>0</v>
      </c>
      <c r="Z675" s="222">
        <v>0</v>
      </c>
      <c r="AA675" s="222">
        <v>0</v>
      </c>
      <c r="AB675" s="222">
        <v>0</v>
      </c>
      <c r="AC675" s="222">
        <v>0</v>
      </c>
      <c r="AD675" s="222">
        <v>0</v>
      </c>
      <c r="AE675" s="222">
        <v>880</v>
      </c>
      <c r="AF675" s="221">
        <f>6238.91*AE675/I675</f>
        <v>913.98904593051327</v>
      </c>
      <c r="AG675" s="222">
        <v>0</v>
      </c>
      <c r="AH675" s="221">
        <v>0</v>
      </c>
      <c r="AI675" s="222">
        <v>0</v>
      </c>
      <c r="AJ675" s="221">
        <v>0</v>
      </c>
      <c r="AK675" s="222">
        <v>0</v>
      </c>
      <c r="AL675" s="222">
        <v>0</v>
      </c>
      <c r="AM675" s="222">
        <v>0</v>
      </c>
      <c r="AN675" s="222"/>
      <c r="AO675" s="222">
        <v>0</v>
      </c>
    </row>
    <row r="676" spans="1:41" s="223" customFormat="1" ht="36" customHeight="1" x14ac:dyDescent="0.25">
      <c r="A676" s="223">
        <v>1</v>
      </c>
      <c r="B676" s="225">
        <f>SUBTOTAL(103,$A$552:A676)</f>
        <v>123</v>
      </c>
      <c r="C676" s="215" t="s">
        <v>404</v>
      </c>
      <c r="D676" s="217">
        <v>1992</v>
      </c>
      <c r="E676" s="217"/>
      <c r="F676" s="226" t="s">
        <v>267</v>
      </c>
      <c r="G676" s="217">
        <v>4</v>
      </c>
      <c r="H676" s="217" t="s">
        <v>304</v>
      </c>
      <c r="I676" s="218">
        <v>1756.3</v>
      </c>
      <c r="J676" s="218">
        <v>1356.3</v>
      </c>
      <c r="K676" s="218">
        <v>1356.3</v>
      </c>
      <c r="L676" s="219">
        <v>65</v>
      </c>
      <c r="M676" s="217" t="s">
        <v>265</v>
      </c>
      <c r="N676" s="217" t="s">
        <v>266</v>
      </c>
      <c r="O676" s="220" t="s">
        <v>268</v>
      </c>
      <c r="P676" s="190">
        <v>3567125.84</v>
      </c>
      <c r="Q676" s="190">
        <v>0</v>
      </c>
      <c r="R676" s="190">
        <v>0</v>
      </c>
      <c r="S676" s="190">
        <f t="shared" si="75"/>
        <v>3567125.84</v>
      </c>
      <c r="T676" s="190">
        <f t="shared" si="74"/>
        <v>2031.0458577691738</v>
      </c>
      <c r="U676" s="190">
        <v>2408.4752035529236</v>
      </c>
      <c r="V676" s="221">
        <f t="shared" si="70"/>
        <v>377.4293457837498</v>
      </c>
      <c r="W676" s="221">
        <f t="shared" si="76"/>
        <v>2308.9970392301998</v>
      </c>
      <c r="X676" s="221">
        <v>0</v>
      </c>
      <c r="Y676" s="222">
        <v>0</v>
      </c>
      <c r="Z676" s="222">
        <v>0</v>
      </c>
      <c r="AA676" s="222">
        <v>0</v>
      </c>
      <c r="AB676" s="222">
        <v>0</v>
      </c>
      <c r="AC676" s="222">
        <v>0</v>
      </c>
      <c r="AD676" s="222">
        <v>0</v>
      </c>
      <c r="AE676" s="222">
        <v>650</v>
      </c>
      <c r="AF676" s="221">
        <f>6238.91*AE676/I676</f>
        <v>2308.9970392301998</v>
      </c>
      <c r="AG676" s="222">
        <v>0</v>
      </c>
      <c r="AH676" s="221">
        <v>0</v>
      </c>
      <c r="AI676" s="222">
        <v>0</v>
      </c>
      <c r="AJ676" s="221">
        <v>0</v>
      </c>
      <c r="AK676" s="222">
        <v>0</v>
      </c>
      <c r="AL676" s="222">
        <v>0</v>
      </c>
      <c r="AM676" s="222">
        <v>0</v>
      </c>
      <c r="AN676" s="222"/>
      <c r="AO676" s="222">
        <v>0</v>
      </c>
    </row>
    <row r="677" spans="1:41" s="223" customFormat="1" ht="36" customHeight="1" x14ac:dyDescent="0.25">
      <c r="A677" s="223">
        <v>1</v>
      </c>
      <c r="B677" s="225">
        <f>SUBTOTAL(103,$A$552:A677)</f>
        <v>124</v>
      </c>
      <c r="C677" s="215" t="s">
        <v>405</v>
      </c>
      <c r="D677" s="217">
        <v>1941</v>
      </c>
      <c r="E677" s="217"/>
      <c r="F677" s="226" t="s">
        <v>324</v>
      </c>
      <c r="G677" s="217">
        <v>2</v>
      </c>
      <c r="H677" s="217" t="s">
        <v>303</v>
      </c>
      <c r="I677" s="218">
        <v>743.7</v>
      </c>
      <c r="J677" s="218">
        <v>670.6</v>
      </c>
      <c r="K677" s="218">
        <v>553.1</v>
      </c>
      <c r="L677" s="219">
        <v>23</v>
      </c>
      <c r="M677" s="217" t="s">
        <v>265</v>
      </c>
      <c r="N677" s="217" t="s">
        <v>269</v>
      </c>
      <c r="O677" s="220" t="s">
        <v>325</v>
      </c>
      <c r="P677" s="190">
        <v>3399322.55</v>
      </c>
      <c r="Q677" s="190">
        <v>0</v>
      </c>
      <c r="R677" s="190">
        <v>0</v>
      </c>
      <c r="S677" s="190">
        <f t="shared" si="75"/>
        <v>3399322.55</v>
      </c>
      <c r="T677" s="190">
        <f t="shared" si="74"/>
        <v>4570.8249966384292</v>
      </c>
      <c r="U677" s="190">
        <v>5425.270942584375</v>
      </c>
      <c r="V677" s="221">
        <f t="shared" si="70"/>
        <v>854.44594594594582</v>
      </c>
      <c r="W677" s="221">
        <f t="shared" si="76"/>
        <v>5201.1889202635466</v>
      </c>
      <c r="X677" s="221">
        <v>0</v>
      </c>
      <c r="Y677" s="222">
        <v>0</v>
      </c>
      <c r="Z677" s="222">
        <v>0</v>
      </c>
      <c r="AA677" s="222">
        <v>0</v>
      </c>
      <c r="AB677" s="222">
        <v>0</v>
      </c>
      <c r="AC677" s="222">
        <v>0</v>
      </c>
      <c r="AD677" s="222">
        <v>0</v>
      </c>
      <c r="AE677" s="222">
        <v>620</v>
      </c>
      <c r="AF677" s="221">
        <f>6238.91*AE677/I677</f>
        <v>5201.1889202635466</v>
      </c>
      <c r="AG677" s="222">
        <v>0</v>
      </c>
      <c r="AH677" s="221">
        <v>0</v>
      </c>
      <c r="AI677" s="222">
        <v>0</v>
      </c>
      <c r="AJ677" s="221">
        <v>0</v>
      </c>
      <c r="AK677" s="222">
        <v>0</v>
      </c>
      <c r="AL677" s="222">
        <v>0</v>
      </c>
      <c r="AM677" s="222">
        <v>0</v>
      </c>
      <c r="AN677" s="222"/>
      <c r="AO677" s="222">
        <v>0</v>
      </c>
    </row>
    <row r="678" spans="1:41" s="223" customFormat="1" ht="36" customHeight="1" x14ac:dyDescent="0.25">
      <c r="A678" s="223">
        <v>1</v>
      </c>
      <c r="B678" s="225">
        <f>SUBTOTAL(103,$A$552:A678)</f>
        <v>125</v>
      </c>
      <c r="C678" s="215" t="s">
        <v>406</v>
      </c>
      <c r="D678" s="217">
        <v>1957</v>
      </c>
      <c r="E678" s="217"/>
      <c r="F678" s="226" t="s">
        <v>267</v>
      </c>
      <c r="G678" s="217">
        <v>2</v>
      </c>
      <c r="H678" s="217" t="s">
        <v>303</v>
      </c>
      <c r="I678" s="218">
        <v>706.7</v>
      </c>
      <c r="J678" s="218">
        <v>646.1</v>
      </c>
      <c r="K678" s="218">
        <v>646.1</v>
      </c>
      <c r="L678" s="219">
        <v>18</v>
      </c>
      <c r="M678" s="217" t="s">
        <v>265</v>
      </c>
      <c r="N678" s="217" t="s">
        <v>266</v>
      </c>
      <c r="O678" s="220" t="s">
        <v>268</v>
      </c>
      <c r="P678" s="190">
        <v>2802640.78</v>
      </c>
      <c r="Q678" s="190">
        <v>0</v>
      </c>
      <c r="R678" s="190">
        <v>0</v>
      </c>
      <c r="S678" s="190">
        <f t="shared" si="75"/>
        <v>2802640.78</v>
      </c>
      <c r="T678" s="190">
        <f t="shared" si="74"/>
        <v>3965.8140370737224</v>
      </c>
      <c r="U678" s="190">
        <v>5893.4880430168387</v>
      </c>
      <c r="V678" s="221">
        <f t="shared" si="70"/>
        <v>1927.6740059431163</v>
      </c>
      <c r="W678" s="221">
        <f t="shared" si="76"/>
        <v>5650.0670723079093</v>
      </c>
      <c r="X678" s="221">
        <v>0</v>
      </c>
      <c r="Y678" s="222">
        <v>0</v>
      </c>
      <c r="Z678" s="222">
        <v>0</v>
      </c>
      <c r="AA678" s="222">
        <v>0</v>
      </c>
      <c r="AB678" s="222">
        <v>0</v>
      </c>
      <c r="AC678" s="222">
        <v>0</v>
      </c>
      <c r="AD678" s="222">
        <v>0</v>
      </c>
      <c r="AE678" s="222">
        <v>640</v>
      </c>
      <c r="AF678" s="221">
        <f>6238.91*AE678/I678</f>
        <v>5650.0670723079093</v>
      </c>
      <c r="AG678" s="222">
        <v>0</v>
      </c>
      <c r="AH678" s="221">
        <v>0</v>
      </c>
      <c r="AI678" s="222">
        <v>0</v>
      </c>
      <c r="AJ678" s="221">
        <v>0</v>
      </c>
      <c r="AK678" s="222">
        <v>0</v>
      </c>
      <c r="AL678" s="222">
        <v>0</v>
      </c>
      <c r="AM678" s="222">
        <v>0</v>
      </c>
      <c r="AN678" s="222"/>
      <c r="AO678" s="222">
        <v>0</v>
      </c>
    </row>
    <row r="679" spans="1:41" s="223" customFormat="1" ht="36" customHeight="1" x14ac:dyDescent="0.25">
      <c r="A679" s="223">
        <v>1</v>
      </c>
      <c r="B679" s="225">
        <f>SUBTOTAL(103,$A$552:A679)</f>
        <v>126</v>
      </c>
      <c r="C679" s="215" t="s">
        <v>198</v>
      </c>
      <c r="D679" s="228">
        <v>1967</v>
      </c>
      <c r="E679" s="217"/>
      <c r="F679" s="226" t="s">
        <v>267</v>
      </c>
      <c r="G679" s="217">
        <v>2</v>
      </c>
      <c r="H679" s="217" t="s">
        <v>303</v>
      </c>
      <c r="I679" s="218">
        <v>1003.5</v>
      </c>
      <c r="J679" s="218">
        <v>634.5</v>
      </c>
      <c r="K679" s="218">
        <v>634.5</v>
      </c>
      <c r="L679" s="219">
        <v>28</v>
      </c>
      <c r="M679" s="217" t="s">
        <v>265</v>
      </c>
      <c r="N679" s="217" t="s">
        <v>269</v>
      </c>
      <c r="O679" s="220" t="s">
        <v>326</v>
      </c>
      <c r="P679" s="190">
        <v>1195404.57</v>
      </c>
      <c r="Q679" s="190">
        <v>0</v>
      </c>
      <c r="R679" s="190">
        <v>0</v>
      </c>
      <c r="S679" s="190">
        <f t="shared" si="75"/>
        <v>1195404.57</v>
      </c>
      <c r="T679" s="190">
        <f t="shared" si="74"/>
        <v>1191.2352466367713</v>
      </c>
      <c r="U679" s="190">
        <v>3811.95</v>
      </c>
      <c r="V679" s="221">
        <f t="shared" si="70"/>
        <v>2620.7147533632287</v>
      </c>
      <c r="W679" s="221">
        <f>T679</f>
        <v>1191.2352466367713</v>
      </c>
      <c r="X679" s="221">
        <v>0</v>
      </c>
      <c r="Y679" s="222">
        <v>0</v>
      </c>
      <c r="Z679" s="222">
        <v>0</v>
      </c>
      <c r="AA679" s="222">
        <v>184.98</v>
      </c>
      <c r="AB679" s="222">
        <v>810.46</v>
      </c>
      <c r="AC679" s="222">
        <v>0</v>
      </c>
      <c r="AD679" s="222">
        <v>0</v>
      </c>
      <c r="AE679" s="222">
        <v>0</v>
      </c>
      <c r="AF679" s="221">
        <v>0</v>
      </c>
      <c r="AG679" s="222">
        <v>0</v>
      </c>
      <c r="AH679" s="221">
        <v>0</v>
      </c>
      <c r="AI679" s="222">
        <v>0</v>
      </c>
      <c r="AJ679" s="221">
        <v>0</v>
      </c>
      <c r="AK679" s="222">
        <v>0</v>
      </c>
      <c r="AL679" s="222">
        <v>0</v>
      </c>
      <c r="AM679" s="222">
        <v>0</v>
      </c>
      <c r="AN679" s="222"/>
      <c r="AO679" s="222">
        <v>0</v>
      </c>
    </row>
    <row r="680" spans="1:41" s="223" customFormat="1" ht="36" customHeight="1" x14ac:dyDescent="0.25">
      <c r="A680" s="223">
        <v>1</v>
      </c>
      <c r="B680" s="225">
        <f>SUBTOTAL(103,$A$552:A680)</f>
        <v>127</v>
      </c>
      <c r="C680" s="215" t="s">
        <v>199</v>
      </c>
      <c r="D680" s="228">
        <v>1974</v>
      </c>
      <c r="E680" s="217"/>
      <c r="F680" s="226" t="s">
        <v>267</v>
      </c>
      <c r="G680" s="217">
        <v>2</v>
      </c>
      <c r="H680" s="217" t="s">
        <v>303</v>
      </c>
      <c r="I680" s="218">
        <v>1163.5</v>
      </c>
      <c r="J680" s="218">
        <v>704.1</v>
      </c>
      <c r="K680" s="218">
        <v>704.1</v>
      </c>
      <c r="L680" s="219">
        <v>46</v>
      </c>
      <c r="M680" s="217" t="s">
        <v>265</v>
      </c>
      <c r="N680" s="217" t="s">
        <v>269</v>
      </c>
      <c r="O680" s="220" t="s">
        <v>326</v>
      </c>
      <c r="P680" s="190">
        <v>783943</v>
      </c>
      <c r="Q680" s="190">
        <v>0</v>
      </c>
      <c r="R680" s="190">
        <v>0</v>
      </c>
      <c r="S680" s="190">
        <f t="shared" si="75"/>
        <v>783943</v>
      </c>
      <c r="T680" s="190">
        <f t="shared" si="74"/>
        <v>673.77997421572843</v>
      </c>
      <c r="U680" s="190">
        <v>810.46</v>
      </c>
      <c r="V680" s="221">
        <f t="shared" si="70"/>
        <v>136.68002578427161</v>
      </c>
      <c r="W680" s="221">
        <f>T680</f>
        <v>673.77997421572843</v>
      </c>
      <c r="X680" s="221">
        <v>0</v>
      </c>
      <c r="Y680" s="222">
        <v>0</v>
      </c>
      <c r="Z680" s="222">
        <v>0</v>
      </c>
      <c r="AA680" s="222">
        <v>0</v>
      </c>
      <c r="AB680" s="222">
        <v>810.46</v>
      </c>
      <c r="AC680" s="222">
        <v>0</v>
      </c>
      <c r="AD680" s="222">
        <v>0</v>
      </c>
      <c r="AE680" s="222">
        <v>0</v>
      </c>
      <c r="AF680" s="221">
        <v>0</v>
      </c>
      <c r="AG680" s="222">
        <v>0</v>
      </c>
      <c r="AH680" s="221">
        <v>0</v>
      </c>
      <c r="AI680" s="222">
        <v>0</v>
      </c>
      <c r="AJ680" s="221">
        <v>0</v>
      </c>
      <c r="AK680" s="222">
        <v>0</v>
      </c>
      <c r="AL680" s="222">
        <v>0</v>
      </c>
      <c r="AM680" s="222">
        <v>0</v>
      </c>
      <c r="AN680" s="222"/>
      <c r="AO680" s="222">
        <v>0</v>
      </c>
    </row>
    <row r="681" spans="1:41" s="223" customFormat="1" ht="36" customHeight="1" x14ac:dyDescent="0.25">
      <c r="A681" s="223">
        <v>1</v>
      </c>
      <c r="B681" s="225">
        <f>SUBTOTAL(103,$A$552:A681)</f>
        <v>128</v>
      </c>
      <c r="C681" s="215" t="s">
        <v>200</v>
      </c>
      <c r="D681" s="217">
        <v>1973</v>
      </c>
      <c r="E681" s="217"/>
      <c r="F681" s="226" t="s">
        <v>267</v>
      </c>
      <c r="G681" s="217">
        <v>2</v>
      </c>
      <c r="H681" s="217" t="s">
        <v>303</v>
      </c>
      <c r="I681" s="218">
        <v>692.9</v>
      </c>
      <c r="J681" s="218">
        <v>692.9</v>
      </c>
      <c r="K681" s="218">
        <v>692.9</v>
      </c>
      <c r="L681" s="219">
        <v>47</v>
      </c>
      <c r="M681" s="217" t="s">
        <v>265</v>
      </c>
      <c r="N681" s="217" t="s">
        <v>269</v>
      </c>
      <c r="O681" s="220" t="s">
        <v>326</v>
      </c>
      <c r="P681" s="190">
        <v>776127.96</v>
      </c>
      <c r="Q681" s="190">
        <v>0</v>
      </c>
      <c r="R681" s="190">
        <v>0</v>
      </c>
      <c r="S681" s="190">
        <f t="shared" si="75"/>
        <v>776127.96</v>
      </c>
      <c r="T681" s="190">
        <f t="shared" si="74"/>
        <v>1120.1153990474816</v>
      </c>
      <c r="U681" s="190">
        <v>1120.1153990474816</v>
      </c>
      <c r="V681" s="221">
        <f t="shared" si="70"/>
        <v>0</v>
      </c>
      <c r="W681" s="221">
        <f>T681</f>
        <v>1120.1153990474816</v>
      </c>
      <c r="X681" s="221">
        <v>0</v>
      </c>
      <c r="Y681" s="222">
        <v>0</v>
      </c>
      <c r="Z681" s="222">
        <v>0</v>
      </c>
      <c r="AA681" s="222">
        <v>0</v>
      </c>
      <c r="AB681" s="222">
        <v>810.46</v>
      </c>
      <c r="AC681" s="222">
        <v>0</v>
      </c>
      <c r="AD681" s="222">
        <v>0</v>
      </c>
      <c r="AE681" s="222">
        <v>0</v>
      </c>
      <c r="AF681" s="221">
        <v>0</v>
      </c>
      <c r="AG681" s="222">
        <v>0</v>
      </c>
      <c r="AH681" s="221">
        <v>0</v>
      </c>
      <c r="AI681" s="222">
        <v>0</v>
      </c>
      <c r="AJ681" s="221">
        <v>0</v>
      </c>
      <c r="AK681" s="222">
        <v>0</v>
      </c>
      <c r="AL681" s="222">
        <v>0</v>
      </c>
      <c r="AM681" s="222">
        <v>0</v>
      </c>
      <c r="AN681" s="222"/>
      <c r="AO681" s="222">
        <v>0</v>
      </c>
    </row>
    <row r="682" spans="1:41" s="223" customFormat="1" ht="36" customHeight="1" x14ac:dyDescent="0.25">
      <c r="A682" s="223">
        <v>1</v>
      </c>
      <c r="B682" s="225">
        <f>SUBTOTAL(103,$A$552:A682)</f>
        <v>129</v>
      </c>
      <c r="C682" s="215" t="s">
        <v>407</v>
      </c>
      <c r="D682" s="217">
        <v>1960</v>
      </c>
      <c r="E682" s="217"/>
      <c r="F682" s="226" t="s">
        <v>267</v>
      </c>
      <c r="G682" s="217">
        <v>2</v>
      </c>
      <c r="H682" s="217" t="s">
        <v>303</v>
      </c>
      <c r="I682" s="218">
        <v>582.70000000000005</v>
      </c>
      <c r="J682" s="218">
        <v>576.70000000000005</v>
      </c>
      <c r="K682" s="218">
        <v>576.70000000000005</v>
      </c>
      <c r="L682" s="219">
        <v>31</v>
      </c>
      <c r="M682" s="217" t="s">
        <v>265</v>
      </c>
      <c r="N682" s="217" t="s">
        <v>269</v>
      </c>
      <c r="O682" s="220" t="s">
        <v>321</v>
      </c>
      <c r="P682" s="190">
        <v>2691579.34</v>
      </c>
      <c r="Q682" s="190">
        <v>0</v>
      </c>
      <c r="R682" s="190">
        <v>0</v>
      </c>
      <c r="S682" s="190">
        <f t="shared" si="75"/>
        <v>2691579.34</v>
      </c>
      <c r="T682" s="190">
        <f t="shared" si="74"/>
        <v>4619.1510897545904</v>
      </c>
      <c r="U682" s="190">
        <v>5327.2230993650246</v>
      </c>
      <c r="V682" s="221">
        <f t="shared" si="70"/>
        <v>708.07200961043418</v>
      </c>
      <c r="W682" s="221">
        <f t="shared" si="76"/>
        <v>5107.1907842800747</v>
      </c>
      <c r="X682" s="221">
        <v>0</v>
      </c>
      <c r="Y682" s="222">
        <v>0</v>
      </c>
      <c r="Z682" s="222">
        <v>0</v>
      </c>
      <c r="AA682" s="222">
        <v>0</v>
      </c>
      <c r="AB682" s="222">
        <v>0</v>
      </c>
      <c r="AC682" s="222">
        <v>0</v>
      </c>
      <c r="AD682" s="222">
        <v>0</v>
      </c>
      <c r="AE682" s="222">
        <v>477</v>
      </c>
      <c r="AF682" s="221">
        <f t="shared" ref="AF682:AF692" si="77">6238.91*AE682/I682</f>
        <v>5107.1907842800747</v>
      </c>
      <c r="AG682" s="222">
        <v>0</v>
      </c>
      <c r="AH682" s="221">
        <v>0</v>
      </c>
      <c r="AI682" s="222">
        <v>0</v>
      </c>
      <c r="AJ682" s="221">
        <v>0</v>
      </c>
      <c r="AK682" s="222">
        <v>0</v>
      </c>
      <c r="AL682" s="222">
        <v>0</v>
      </c>
      <c r="AM682" s="222">
        <v>0</v>
      </c>
      <c r="AN682" s="222"/>
      <c r="AO682" s="222">
        <v>0</v>
      </c>
    </row>
    <row r="683" spans="1:41" s="223" customFormat="1" ht="36" customHeight="1" x14ac:dyDescent="0.25">
      <c r="A683" s="223">
        <v>1</v>
      </c>
      <c r="B683" s="225">
        <f>SUBTOTAL(103,$A$552:A683)</f>
        <v>130</v>
      </c>
      <c r="C683" s="215" t="s">
        <v>408</v>
      </c>
      <c r="D683" s="217">
        <v>1960</v>
      </c>
      <c r="E683" s="217"/>
      <c r="F683" s="226" t="s">
        <v>267</v>
      </c>
      <c r="G683" s="217">
        <v>2</v>
      </c>
      <c r="H683" s="217" t="s">
        <v>303</v>
      </c>
      <c r="I683" s="218">
        <v>592.20000000000005</v>
      </c>
      <c r="J683" s="218">
        <v>550.70000000000005</v>
      </c>
      <c r="K683" s="218">
        <v>550.70000000000005</v>
      </c>
      <c r="L683" s="219">
        <v>37</v>
      </c>
      <c r="M683" s="217" t="s">
        <v>265</v>
      </c>
      <c r="N683" s="217" t="s">
        <v>269</v>
      </c>
      <c r="O683" s="220" t="s">
        <v>328</v>
      </c>
      <c r="P683" s="190">
        <v>2644287.84</v>
      </c>
      <c r="Q683" s="190">
        <v>0</v>
      </c>
      <c r="R683" s="190">
        <v>0</v>
      </c>
      <c r="S683" s="190">
        <f t="shared" si="75"/>
        <v>2644287.84</v>
      </c>
      <c r="T683" s="190">
        <f t="shared" si="74"/>
        <v>4465.1939209726434</v>
      </c>
      <c r="U683" s="190">
        <v>5186.8193177980411</v>
      </c>
      <c r="V683" s="221">
        <f t="shared" si="70"/>
        <v>721.62539682539773</v>
      </c>
      <c r="W683" s="221">
        <f t="shared" si="76"/>
        <v>4972.5861533265788</v>
      </c>
      <c r="X683" s="221">
        <v>0</v>
      </c>
      <c r="Y683" s="222">
        <v>0</v>
      </c>
      <c r="Z683" s="222">
        <v>0</v>
      </c>
      <c r="AA683" s="222">
        <v>0</v>
      </c>
      <c r="AB683" s="222">
        <v>0</v>
      </c>
      <c r="AC683" s="222">
        <v>0</v>
      </c>
      <c r="AD683" s="222">
        <v>0</v>
      </c>
      <c r="AE683" s="222">
        <v>472</v>
      </c>
      <c r="AF683" s="221">
        <f t="shared" si="77"/>
        <v>4972.5861533265788</v>
      </c>
      <c r="AG683" s="222">
        <v>0</v>
      </c>
      <c r="AH683" s="221">
        <v>0</v>
      </c>
      <c r="AI683" s="222">
        <v>0</v>
      </c>
      <c r="AJ683" s="221">
        <v>0</v>
      </c>
      <c r="AK683" s="222">
        <v>0</v>
      </c>
      <c r="AL683" s="222">
        <v>0</v>
      </c>
      <c r="AM683" s="222">
        <v>0</v>
      </c>
      <c r="AN683" s="222"/>
      <c r="AO683" s="222">
        <v>0</v>
      </c>
    </row>
    <row r="684" spans="1:41" s="223" customFormat="1" ht="36" customHeight="1" x14ac:dyDescent="0.25">
      <c r="A684" s="223">
        <v>1</v>
      </c>
      <c r="B684" s="225">
        <f>SUBTOTAL(103,$A$552:A684)</f>
        <v>131</v>
      </c>
      <c r="C684" s="215" t="s">
        <v>409</v>
      </c>
      <c r="D684" s="217">
        <v>1950</v>
      </c>
      <c r="E684" s="217"/>
      <c r="F684" s="226" t="s">
        <v>267</v>
      </c>
      <c r="G684" s="217">
        <v>3</v>
      </c>
      <c r="H684" s="217" t="s">
        <v>303</v>
      </c>
      <c r="I684" s="218">
        <v>786.1</v>
      </c>
      <c r="J684" s="218">
        <v>786.1</v>
      </c>
      <c r="K684" s="218">
        <v>527.79999999999995</v>
      </c>
      <c r="L684" s="219">
        <v>18</v>
      </c>
      <c r="M684" s="217" t="s">
        <v>265</v>
      </c>
      <c r="N684" s="217" t="s">
        <v>269</v>
      </c>
      <c r="O684" s="220" t="s">
        <v>326</v>
      </c>
      <c r="P684" s="190">
        <v>2456912.8200000003</v>
      </c>
      <c r="Q684" s="190">
        <v>0</v>
      </c>
      <c r="R684" s="190">
        <v>0</v>
      </c>
      <c r="S684" s="190">
        <f t="shared" si="75"/>
        <v>2456912.8200000003</v>
      </c>
      <c r="T684" s="190">
        <f t="shared" si="74"/>
        <v>3125.4456430479586</v>
      </c>
      <c r="U684" s="190">
        <v>3642.5238519272357</v>
      </c>
      <c r="V684" s="221">
        <f t="shared" si="70"/>
        <v>517.0782088792771</v>
      </c>
      <c r="W684" s="221">
        <f t="shared" si="76"/>
        <v>3492.0753084849252</v>
      </c>
      <c r="X684" s="221">
        <v>0</v>
      </c>
      <c r="Y684" s="222">
        <v>0</v>
      </c>
      <c r="Z684" s="222">
        <v>0</v>
      </c>
      <c r="AA684" s="222">
        <v>0</v>
      </c>
      <c r="AB684" s="222">
        <v>0</v>
      </c>
      <c r="AC684" s="222">
        <v>0</v>
      </c>
      <c r="AD684" s="222">
        <v>0</v>
      </c>
      <c r="AE684" s="222">
        <v>440</v>
      </c>
      <c r="AF684" s="221">
        <f t="shared" si="77"/>
        <v>3492.0753084849252</v>
      </c>
      <c r="AG684" s="222">
        <v>0</v>
      </c>
      <c r="AH684" s="221">
        <v>0</v>
      </c>
      <c r="AI684" s="222">
        <v>0</v>
      </c>
      <c r="AJ684" s="221">
        <v>0</v>
      </c>
      <c r="AK684" s="222">
        <v>0</v>
      </c>
      <c r="AL684" s="222">
        <v>0</v>
      </c>
      <c r="AM684" s="222">
        <v>0</v>
      </c>
      <c r="AN684" s="222"/>
      <c r="AO684" s="222">
        <v>0</v>
      </c>
    </row>
    <row r="685" spans="1:41" s="223" customFormat="1" ht="36" customHeight="1" x14ac:dyDescent="0.25">
      <c r="A685" s="223">
        <v>1</v>
      </c>
      <c r="B685" s="225">
        <f>SUBTOTAL(103,$A$552:A685)</f>
        <v>132</v>
      </c>
      <c r="C685" s="215" t="s">
        <v>410</v>
      </c>
      <c r="D685" s="217">
        <v>1977</v>
      </c>
      <c r="E685" s="217"/>
      <c r="F685" s="226" t="s">
        <v>267</v>
      </c>
      <c r="G685" s="217">
        <v>9</v>
      </c>
      <c r="H685" s="217" t="s">
        <v>303</v>
      </c>
      <c r="I685" s="218">
        <v>4984</v>
      </c>
      <c r="J685" s="218">
        <v>3767.5</v>
      </c>
      <c r="K685" s="218">
        <v>3767.5</v>
      </c>
      <c r="L685" s="219">
        <v>163</v>
      </c>
      <c r="M685" s="217" t="s">
        <v>265</v>
      </c>
      <c r="N685" s="217" t="s">
        <v>269</v>
      </c>
      <c r="O685" s="220" t="s">
        <v>990</v>
      </c>
      <c r="P685" s="190">
        <v>3762569.57</v>
      </c>
      <c r="Q685" s="190">
        <v>0</v>
      </c>
      <c r="R685" s="190">
        <v>0</v>
      </c>
      <c r="S685" s="190">
        <f t="shared" si="75"/>
        <v>3762569.57</v>
      </c>
      <c r="T685" s="190">
        <f t="shared" si="74"/>
        <v>754.92968900481537</v>
      </c>
      <c r="U685" s="190">
        <v>823.67632022471901</v>
      </c>
      <c r="V685" s="221">
        <f t="shared" si="70"/>
        <v>68.746631219903634</v>
      </c>
      <c r="W685" s="221">
        <f t="shared" si="76"/>
        <v>823.67632022471901</v>
      </c>
      <c r="X685" s="221">
        <v>0</v>
      </c>
      <c r="Y685" s="222">
        <v>0</v>
      </c>
      <c r="Z685" s="222">
        <v>0</v>
      </c>
      <c r="AA685" s="222">
        <v>0</v>
      </c>
      <c r="AB685" s="222">
        <v>0</v>
      </c>
      <c r="AC685" s="222">
        <v>0</v>
      </c>
      <c r="AD685" s="222">
        <v>0</v>
      </c>
      <c r="AE685" s="222">
        <v>658</v>
      </c>
      <c r="AF685" s="221">
        <f t="shared" si="77"/>
        <v>823.67632022471901</v>
      </c>
      <c r="AG685" s="222">
        <v>0</v>
      </c>
      <c r="AH685" s="221">
        <v>0</v>
      </c>
      <c r="AI685" s="222">
        <v>0</v>
      </c>
      <c r="AJ685" s="221">
        <v>0</v>
      </c>
      <c r="AK685" s="222">
        <v>0</v>
      </c>
      <c r="AL685" s="222">
        <v>0</v>
      </c>
      <c r="AM685" s="222">
        <v>0</v>
      </c>
      <c r="AN685" s="222"/>
      <c r="AO685" s="222">
        <v>0</v>
      </c>
    </row>
    <row r="686" spans="1:41" s="223" customFormat="1" ht="36" customHeight="1" x14ac:dyDescent="0.25">
      <c r="A686" s="223">
        <v>1</v>
      </c>
      <c r="B686" s="225">
        <f>SUBTOTAL(103,$A$552:A686)</f>
        <v>133</v>
      </c>
      <c r="C686" s="215" t="s">
        <v>411</v>
      </c>
      <c r="D686" s="217">
        <v>1961</v>
      </c>
      <c r="E686" s="217"/>
      <c r="F686" s="226" t="s">
        <v>267</v>
      </c>
      <c r="G686" s="217">
        <v>4</v>
      </c>
      <c r="H686" s="217" t="s">
        <v>308</v>
      </c>
      <c r="I686" s="218">
        <v>2700.93</v>
      </c>
      <c r="J686" s="218">
        <v>2461.3000000000002</v>
      </c>
      <c r="K686" s="218">
        <v>2280.6999999999998</v>
      </c>
      <c r="L686" s="219">
        <v>87</v>
      </c>
      <c r="M686" s="217" t="s">
        <v>265</v>
      </c>
      <c r="N686" s="217" t="s">
        <v>269</v>
      </c>
      <c r="O686" s="220" t="s">
        <v>321</v>
      </c>
      <c r="P686" s="190">
        <v>5669999.9900000002</v>
      </c>
      <c r="Q686" s="190">
        <v>0</v>
      </c>
      <c r="R686" s="190">
        <v>0</v>
      </c>
      <c r="S686" s="190">
        <f t="shared" si="75"/>
        <v>5669999.9900000002</v>
      </c>
      <c r="T686" s="190">
        <f t="shared" si="74"/>
        <v>2099.2769120265984</v>
      </c>
      <c r="U686" s="190">
        <v>2732.2928768979573</v>
      </c>
      <c r="V686" s="221">
        <f t="shared" si="70"/>
        <v>633.01596487135885</v>
      </c>
      <c r="W686" s="221">
        <f t="shared" si="76"/>
        <v>2619.4399484621963</v>
      </c>
      <c r="X686" s="221">
        <v>0</v>
      </c>
      <c r="Y686" s="222">
        <v>0</v>
      </c>
      <c r="Z686" s="222">
        <v>0</v>
      </c>
      <c r="AA686" s="222">
        <v>0</v>
      </c>
      <c r="AB686" s="222">
        <v>0</v>
      </c>
      <c r="AC686" s="222">
        <v>0</v>
      </c>
      <c r="AD686" s="222">
        <v>0</v>
      </c>
      <c r="AE686" s="222">
        <v>1134</v>
      </c>
      <c r="AF686" s="221">
        <f t="shared" si="77"/>
        <v>2619.4399484621963</v>
      </c>
      <c r="AG686" s="222">
        <v>0</v>
      </c>
      <c r="AH686" s="221">
        <v>0</v>
      </c>
      <c r="AI686" s="222">
        <v>0</v>
      </c>
      <c r="AJ686" s="221">
        <v>0</v>
      </c>
      <c r="AK686" s="222">
        <v>0</v>
      </c>
      <c r="AL686" s="222">
        <v>0</v>
      </c>
      <c r="AM686" s="222">
        <v>0</v>
      </c>
      <c r="AN686" s="222"/>
      <c r="AO686" s="222">
        <v>0</v>
      </c>
    </row>
    <row r="687" spans="1:41" s="223" customFormat="1" ht="36" customHeight="1" x14ac:dyDescent="0.25">
      <c r="A687" s="223">
        <v>1</v>
      </c>
      <c r="B687" s="225">
        <f>SUBTOTAL(103,$A$552:A687)</f>
        <v>134</v>
      </c>
      <c r="C687" s="215" t="s">
        <v>412</v>
      </c>
      <c r="D687" s="217">
        <v>1960</v>
      </c>
      <c r="E687" s="217"/>
      <c r="F687" s="226" t="s">
        <v>267</v>
      </c>
      <c r="G687" s="217">
        <v>4</v>
      </c>
      <c r="H687" s="217" t="s">
        <v>303</v>
      </c>
      <c r="I687" s="218">
        <v>1374.8</v>
      </c>
      <c r="J687" s="218">
        <v>1203.9000000000001</v>
      </c>
      <c r="K687" s="218">
        <v>773.1</v>
      </c>
      <c r="L687" s="219">
        <v>43</v>
      </c>
      <c r="M687" s="217" t="s">
        <v>265</v>
      </c>
      <c r="N687" s="217" t="s">
        <v>269</v>
      </c>
      <c r="O687" s="220" t="s">
        <v>321</v>
      </c>
      <c r="P687" s="190">
        <v>2895000</v>
      </c>
      <c r="Q687" s="190">
        <v>0</v>
      </c>
      <c r="R687" s="190">
        <v>0</v>
      </c>
      <c r="S687" s="190">
        <f t="shared" si="75"/>
        <v>2895000</v>
      </c>
      <c r="T687" s="190">
        <f t="shared" si="74"/>
        <v>2105.760837940064</v>
      </c>
      <c r="U687" s="190">
        <v>2740.731961012511</v>
      </c>
      <c r="V687" s="221">
        <f t="shared" si="70"/>
        <v>634.97112307244697</v>
      </c>
      <c r="W687" s="221">
        <f t="shared" si="76"/>
        <v>2627.5304698865293</v>
      </c>
      <c r="X687" s="221">
        <v>0</v>
      </c>
      <c r="Y687" s="222">
        <v>0</v>
      </c>
      <c r="Z687" s="222">
        <v>0</v>
      </c>
      <c r="AA687" s="222">
        <v>0</v>
      </c>
      <c r="AB687" s="222">
        <v>0</v>
      </c>
      <c r="AC687" s="222">
        <v>0</v>
      </c>
      <c r="AD687" s="222">
        <v>0</v>
      </c>
      <c r="AE687" s="222">
        <v>579</v>
      </c>
      <c r="AF687" s="221">
        <f t="shared" si="77"/>
        <v>2627.5304698865293</v>
      </c>
      <c r="AG687" s="222">
        <v>0</v>
      </c>
      <c r="AH687" s="221">
        <v>0</v>
      </c>
      <c r="AI687" s="222">
        <v>0</v>
      </c>
      <c r="AJ687" s="221">
        <v>0</v>
      </c>
      <c r="AK687" s="222">
        <v>0</v>
      </c>
      <c r="AL687" s="222">
        <v>0</v>
      </c>
      <c r="AM687" s="222">
        <v>0</v>
      </c>
      <c r="AN687" s="222"/>
      <c r="AO687" s="222">
        <v>0</v>
      </c>
    </row>
    <row r="688" spans="1:41" s="223" customFormat="1" ht="36" customHeight="1" x14ac:dyDescent="0.25">
      <c r="A688" s="223">
        <v>1</v>
      </c>
      <c r="B688" s="225">
        <f>SUBTOTAL(103,$A$552:A688)</f>
        <v>135</v>
      </c>
      <c r="C688" s="215" t="s">
        <v>413</v>
      </c>
      <c r="D688" s="217">
        <v>1958</v>
      </c>
      <c r="E688" s="217"/>
      <c r="F688" s="226" t="s">
        <v>267</v>
      </c>
      <c r="G688" s="217">
        <v>2</v>
      </c>
      <c r="H688" s="217" t="s">
        <v>303</v>
      </c>
      <c r="I688" s="218">
        <v>653.29999999999995</v>
      </c>
      <c r="J688" s="218">
        <v>605.6</v>
      </c>
      <c r="K688" s="218">
        <v>605.6</v>
      </c>
      <c r="L688" s="219">
        <v>30</v>
      </c>
      <c r="M688" s="217" t="s">
        <v>265</v>
      </c>
      <c r="N688" s="217" t="s">
        <v>269</v>
      </c>
      <c r="O688" s="220" t="s">
        <v>325</v>
      </c>
      <c r="P688" s="190">
        <v>3045189.75</v>
      </c>
      <c r="Q688" s="190">
        <v>0</v>
      </c>
      <c r="R688" s="190">
        <v>0</v>
      </c>
      <c r="S688" s="190">
        <f t="shared" si="75"/>
        <v>3045189.75</v>
      </c>
      <c r="T688" s="190">
        <f t="shared" si="74"/>
        <v>4661.2425378845865</v>
      </c>
      <c r="U688" s="190">
        <v>5677.9259145874794</v>
      </c>
      <c r="V688" s="221">
        <f t="shared" si="70"/>
        <v>1016.6833767028929</v>
      </c>
      <c r="W688" s="221">
        <f t="shared" si="76"/>
        <v>5443.4083881830702</v>
      </c>
      <c r="X688" s="221">
        <v>0</v>
      </c>
      <c r="Y688" s="222">
        <v>0</v>
      </c>
      <c r="Z688" s="222">
        <v>0</v>
      </c>
      <c r="AA688" s="222">
        <v>0</v>
      </c>
      <c r="AB688" s="222">
        <v>0</v>
      </c>
      <c r="AC688" s="222">
        <v>0</v>
      </c>
      <c r="AD688" s="222">
        <v>0</v>
      </c>
      <c r="AE688" s="222">
        <v>570</v>
      </c>
      <c r="AF688" s="221">
        <f t="shared" si="77"/>
        <v>5443.4083881830702</v>
      </c>
      <c r="AG688" s="222">
        <v>0</v>
      </c>
      <c r="AH688" s="221">
        <v>0</v>
      </c>
      <c r="AI688" s="222">
        <v>0</v>
      </c>
      <c r="AJ688" s="221">
        <v>0</v>
      </c>
      <c r="AK688" s="222">
        <v>0</v>
      </c>
      <c r="AL688" s="222">
        <v>0</v>
      </c>
      <c r="AM688" s="222">
        <v>0</v>
      </c>
      <c r="AN688" s="222"/>
      <c r="AO688" s="222">
        <v>0</v>
      </c>
    </row>
    <row r="689" spans="1:41" s="223" customFormat="1" ht="36" customHeight="1" x14ac:dyDescent="0.25">
      <c r="A689" s="223">
        <v>1</v>
      </c>
      <c r="B689" s="225">
        <f>SUBTOTAL(103,$A$552:A689)</f>
        <v>136</v>
      </c>
      <c r="C689" s="215" t="s">
        <v>414</v>
      </c>
      <c r="D689" s="217">
        <v>1961</v>
      </c>
      <c r="E689" s="217"/>
      <c r="F689" s="226" t="s">
        <v>267</v>
      </c>
      <c r="G689" s="217">
        <v>2</v>
      </c>
      <c r="H689" s="217" t="s">
        <v>304</v>
      </c>
      <c r="I689" s="218">
        <v>291.64999999999998</v>
      </c>
      <c r="J689" s="218">
        <v>275.13</v>
      </c>
      <c r="K689" s="218">
        <v>275.13</v>
      </c>
      <c r="L689" s="219">
        <v>17</v>
      </c>
      <c r="M689" s="217" t="s">
        <v>265</v>
      </c>
      <c r="N689" s="217" t="s">
        <v>266</v>
      </c>
      <c r="O689" s="220" t="s">
        <v>268</v>
      </c>
      <c r="P689" s="190">
        <v>1529337.52</v>
      </c>
      <c r="Q689" s="190">
        <v>0</v>
      </c>
      <c r="R689" s="190">
        <v>0</v>
      </c>
      <c r="S689" s="190">
        <f t="shared" si="75"/>
        <v>1529337.52</v>
      </c>
      <c r="T689" s="190">
        <f t="shared" si="74"/>
        <v>5243.7425681467521</v>
      </c>
      <c r="U689" s="190">
        <v>5935.3615635179158</v>
      </c>
      <c r="V689" s="221">
        <f t="shared" si="70"/>
        <v>691.61899537116369</v>
      </c>
      <c r="W689" s="221">
        <f t="shared" si="76"/>
        <v>5690.2110749185676</v>
      </c>
      <c r="X689" s="221">
        <v>0</v>
      </c>
      <c r="Y689" s="222">
        <v>0</v>
      </c>
      <c r="Z689" s="222">
        <v>0</v>
      </c>
      <c r="AA689" s="222">
        <v>0</v>
      </c>
      <c r="AB689" s="222">
        <v>0</v>
      </c>
      <c r="AC689" s="222">
        <v>0</v>
      </c>
      <c r="AD689" s="222">
        <v>0</v>
      </c>
      <c r="AE689" s="222">
        <v>266</v>
      </c>
      <c r="AF689" s="221">
        <f t="shared" si="77"/>
        <v>5690.2110749185676</v>
      </c>
      <c r="AG689" s="222">
        <v>0</v>
      </c>
      <c r="AH689" s="221">
        <v>0</v>
      </c>
      <c r="AI689" s="222">
        <v>0</v>
      </c>
      <c r="AJ689" s="221">
        <v>0</v>
      </c>
      <c r="AK689" s="222">
        <v>0</v>
      </c>
      <c r="AL689" s="222">
        <v>0</v>
      </c>
      <c r="AM689" s="222">
        <v>0</v>
      </c>
      <c r="AN689" s="222"/>
      <c r="AO689" s="222">
        <v>0</v>
      </c>
    </row>
    <row r="690" spans="1:41" s="223" customFormat="1" ht="36" customHeight="1" x14ac:dyDescent="0.25">
      <c r="A690" s="223">
        <v>1</v>
      </c>
      <c r="B690" s="225">
        <f>SUBTOTAL(103,$A$552:A690)</f>
        <v>137</v>
      </c>
      <c r="C690" s="215" t="s">
        <v>415</v>
      </c>
      <c r="D690" s="217">
        <v>1971</v>
      </c>
      <c r="E690" s="217"/>
      <c r="F690" s="226" t="s">
        <v>267</v>
      </c>
      <c r="G690" s="217">
        <v>5</v>
      </c>
      <c r="H690" s="217" t="s">
        <v>371</v>
      </c>
      <c r="I690" s="218">
        <v>5077.5</v>
      </c>
      <c r="J690" s="218">
        <v>4703.1000000000004</v>
      </c>
      <c r="K690" s="218">
        <v>3712.4</v>
      </c>
      <c r="L690" s="219">
        <v>180</v>
      </c>
      <c r="M690" s="217" t="s">
        <v>265</v>
      </c>
      <c r="N690" s="217" t="s">
        <v>269</v>
      </c>
      <c r="O690" s="220" t="s">
        <v>328</v>
      </c>
      <c r="P690" s="190">
        <v>8150000</v>
      </c>
      <c r="Q690" s="190">
        <v>0</v>
      </c>
      <c r="R690" s="190">
        <v>0</v>
      </c>
      <c r="S690" s="190">
        <f t="shared" si="75"/>
        <v>8150000</v>
      </c>
      <c r="T690" s="190">
        <f t="shared" si="74"/>
        <v>1605.1206302314131</v>
      </c>
      <c r="U690" s="190">
        <v>2089.1287050713936</v>
      </c>
      <c r="V690" s="221">
        <f t="shared" si="70"/>
        <v>484.00807483998051</v>
      </c>
      <c r="W690" s="221">
        <f t="shared" si="76"/>
        <v>2002.8406302314129</v>
      </c>
      <c r="X690" s="221">
        <v>0</v>
      </c>
      <c r="Y690" s="222">
        <v>0</v>
      </c>
      <c r="Z690" s="222">
        <v>0</v>
      </c>
      <c r="AA690" s="222">
        <v>0</v>
      </c>
      <c r="AB690" s="222">
        <v>0</v>
      </c>
      <c r="AC690" s="222">
        <v>0</v>
      </c>
      <c r="AD690" s="222">
        <v>0</v>
      </c>
      <c r="AE690" s="222">
        <v>1630</v>
      </c>
      <c r="AF690" s="221">
        <f t="shared" si="77"/>
        <v>2002.8406302314129</v>
      </c>
      <c r="AG690" s="222">
        <v>0</v>
      </c>
      <c r="AH690" s="221">
        <v>0</v>
      </c>
      <c r="AI690" s="222">
        <v>0</v>
      </c>
      <c r="AJ690" s="221">
        <v>0</v>
      </c>
      <c r="AK690" s="222">
        <v>0</v>
      </c>
      <c r="AL690" s="222">
        <v>0</v>
      </c>
      <c r="AM690" s="222">
        <v>0</v>
      </c>
      <c r="AN690" s="222"/>
      <c r="AO690" s="222">
        <v>0</v>
      </c>
    </row>
    <row r="691" spans="1:41" s="223" customFormat="1" ht="36" customHeight="1" x14ac:dyDescent="0.25">
      <c r="A691" s="223">
        <v>1</v>
      </c>
      <c r="B691" s="225">
        <f>SUBTOTAL(103,$A$552:A691)</f>
        <v>138</v>
      </c>
      <c r="C691" s="215" t="s">
        <v>416</v>
      </c>
      <c r="D691" s="217">
        <v>1941</v>
      </c>
      <c r="E691" s="217"/>
      <c r="F691" s="226" t="s">
        <v>324</v>
      </c>
      <c r="G691" s="217">
        <v>2</v>
      </c>
      <c r="H691" s="217" t="s">
        <v>303</v>
      </c>
      <c r="I691" s="218">
        <v>613.70000000000005</v>
      </c>
      <c r="J691" s="218">
        <v>345.1</v>
      </c>
      <c r="K691" s="218">
        <v>345.1</v>
      </c>
      <c r="L691" s="219">
        <v>22</v>
      </c>
      <c r="M691" s="217" t="s">
        <v>265</v>
      </c>
      <c r="N691" s="217" t="s">
        <v>269</v>
      </c>
      <c r="O691" s="220" t="s">
        <v>325</v>
      </c>
      <c r="P691" s="190">
        <v>2837751.8</v>
      </c>
      <c r="Q691" s="190">
        <v>0</v>
      </c>
      <c r="R691" s="190">
        <v>0</v>
      </c>
      <c r="S691" s="190">
        <f t="shared" si="75"/>
        <v>2837751.8</v>
      </c>
      <c r="T691" s="190">
        <f t="shared" si="74"/>
        <v>4624.0048883819445</v>
      </c>
      <c r="U691" s="190">
        <v>5302.0205312041708</v>
      </c>
      <c r="V691" s="221">
        <f t="shared" si="70"/>
        <v>678.01564282222625</v>
      </c>
      <c r="W691" s="221">
        <f t="shared" si="76"/>
        <v>5083.0291673456086</v>
      </c>
      <c r="X691" s="221">
        <v>0</v>
      </c>
      <c r="Y691" s="222">
        <v>0</v>
      </c>
      <c r="Z691" s="222">
        <v>0</v>
      </c>
      <c r="AA691" s="222">
        <v>0</v>
      </c>
      <c r="AB691" s="222">
        <v>0</v>
      </c>
      <c r="AC691" s="222">
        <v>0</v>
      </c>
      <c r="AD691" s="222">
        <v>0</v>
      </c>
      <c r="AE691" s="222">
        <v>500</v>
      </c>
      <c r="AF691" s="221">
        <f t="shared" si="77"/>
        <v>5083.0291673456086</v>
      </c>
      <c r="AG691" s="222">
        <v>0</v>
      </c>
      <c r="AH691" s="221">
        <v>0</v>
      </c>
      <c r="AI691" s="222">
        <v>0</v>
      </c>
      <c r="AJ691" s="221">
        <v>0</v>
      </c>
      <c r="AK691" s="222">
        <v>0</v>
      </c>
      <c r="AL691" s="222">
        <v>0</v>
      </c>
      <c r="AM691" s="222">
        <v>0</v>
      </c>
      <c r="AN691" s="222"/>
      <c r="AO691" s="222">
        <v>0</v>
      </c>
    </row>
    <row r="692" spans="1:41" s="223" customFormat="1" ht="36" customHeight="1" x14ac:dyDescent="0.25">
      <c r="A692" s="223">
        <v>1</v>
      </c>
      <c r="B692" s="225">
        <f>SUBTOTAL(103,$A$552:A692)</f>
        <v>139</v>
      </c>
      <c r="C692" s="215" t="s">
        <v>417</v>
      </c>
      <c r="D692" s="217">
        <v>1954</v>
      </c>
      <c r="E692" s="217"/>
      <c r="F692" s="226" t="s">
        <v>324</v>
      </c>
      <c r="G692" s="217">
        <v>2</v>
      </c>
      <c r="H692" s="217" t="s">
        <v>303</v>
      </c>
      <c r="I692" s="218">
        <v>441</v>
      </c>
      <c r="J692" s="218">
        <v>399.8</v>
      </c>
      <c r="K692" s="218">
        <v>399.8</v>
      </c>
      <c r="L692" s="219">
        <v>27</v>
      </c>
      <c r="M692" s="217" t="s">
        <v>265</v>
      </c>
      <c r="N692" s="217" t="s">
        <v>269</v>
      </c>
      <c r="O692" s="220" t="s">
        <v>325</v>
      </c>
      <c r="P692" s="190">
        <v>2479122.38</v>
      </c>
      <c r="Q692" s="190">
        <v>0</v>
      </c>
      <c r="R692" s="190">
        <v>0</v>
      </c>
      <c r="S692" s="190">
        <f t="shared" si="75"/>
        <v>2479122.38</v>
      </c>
      <c r="T692" s="190">
        <f t="shared" si="74"/>
        <v>5621.5926984126982</v>
      </c>
      <c r="U692" s="190">
        <v>6197.8095238095239</v>
      </c>
      <c r="V692" s="221">
        <f t="shared" si="70"/>
        <v>576.2168253968257</v>
      </c>
      <c r="W692" s="221">
        <f t="shared" si="76"/>
        <v>5941.8190476190466</v>
      </c>
      <c r="X692" s="221">
        <v>0</v>
      </c>
      <c r="Y692" s="222">
        <v>0</v>
      </c>
      <c r="Z692" s="222">
        <v>0</v>
      </c>
      <c r="AA692" s="222">
        <v>0</v>
      </c>
      <c r="AB692" s="222">
        <v>0</v>
      </c>
      <c r="AC692" s="222">
        <v>0</v>
      </c>
      <c r="AD692" s="222">
        <v>0</v>
      </c>
      <c r="AE692" s="222">
        <v>420</v>
      </c>
      <c r="AF692" s="221">
        <f t="shared" si="77"/>
        <v>5941.8190476190466</v>
      </c>
      <c r="AG692" s="222">
        <v>0</v>
      </c>
      <c r="AH692" s="221">
        <v>0</v>
      </c>
      <c r="AI692" s="222">
        <v>0</v>
      </c>
      <c r="AJ692" s="221">
        <v>0</v>
      </c>
      <c r="AK692" s="222">
        <v>0</v>
      </c>
      <c r="AL692" s="222">
        <v>0</v>
      </c>
      <c r="AM692" s="222">
        <v>0</v>
      </c>
      <c r="AN692" s="222"/>
      <c r="AO692" s="222">
        <v>0</v>
      </c>
    </row>
    <row r="693" spans="1:41" s="223" customFormat="1" ht="36" customHeight="1" x14ac:dyDescent="0.25">
      <c r="A693" s="223">
        <v>1</v>
      </c>
      <c r="B693" s="225">
        <f>SUBTOTAL(103,$A$552:A693)</f>
        <v>140</v>
      </c>
      <c r="C693" s="215" t="s">
        <v>201</v>
      </c>
      <c r="D693" s="217">
        <v>1980</v>
      </c>
      <c r="E693" s="217"/>
      <c r="F693" s="226" t="s">
        <v>267</v>
      </c>
      <c r="G693" s="217">
        <v>2</v>
      </c>
      <c r="H693" s="217" t="s">
        <v>312</v>
      </c>
      <c r="I693" s="218">
        <v>962.22</v>
      </c>
      <c r="J693" s="218">
        <v>829.52</v>
      </c>
      <c r="K693" s="218">
        <v>829.52</v>
      </c>
      <c r="L693" s="219">
        <v>30</v>
      </c>
      <c r="M693" s="217" t="s">
        <v>265</v>
      </c>
      <c r="N693" s="217" t="s">
        <v>269</v>
      </c>
      <c r="O693" s="220" t="s">
        <v>327</v>
      </c>
      <c r="P693" s="190">
        <v>3697950</v>
      </c>
      <c r="Q693" s="190">
        <v>0</v>
      </c>
      <c r="R693" s="190">
        <v>0</v>
      </c>
      <c r="S693" s="190">
        <f t="shared" si="75"/>
        <v>3697950</v>
      </c>
      <c r="T693" s="190">
        <f t="shared" si="74"/>
        <v>3843.1439795472966</v>
      </c>
      <c r="U693" s="190">
        <v>4661.8297561888139</v>
      </c>
      <c r="V693" s="221">
        <f t="shared" si="70"/>
        <v>818.68577664151735</v>
      </c>
      <c r="W693" s="221">
        <f t="shared" si="76"/>
        <v>4712.384261395523</v>
      </c>
      <c r="X693" s="221">
        <v>0</v>
      </c>
      <c r="Y693" s="222">
        <v>0</v>
      </c>
      <c r="Z693" s="222">
        <v>0</v>
      </c>
      <c r="AA693" s="222">
        <v>0</v>
      </c>
      <c r="AB693" s="222">
        <v>0</v>
      </c>
      <c r="AC693" s="222">
        <v>0</v>
      </c>
      <c r="AD693" s="222">
        <v>0</v>
      </c>
      <c r="AE693" s="222">
        <v>0</v>
      </c>
      <c r="AF693" s="221">
        <v>0</v>
      </c>
      <c r="AG693" s="222">
        <v>0</v>
      </c>
      <c r="AH693" s="221">
        <v>0</v>
      </c>
      <c r="AI693" s="222">
        <v>0</v>
      </c>
      <c r="AJ693" s="221">
        <v>0</v>
      </c>
      <c r="AK693" s="222">
        <v>0</v>
      </c>
      <c r="AL693" s="222">
        <v>0</v>
      </c>
      <c r="AM693" s="222">
        <v>649.20000000000005</v>
      </c>
      <c r="AN693" s="222">
        <f>6984.52*AM693/I693</f>
        <v>4712.384261395523</v>
      </c>
      <c r="AO693" s="222">
        <v>0</v>
      </c>
    </row>
    <row r="694" spans="1:41" s="223" customFormat="1" ht="36" customHeight="1" x14ac:dyDescent="0.25">
      <c r="A694" s="223">
        <v>1</v>
      </c>
      <c r="B694" s="225">
        <f>SUBTOTAL(103,$A$552:A694)</f>
        <v>141</v>
      </c>
      <c r="C694" s="215" t="s">
        <v>203</v>
      </c>
      <c r="D694" s="217">
        <v>1981</v>
      </c>
      <c r="E694" s="217"/>
      <c r="F694" s="226" t="s">
        <v>267</v>
      </c>
      <c r="G694" s="217">
        <v>2</v>
      </c>
      <c r="H694" s="217" t="s">
        <v>312</v>
      </c>
      <c r="I694" s="218">
        <v>955.1</v>
      </c>
      <c r="J694" s="218">
        <v>865.5</v>
      </c>
      <c r="K694" s="218">
        <v>865.5</v>
      </c>
      <c r="L694" s="219">
        <v>44</v>
      </c>
      <c r="M694" s="217" t="s">
        <v>265</v>
      </c>
      <c r="N694" s="217" t="s">
        <v>269</v>
      </c>
      <c r="O694" s="220" t="s">
        <v>327</v>
      </c>
      <c r="P694" s="190">
        <v>3680000</v>
      </c>
      <c r="Q694" s="190">
        <v>0</v>
      </c>
      <c r="R694" s="190">
        <v>0</v>
      </c>
      <c r="S694" s="190">
        <f t="shared" si="75"/>
        <v>3680000</v>
      </c>
      <c r="T694" s="190">
        <f t="shared" si="74"/>
        <v>3852.9996858967647</v>
      </c>
      <c r="U694" s="190">
        <v>4624.2382242697104</v>
      </c>
      <c r="V694" s="221">
        <f t="shared" si="70"/>
        <v>771.23853837294564</v>
      </c>
      <c r="W694" s="221">
        <f t="shared" si="76"/>
        <v>4674.385073814261</v>
      </c>
      <c r="X694" s="221">
        <v>0</v>
      </c>
      <c r="Y694" s="222">
        <v>0</v>
      </c>
      <c r="Z694" s="222">
        <v>0</v>
      </c>
      <c r="AA694" s="222">
        <v>0</v>
      </c>
      <c r="AB694" s="222">
        <v>0</v>
      </c>
      <c r="AC694" s="222">
        <v>0</v>
      </c>
      <c r="AD694" s="222">
        <v>0</v>
      </c>
      <c r="AE694" s="222">
        <v>0</v>
      </c>
      <c r="AF694" s="221">
        <v>0</v>
      </c>
      <c r="AG694" s="222">
        <v>0</v>
      </c>
      <c r="AH694" s="221">
        <v>0</v>
      </c>
      <c r="AI694" s="222">
        <v>0</v>
      </c>
      <c r="AJ694" s="221">
        <v>0</v>
      </c>
      <c r="AK694" s="222">
        <v>0</v>
      </c>
      <c r="AL694" s="222">
        <v>0</v>
      </c>
      <c r="AM694" s="222">
        <v>639.20000000000005</v>
      </c>
      <c r="AN694" s="222">
        <f>6984.52*AM694/I694</f>
        <v>4674.385073814261</v>
      </c>
      <c r="AO694" s="222">
        <v>0</v>
      </c>
    </row>
    <row r="695" spans="1:41" s="223" customFormat="1" ht="36" customHeight="1" x14ac:dyDescent="0.25">
      <c r="A695" s="223">
        <v>1</v>
      </c>
      <c r="B695" s="225">
        <f>SUBTOTAL(103,$A$552:A695)</f>
        <v>142</v>
      </c>
      <c r="C695" s="215" t="s">
        <v>202</v>
      </c>
      <c r="D695" s="217">
        <v>1981</v>
      </c>
      <c r="E695" s="217"/>
      <c r="F695" s="226" t="s">
        <v>267</v>
      </c>
      <c r="G695" s="217">
        <v>2</v>
      </c>
      <c r="H695" s="217" t="s">
        <v>303</v>
      </c>
      <c r="I695" s="218">
        <v>946.6</v>
      </c>
      <c r="J695" s="218">
        <v>861.8</v>
      </c>
      <c r="K695" s="218">
        <v>861.8</v>
      </c>
      <c r="L695" s="219">
        <v>44</v>
      </c>
      <c r="M695" s="217" t="s">
        <v>265</v>
      </c>
      <c r="N695" s="217" t="s">
        <v>269</v>
      </c>
      <c r="O695" s="220" t="s">
        <v>327</v>
      </c>
      <c r="P695" s="190">
        <v>3519757</v>
      </c>
      <c r="Q695" s="190">
        <v>0</v>
      </c>
      <c r="R695" s="190">
        <v>0</v>
      </c>
      <c r="S695" s="190">
        <f t="shared" si="75"/>
        <v>3519757</v>
      </c>
      <c r="T695" s="190">
        <f t="shared" si="74"/>
        <v>3718.3150221846608</v>
      </c>
      <c r="U695" s="190">
        <v>4510.2848732305092</v>
      </c>
      <c r="V695" s="221">
        <f t="shared" si="70"/>
        <v>791.96985104584837</v>
      </c>
      <c r="W695" s="221">
        <f t="shared" si="76"/>
        <v>4559.1959729558421</v>
      </c>
      <c r="X695" s="221">
        <v>0</v>
      </c>
      <c r="Y695" s="222">
        <v>0</v>
      </c>
      <c r="Z695" s="222">
        <v>0</v>
      </c>
      <c r="AA695" s="222">
        <v>0</v>
      </c>
      <c r="AB695" s="222">
        <v>0</v>
      </c>
      <c r="AC695" s="222">
        <v>0</v>
      </c>
      <c r="AD695" s="222">
        <v>0</v>
      </c>
      <c r="AE695" s="222">
        <v>0</v>
      </c>
      <c r="AF695" s="221">
        <v>0</v>
      </c>
      <c r="AG695" s="222">
        <v>0</v>
      </c>
      <c r="AH695" s="221">
        <v>0</v>
      </c>
      <c r="AI695" s="222">
        <v>0</v>
      </c>
      <c r="AJ695" s="221">
        <v>0</v>
      </c>
      <c r="AK695" s="222">
        <v>0</v>
      </c>
      <c r="AL695" s="222">
        <v>0</v>
      </c>
      <c r="AM695" s="222">
        <v>617.9</v>
      </c>
      <c r="AN695" s="222">
        <f>6984.52*AM695/I695</f>
        <v>4559.1959729558421</v>
      </c>
      <c r="AO695" s="222">
        <v>0</v>
      </c>
    </row>
    <row r="696" spans="1:41" s="223" customFormat="1" ht="36" customHeight="1" x14ac:dyDescent="0.25">
      <c r="A696" s="223">
        <v>1</v>
      </c>
      <c r="B696" s="225">
        <f>SUBTOTAL(103,$A$552:A696)</f>
        <v>143</v>
      </c>
      <c r="C696" s="215" t="s">
        <v>418</v>
      </c>
      <c r="D696" s="217">
        <v>1987</v>
      </c>
      <c r="E696" s="217"/>
      <c r="F696" s="226" t="s">
        <v>267</v>
      </c>
      <c r="G696" s="217">
        <v>5</v>
      </c>
      <c r="H696" s="217" t="s">
        <v>308</v>
      </c>
      <c r="I696" s="218">
        <v>4250.6000000000004</v>
      </c>
      <c r="J696" s="218">
        <v>2613.6</v>
      </c>
      <c r="K696" s="218">
        <v>2613.6</v>
      </c>
      <c r="L696" s="219">
        <v>107</v>
      </c>
      <c r="M696" s="217" t="s">
        <v>265</v>
      </c>
      <c r="N696" s="217" t="s">
        <v>269</v>
      </c>
      <c r="O696" s="220" t="s">
        <v>326</v>
      </c>
      <c r="P696" s="190">
        <v>4335791.2699999996</v>
      </c>
      <c r="Q696" s="190">
        <v>0</v>
      </c>
      <c r="R696" s="190">
        <v>0</v>
      </c>
      <c r="S696" s="190">
        <f t="shared" si="75"/>
        <v>4335791.2699999996</v>
      </c>
      <c r="T696" s="190">
        <f t="shared" si="74"/>
        <v>1020.0421752223214</v>
      </c>
      <c r="U696" s="190">
        <v>1188.0617324612995</v>
      </c>
      <c r="V696" s="221">
        <f t="shared" si="70"/>
        <v>168.01955723897811</v>
      </c>
      <c r="W696" s="221">
        <f t="shared" si="76"/>
        <v>1138.9907683621136</v>
      </c>
      <c r="X696" s="221">
        <v>0</v>
      </c>
      <c r="Y696" s="222">
        <v>0</v>
      </c>
      <c r="Z696" s="222">
        <v>0</v>
      </c>
      <c r="AA696" s="222">
        <v>0</v>
      </c>
      <c r="AB696" s="222">
        <v>0</v>
      </c>
      <c r="AC696" s="222">
        <v>0</v>
      </c>
      <c r="AD696" s="222">
        <v>0</v>
      </c>
      <c r="AE696" s="222">
        <v>776</v>
      </c>
      <c r="AF696" s="221">
        <f>6238.91*AE696/I696</f>
        <v>1138.9907683621136</v>
      </c>
      <c r="AG696" s="222">
        <v>0</v>
      </c>
      <c r="AH696" s="221">
        <v>0</v>
      </c>
      <c r="AI696" s="222">
        <v>0</v>
      </c>
      <c r="AJ696" s="221">
        <v>0</v>
      </c>
      <c r="AK696" s="222">
        <v>0</v>
      </c>
      <c r="AL696" s="222">
        <v>0</v>
      </c>
      <c r="AM696" s="222">
        <v>0</v>
      </c>
      <c r="AN696" s="222"/>
      <c r="AO696" s="222">
        <v>0</v>
      </c>
    </row>
    <row r="697" spans="1:41" s="223" customFormat="1" ht="36" customHeight="1" x14ac:dyDescent="0.25">
      <c r="A697" s="223">
        <v>1</v>
      </c>
      <c r="B697" s="225">
        <f>SUBTOTAL(103,$A$552:A697)</f>
        <v>144</v>
      </c>
      <c r="C697" s="215" t="s">
        <v>427</v>
      </c>
      <c r="D697" s="217">
        <v>1880</v>
      </c>
      <c r="E697" s="217"/>
      <c r="F697" s="226" t="s">
        <v>267</v>
      </c>
      <c r="G697" s="217">
        <v>2</v>
      </c>
      <c r="H697" s="217" t="s">
        <v>304</v>
      </c>
      <c r="I697" s="218">
        <v>646.49</v>
      </c>
      <c r="J697" s="218">
        <v>646.49</v>
      </c>
      <c r="K697" s="218">
        <v>646.49</v>
      </c>
      <c r="L697" s="219">
        <v>37</v>
      </c>
      <c r="M697" s="217" t="s">
        <v>265</v>
      </c>
      <c r="N697" s="217" t="s">
        <v>266</v>
      </c>
      <c r="O697" s="220" t="s">
        <v>268</v>
      </c>
      <c r="P697" s="190">
        <v>3541530.1000000006</v>
      </c>
      <c r="Q697" s="190">
        <v>0</v>
      </c>
      <c r="R697" s="190">
        <v>0</v>
      </c>
      <c r="S697" s="190">
        <f t="shared" si="75"/>
        <v>3541530.1000000006</v>
      </c>
      <c r="T697" s="190">
        <f t="shared" si="74"/>
        <v>5478.0895296137614</v>
      </c>
      <c r="U697" s="190">
        <v>7388.5934817243879</v>
      </c>
      <c r="V697" s="221">
        <f t="shared" si="70"/>
        <v>1910.5039521106264</v>
      </c>
      <c r="W697" s="221">
        <f t="shared" si="76"/>
        <v>3633.9826602112944</v>
      </c>
      <c r="X697" s="221">
        <v>0</v>
      </c>
      <c r="Y697" s="222">
        <v>0</v>
      </c>
      <c r="Z697" s="222">
        <v>0</v>
      </c>
      <c r="AA697" s="222">
        <v>0</v>
      </c>
      <c r="AB697" s="222">
        <v>0</v>
      </c>
      <c r="AC697" s="222">
        <v>0</v>
      </c>
      <c r="AD697" s="222">
        <v>0</v>
      </c>
      <c r="AE697" s="222">
        <v>365</v>
      </c>
      <c r="AF697" s="221">
        <f>6436.53*AE697/I697</f>
        <v>3633.9826602112944</v>
      </c>
      <c r="AG697" s="222">
        <v>0</v>
      </c>
      <c r="AH697" s="221">
        <v>0</v>
      </c>
      <c r="AI697" s="222">
        <v>0</v>
      </c>
      <c r="AJ697" s="221">
        <v>0</v>
      </c>
      <c r="AK697" s="222">
        <v>0</v>
      </c>
      <c r="AL697" s="222">
        <v>0</v>
      </c>
      <c r="AM697" s="222">
        <v>0</v>
      </c>
      <c r="AN697" s="222"/>
      <c r="AO697" s="222">
        <v>0</v>
      </c>
    </row>
    <row r="698" spans="1:41" s="223" customFormat="1" ht="36" customHeight="1" x14ac:dyDescent="0.25">
      <c r="A698" s="223">
        <v>1</v>
      </c>
      <c r="B698" s="225">
        <f>SUBTOTAL(103,$A$552:A698)</f>
        <v>145</v>
      </c>
      <c r="C698" s="215" t="s">
        <v>420</v>
      </c>
      <c r="D698" s="217">
        <v>1964</v>
      </c>
      <c r="E698" s="217"/>
      <c r="F698" s="226" t="s">
        <v>267</v>
      </c>
      <c r="G698" s="217">
        <v>3</v>
      </c>
      <c r="H698" s="217" t="s">
        <v>303</v>
      </c>
      <c r="I698" s="218">
        <v>1192.79</v>
      </c>
      <c r="J698" s="218">
        <v>1192.79</v>
      </c>
      <c r="K698" s="218">
        <v>1192.79</v>
      </c>
      <c r="L698" s="219">
        <v>56</v>
      </c>
      <c r="M698" s="217" t="s">
        <v>265</v>
      </c>
      <c r="N698" s="217" t="s">
        <v>269</v>
      </c>
      <c r="O698" s="220" t="s">
        <v>322</v>
      </c>
      <c r="P698" s="190">
        <v>4390734.43</v>
      </c>
      <c r="Q698" s="190">
        <v>0</v>
      </c>
      <c r="R698" s="190">
        <v>0</v>
      </c>
      <c r="S698" s="190">
        <f t="shared" si="75"/>
        <v>4390734.43</v>
      </c>
      <c r="T698" s="190">
        <f t="shared" si="74"/>
        <v>3681.0624083032217</v>
      </c>
      <c r="U698" s="190">
        <v>5035.7624560903423</v>
      </c>
      <c r="V698" s="221">
        <f t="shared" si="70"/>
        <v>1354.7000477871206</v>
      </c>
      <c r="W698" s="221">
        <f t="shared" si="76"/>
        <v>5906.1760242792116</v>
      </c>
      <c r="X698" s="221">
        <v>0</v>
      </c>
      <c r="Y698" s="222">
        <v>0</v>
      </c>
      <c r="Z698" s="222">
        <v>0</v>
      </c>
      <c r="AA698" s="222">
        <v>0</v>
      </c>
      <c r="AB698" s="222">
        <v>0</v>
      </c>
      <c r="AC698" s="222">
        <v>0</v>
      </c>
      <c r="AD698" s="222">
        <v>0</v>
      </c>
      <c r="AE698" s="222">
        <v>0</v>
      </c>
      <c r="AF698" s="221">
        <v>0</v>
      </c>
      <c r="AG698" s="222">
        <v>0</v>
      </c>
      <c r="AH698" s="221">
        <v>0</v>
      </c>
      <c r="AI698" s="222">
        <v>947</v>
      </c>
      <c r="AJ698" s="221">
        <f>7439.1*AI698/I698</f>
        <v>5906.1760242792116</v>
      </c>
      <c r="AK698" s="222">
        <v>0</v>
      </c>
      <c r="AL698" s="222">
        <v>0</v>
      </c>
      <c r="AM698" s="222">
        <v>0</v>
      </c>
      <c r="AN698" s="222"/>
      <c r="AO698" s="222">
        <v>0</v>
      </c>
    </row>
    <row r="699" spans="1:41" s="223" customFormat="1" ht="36" customHeight="1" x14ac:dyDescent="0.25">
      <c r="A699" s="223">
        <v>1</v>
      </c>
      <c r="B699" s="225">
        <f>SUBTOTAL(103,$A$552:A699)</f>
        <v>146</v>
      </c>
      <c r="C699" s="215" t="s">
        <v>421</v>
      </c>
      <c r="D699" s="217">
        <v>1941</v>
      </c>
      <c r="E699" s="217"/>
      <c r="F699" s="226" t="s">
        <v>267</v>
      </c>
      <c r="G699" s="217">
        <v>2</v>
      </c>
      <c r="H699" s="217" t="s">
        <v>303</v>
      </c>
      <c r="I699" s="218">
        <v>858.3</v>
      </c>
      <c r="J699" s="218">
        <v>655.4</v>
      </c>
      <c r="K699" s="218">
        <v>655.4</v>
      </c>
      <c r="L699" s="219">
        <v>31</v>
      </c>
      <c r="M699" s="217" t="s">
        <v>265</v>
      </c>
      <c r="N699" s="217" t="s">
        <v>269</v>
      </c>
      <c r="O699" s="220" t="s">
        <v>325</v>
      </c>
      <c r="P699" s="190">
        <v>3393815.22</v>
      </c>
      <c r="Q699" s="190">
        <v>0</v>
      </c>
      <c r="R699" s="190">
        <v>0</v>
      </c>
      <c r="S699" s="190">
        <f t="shared" si="75"/>
        <v>3393815.22</v>
      </c>
      <c r="T699" s="190">
        <f t="shared" si="74"/>
        <v>3954.1130373995111</v>
      </c>
      <c r="U699" s="190">
        <v>4549.2485145054179</v>
      </c>
      <c r="V699" s="221">
        <f t="shared" si="70"/>
        <v>595.13547710590683</v>
      </c>
      <c r="W699" s="221">
        <f t="shared" si="76"/>
        <v>4361.349178608878</v>
      </c>
      <c r="X699" s="221">
        <v>0</v>
      </c>
      <c r="Y699" s="222">
        <v>0</v>
      </c>
      <c r="Z699" s="222">
        <v>0</v>
      </c>
      <c r="AA699" s="222">
        <v>0</v>
      </c>
      <c r="AB699" s="222">
        <v>0</v>
      </c>
      <c r="AC699" s="222">
        <v>0</v>
      </c>
      <c r="AD699" s="222">
        <v>0</v>
      </c>
      <c r="AE699" s="222">
        <v>600</v>
      </c>
      <c r="AF699" s="221">
        <f>6238.91*AE699/I699</f>
        <v>4361.349178608878</v>
      </c>
      <c r="AG699" s="222">
        <v>0</v>
      </c>
      <c r="AH699" s="221">
        <v>0</v>
      </c>
      <c r="AI699" s="222">
        <v>0</v>
      </c>
      <c r="AJ699" s="221">
        <v>0</v>
      </c>
      <c r="AK699" s="222">
        <v>0</v>
      </c>
      <c r="AL699" s="222">
        <v>0</v>
      </c>
      <c r="AM699" s="222">
        <v>0</v>
      </c>
      <c r="AN699" s="222"/>
      <c r="AO699" s="222">
        <v>0</v>
      </c>
    </row>
    <row r="700" spans="1:41" s="223" customFormat="1" ht="36" customHeight="1" x14ac:dyDescent="0.25">
      <c r="A700" s="223">
        <v>1</v>
      </c>
      <c r="B700" s="225">
        <f>SUBTOTAL(103,$A$552:A700)</f>
        <v>147</v>
      </c>
      <c r="C700" s="215" t="s">
        <v>422</v>
      </c>
      <c r="D700" s="217">
        <v>1962</v>
      </c>
      <c r="E700" s="217"/>
      <c r="F700" s="226" t="s">
        <v>324</v>
      </c>
      <c r="G700" s="217">
        <v>2</v>
      </c>
      <c r="H700" s="217" t="s">
        <v>303</v>
      </c>
      <c r="I700" s="218">
        <v>590.99</v>
      </c>
      <c r="J700" s="218">
        <v>550.29</v>
      </c>
      <c r="K700" s="218">
        <v>550.29</v>
      </c>
      <c r="L700" s="219">
        <v>18</v>
      </c>
      <c r="M700" s="217" t="s">
        <v>265</v>
      </c>
      <c r="N700" s="217" t="s">
        <v>269</v>
      </c>
      <c r="O700" s="220" t="s">
        <v>328</v>
      </c>
      <c r="P700" s="190">
        <v>2545004.79</v>
      </c>
      <c r="Q700" s="190">
        <v>0</v>
      </c>
      <c r="R700" s="190">
        <v>0</v>
      </c>
      <c r="S700" s="190">
        <f t="shared" si="75"/>
        <v>2545004.79</v>
      </c>
      <c r="T700" s="190">
        <f t="shared" si="74"/>
        <v>4306.3415455422255</v>
      </c>
      <c r="U700" s="190">
        <v>5351.6001962808168</v>
      </c>
      <c r="V700" s="221">
        <f t="shared" si="70"/>
        <v>1045.2586507385913</v>
      </c>
      <c r="W700" s="221">
        <f t="shared" si="76"/>
        <v>5130.5610247212298</v>
      </c>
      <c r="X700" s="221">
        <v>0</v>
      </c>
      <c r="Y700" s="222">
        <v>0</v>
      </c>
      <c r="Z700" s="222">
        <v>0</v>
      </c>
      <c r="AA700" s="222">
        <v>0</v>
      </c>
      <c r="AB700" s="222">
        <v>0</v>
      </c>
      <c r="AC700" s="222">
        <v>0</v>
      </c>
      <c r="AD700" s="222">
        <v>0</v>
      </c>
      <c r="AE700" s="222">
        <v>486</v>
      </c>
      <c r="AF700" s="221">
        <f>6238.91*AE700/I700</f>
        <v>5130.5610247212298</v>
      </c>
      <c r="AG700" s="222">
        <v>0</v>
      </c>
      <c r="AH700" s="221">
        <v>0</v>
      </c>
      <c r="AI700" s="222">
        <v>0</v>
      </c>
      <c r="AJ700" s="221">
        <v>0</v>
      </c>
      <c r="AK700" s="222">
        <v>0</v>
      </c>
      <c r="AL700" s="222">
        <v>0</v>
      </c>
      <c r="AM700" s="222">
        <v>0</v>
      </c>
      <c r="AN700" s="222"/>
      <c r="AO700" s="222">
        <v>0</v>
      </c>
    </row>
    <row r="701" spans="1:41" s="223" customFormat="1" ht="36" customHeight="1" x14ac:dyDescent="0.25">
      <c r="A701" s="223">
        <v>1</v>
      </c>
      <c r="B701" s="225">
        <f>SUBTOTAL(103,$A$552:A701)</f>
        <v>148</v>
      </c>
      <c r="C701" s="215" t="s">
        <v>1620</v>
      </c>
      <c r="D701" s="217">
        <v>1960</v>
      </c>
      <c r="E701" s="217"/>
      <c r="F701" s="226" t="s">
        <v>1341</v>
      </c>
      <c r="G701" s="217">
        <v>4</v>
      </c>
      <c r="H701" s="217" t="s">
        <v>308</v>
      </c>
      <c r="I701" s="218">
        <v>2241.9</v>
      </c>
      <c r="J701" s="218">
        <v>2091.3000000000002</v>
      </c>
      <c r="K701" s="218">
        <v>1908.9</v>
      </c>
      <c r="L701" s="219">
        <v>87</v>
      </c>
      <c r="M701" s="217" t="s">
        <v>265</v>
      </c>
      <c r="N701" s="217" t="s">
        <v>269</v>
      </c>
      <c r="O701" s="220" t="s">
        <v>987</v>
      </c>
      <c r="P701" s="190">
        <v>5101600</v>
      </c>
      <c r="Q701" s="190">
        <v>0</v>
      </c>
      <c r="R701" s="190">
        <v>0</v>
      </c>
      <c r="S701" s="190">
        <f t="shared" si="75"/>
        <v>5101600</v>
      </c>
      <c r="T701" s="190">
        <f t="shared" si="74"/>
        <v>2275.5698291627637</v>
      </c>
      <c r="U701" s="190">
        <v>2644.4153173647351</v>
      </c>
      <c r="V701" s="221">
        <f t="shared" si="70"/>
        <v>368.84548820197142</v>
      </c>
      <c r="W701" s="221">
        <f t="shared" si="76"/>
        <v>2535.1920290824746</v>
      </c>
      <c r="X701" s="221">
        <v>0</v>
      </c>
      <c r="Y701" s="222">
        <v>0</v>
      </c>
      <c r="Z701" s="222">
        <v>0</v>
      </c>
      <c r="AA701" s="222">
        <v>0</v>
      </c>
      <c r="AB701" s="222">
        <v>0</v>
      </c>
      <c r="AC701" s="222">
        <v>0</v>
      </c>
      <c r="AD701" s="222">
        <v>0</v>
      </c>
      <c r="AE701" s="222">
        <v>911</v>
      </c>
      <c r="AF701" s="221">
        <f>6238.91*AE701/I701</f>
        <v>2535.1920290824746</v>
      </c>
      <c r="AG701" s="222">
        <v>0</v>
      </c>
      <c r="AH701" s="221">
        <v>0</v>
      </c>
      <c r="AI701" s="222">
        <v>0</v>
      </c>
      <c r="AJ701" s="221">
        <v>0</v>
      </c>
      <c r="AK701" s="222">
        <v>0</v>
      </c>
      <c r="AL701" s="222">
        <v>0</v>
      </c>
      <c r="AM701" s="222">
        <v>0</v>
      </c>
      <c r="AN701" s="222"/>
      <c r="AO701" s="222">
        <v>0</v>
      </c>
    </row>
    <row r="702" spans="1:41" s="223" customFormat="1" ht="36" customHeight="1" x14ac:dyDescent="0.25">
      <c r="A702" s="223">
        <v>1</v>
      </c>
      <c r="B702" s="225">
        <f>SUBTOTAL(103,$A$552:A702)</f>
        <v>149</v>
      </c>
      <c r="C702" s="215" t="s">
        <v>1650</v>
      </c>
      <c r="D702" s="217">
        <v>1959</v>
      </c>
      <c r="E702" s="217"/>
      <c r="F702" s="226" t="s">
        <v>1341</v>
      </c>
      <c r="G702" s="217">
        <v>3</v>
      </c>
      <c r="H702" s="217" t="s">
        <v>303</v>
      </c>
      <c r="I702" s="218">
        <v>1638.8</v>
      </c>
      <c r="J702" s="218">
        <v>1086.7</v>
      </c>
      <c r="K702" s="218">
        <v>1052.4000000000001</v>
      </c>
      <c r="L702" s="219">
        <v>92</v>
      </c>
      <c r="M702" s="217" t="s">
        <v>265</v>
      </c>
      <c r="N702" s="217" t="s">
        <v>266</v>
      </c>
      <c r="O702" s="220" t="s">
        <v>268</v>
      </c>
      <c r="P702" s="190">
        <v>2638742.77</v>
      </c>
      <c r="Q702" s="190">
        <v>0</v>
      </c>
      <c r="R702" s="190">
        <v>0</v>
      </c>
      <c r="S702" s="190">
        <f t="shared" si="75"/>
        <v>2638742.77</v>
      </c>
      <c r="T702" s="190">
        <f t="shared" si="74"/>
        <v>1610.1676653649013</v>
      </c>
      <c r="U702" s="190">
        <v>1906.0873810104956</v>
      </c>
      <c r="V702" s="221">
        <f t="shared" si="70"/>
        <v>295.91971564559435</v>
      </c>
      <c r="W702" s="221">
        <f t="shared" si="76"/>
        <v>1827.359531364413</v>
      </c>
      <c r="X702" s="221">
        <v>0</v>
      </c>
      <c r="Y702" s="222">
        <v>0</v>
      </c>
      <c r="Z702" s="222">
        <v>0</v>
      </c>
      <c r="AA702" s="222">
        <v>0</v>
      </c>
      <c r="AB702" s="222">
        <v>0</v>
      </c>
      <c r="AC702" s="222">
        <v>0</v>
      </c>
      <c r="AD702" s="222">
        <v>0</v>
      </c>
      <c r="AE702" s="222">
        <v>480</v>
      </c>
      <c r="AF702" s="221">
        <f>6238.91*AE702/I702</f>
        <v>1827.359531364413</v>
      </c>
      <c r="AG702" s="222">
        <v>0</v>
      </c>
      <c r="AH702" s="221">
        <v>0</v>
      </c>
      <c r="AI702" s="222">
        <v>0</v>
      </c>
      <c r="AJ702" s="221">
        <v>0</v>
      </c>
      <c r="AK702" s="222">
        <v>0</v>
      </c>
      <c r="AL702" s="222">
        <v>0</v>
      </c>
      <c r="AM702" s="222">
        <v>0</v>
      </c>
      <c r="AN702" s="222"/>
      <c r="AO702" s="222">
        <v>0</v>
      </c>
    </row>
    <row r="703" spans="1:41" s="223" customFormat="1" ht="36" customHeight="1" x14ac:dyDescent="0.25">
      <c r="A703" s="223">
        <v>1</v>
      </c>
      <c r="B703" s="225">
        <f>SUBTOTAL(103,$A$552:A703)</f>
        <v>150</v>
      </c>
      <c r="C703" s="215" t="s">
        <v>1651</v>
      </c>
      <c r="D703" s="217">
        <v>1942</v>
      </c>
      <c r="E703" s="217"/>
      <c r="F703" s="226" t="s">
        <v>1341</v>
      </c>
      <c r="G703" s="217">
        <v>2</v>
      </c>
      <c r="H703" s="217" t="s">
        <v>303</v>
      </c>
      <c r="I703" s="218">
        <v>659.9</v>
      </c>
      <c r="J703" s="218">
        <v>659.9</v>
      </c>
      <c r="K703" s="218">
        <v>659.9</v>
      </c>
      <c r="L703" s="219">
        <v>25</v>
      </c>
      <c r="M703" s="217" t="s">
        <v>265</v>
      </c>
      <c r="N703" s="217" t="s">
        <v>266</v>
      </c>
      <c r="O703" s="220" t="s">
        <v>268</v>
      </c>
      <c r="P703" s="190">
        <v>3267279.28</v>
      </c>
      <c r="Q703" s="190">
        <v>0</v>
      </c>
      <c r="R703" s="190">
        <v>0</v>
      </c>
      <c r="S703" s="190">
        <f t="shared" si="75"/>
        <v>3267279.28</v>
      </c>
      <c r="T703" s="190">
        <f t="shared" si="74"/>
        <v>4951.1733292923172</v>
      </c>
      <c r="U703" s="190">
        <v>5916.9874223367178</v>
      </c>
      <c r="V703" s="221">
        <f t="shared" si="70"/>
        <v>965.81409304440058</v>
      </c>
      <c r="W703" s="221">
        <f t="shared" si="76"/>
        <v>5672.5958478557359</v>
      </c>
      <c r="X703" s="221">
        <v>0</v>
      </c>
      <c r="Y703" s="222">
        <v>0</v>
      </c>
      <c r="Z703" s="222">
        <v>0</v>
      </c>
      <c r="AA703" s="222">
        <v>0</v>
      </c>
      <c r="AB703" s="222">
        <v>0</v>
      </c>
      <c r="AC703" s="222">
        <v>0</v>
      </c>
      <c r="AD703" s="222">
        <v>0</v>
      </c>
      <c r="AE703" s="222">
        <v>600</v>
      </c>
      <c r="AF703" s="221">
        <f>6238.91*AE703/I703</f>
        <v>5672.5958478557359</v>
      </c>
      <c r="AG703" s="222">
        <v>0</v>
      </c>
      <c r="AH703" s="221">
        <v>0</v>
      </c>
      <c r="AI703" s="222">
        <v>0</v>
      </c>
      <c r="AJ703" s="221">
        <v>0</v>
      </c>
      <c r="AK703" s="222">
        <v>0</v>
      </c>
      <c r="AL703" s="222">
        <v>0</v>
      </c>
      <c r="AM703" s="222">
        <v>0</v>
      </c>
      <c r="AN703" s="222"/>
      <c r="AO703" s="222">
        <v>0</v>
      </c>
    </row>
    <row r="704" spans="1:41" s="223" customFormat="1" ht="36" customHeight="1" x14ac:dyDescent="0.25">
      <c r="A704" s="223">
        <v>1</v>
      </c>
      <c r="B704" s="225">
        <f>SUBTOTAL(103,$A$552:A704)</f>
        <v>151</v>
      </c>
      <c r="C704" s="215" t="s">
        <v>438</v>
      </c>
      <c r="D704" s="217">
        <v>1994</v>
      </c>
      <c r="E704" s="217"/>
      <c r="F704" s="226" t="s">
        <v>311</v>
      </c>
      <c r="G704" s="217">
        <v>9</v>
      </c>
      <c r="H704" s="217" t="s">
        <v>303</v>
      </c>
      <c r="I704" s="218">
        <v>4306.3</v>
      </c>
      <c r="J704" s="218">
        <v>3866</v>
      </c>
      <c r="K704" s="218">
        <v>3866</v>
      </c>
      <c r="L704" s="219">
        <v>182</v>
      </c>
      <c r="M704" s="217" t="s">
        <v>265</v>
      </c>
      <c r="N704" s="217" t="s">
        <v>269</v>
      </c>
      <c r="O704" s="220" t="s">
        <v>321</v>
      </c>
      <c r="P704" s="190">
        <v>4331631.53</v>
      </c>
      <c r="Q704" s="190">
        <v>0</v>
      </c>
      <c r="R704" s="190">
        <v>0</v>
      </c>
      <c r="S704" s="190">
        <f t="shared" si="75"/>
        <v>4331631.53</v>
      </c>
      <c r="T704" s="190">
        <f t="shared" si="74"/>
        <v>1005.8824350370388</v>
      </c>
      <c r="U704" s="190">
        <v>1141.4903745674942</v>
      </c>
      <c r="V704" s="221">
        <f t="shared" si="70"/>
        <v>135.60793953045538</v>
      </c>
      <c r="W704" s="221">
        <f t="shared" si="76"/>
        <v>1141.4903745674942</v>
      </c>
      <c r="X704" s="221">
        <v>0</v>
      </c>
      <c r="Y704" s="222">
        <v>0</v>
      </c>
      <c r="Z704" s="222">
        <v>0</v>
      </c>
      <c r="AA704" s="222">
        <v>0</v>
      </c>
      <c r="AB704" s="222">
        <v>0</v>
      </c>
      <c r="AC704" s="222">
        <v>2</v>
      </c>
      <c r="AD704" s="221">
        <f>2457800*AC704/I704</f>
        <v>1141.4903745674942</v>
      </c>
      <c r="AE704" s="222">
        <v>0</v>
      </c>
      <c r="AF704" s="221">
        <v>0</v>
      </c>
      <c r="AG704" s="222">
        <v>0</v>
      </c>
      <c r="AH704" s="221">
        <v>0</v>
      </c>
      <c r="AI704" s="222">
        <v>0</v>
      </c>
      <c r="AJ704" s="221">
        <v>0</v>
      </c>
      <c r="AK704" s="222">
        <v>0</v>
      </c>
      <c r="AL704" s="222">
        <v>0</v>
      </c>
      <c r="AM704" s="222">
        <v>0</v>
      </c>
      <c r="AN704" s="222"/>
      <c r="AO704" s="222">
        <v>0</v>
      </c>
    </row>
    <row r="705" spans="1:41" s="223" customFormat="1" ht="36" customHeight="1" x14ac:dyDescent="0.25">
      <c r="A705" s="223">
        <v>1</v>
      </c>
      <c r="B705" s="225">
        <f>SUBTOTAL(103,$A$552:A705)</f>
        <v>152</v>
      </c>
      <c r="C705" s="215" t="s">
        <v>1671</v>
      </c>
      <c r="D705" s="217">
        <v>1952</v>
      </c>
      <c r="E705" s="217"/>
      <c r="F705" s="226" t="s">
        <v>1341</v>
      </c>
      <c r="G705" s="217">
        <v>2</v>
      </c>
      <c r="H705" s="217" t="s">
        <v>303</v>
      </c>
      <c r="I705" s="218">
        <v>557.4</v>
      </c>
      <c r="J705" s="218">
        <v>517.5</v>
      </c>
      <c r="K705" s="218">
        <v>517.5</v>
      </c>
      <c r="L705" s="219">
        <v>31</v>
      </c>
      <c r="M705" s="217" t="s">
        <v>265</v>
      </c>
      <c r="N705" s="217" t="s">
        <v>266</v>
      </c>
      <c r="O705" s="220" t="s">
        <v>268</v>
      </c>
      <c r="P705" s="190">
        <v>3267843.12</v>
      </c>
      <c r="Q705" s="190">
        <v>0</v>
      </c>
      <c r="R705" s="190">
        <v>0</v>
      </c>
      <c r="S705" s="190">
        <f t="shared" si="75"/>
        <v>3267843.12</v>
      </c>
      <c r="T705" s="190">
        <f t="shared" si="74"/>
        <v>5862.6536060279877</v>
      </c>
      <c r="U705" s="190">
        <v>7005.0592034445644</v>
      </c>
      <c r="V705" s="221">
        <f t="shared" ref="V705:V714" si="78">U705-T705</f>
        <v>1142.4055974165767</v>
      </c>
      <c r="W705" s="221">
        <f t="shared" si="76"/>
        <v>6715.7265877287409</v>
      </c>
      <c r="X705" s="221">
        <v>0</v>
      </c>
      <c r="Y705" s="222">
        <v>0</v>
      </c>
      <c r="Z705" s="222">
        <v>0</v>
      </c>
      <c r="AA705" s="222">
        <v>0</v>
      </c>
      <c r="AB705" s="222">
        <v>0</v>
      </c>
      <c r="AC705" s="222">
        <v>0</v>
      </c>
      <c r="AD705" s="222">
        <v>0</v>
      </c>
      <c r="AE705" s="222">
        <v>600</v>
      </c>
      <c r="AF705" s="221">
        <f>6238.91*AE705/I705</f>
        <v>6715.7265877287409</v>
      </c>
      <c r="AG705" s="222">
        <v>0</v>
      </c>
      <c r="AH705" s="221">
        <v>0</v>
      </c>
      <c r="AI705" s="222">
        <v>0</v>
      </c>
      <c r="AJ705" s="221">
        <v>0</v>
      </c>
      <c r="AK705" s="222">
        <v>0</v>
      </c>
      <c r="AL705" s="222">
        <v>0</v>
      </c>
      <c r="AM705" s="222">
        <v>0</v>
      </c>
      <c r="AN705" s="222"/>
      <c r="AO705" s="222">
        <v>0</v>
      </c>
    </row>
    <row r="706" spans="1:41" s="223" customFormat="1" ht="36" customHeight="1" x14ac:dyDescent="0.25">
      <c r="A706" s="223">
        <v>1</v>
      </c>
      <c r="B706" s="225">
        <f>SUBTOTAL(103,$A$552:A706)</f>
        <v>153</v>
      </c>
      <c r="C706" s="215" t="s">
        <v>1672</v>
      </c>
      <c r="D706" s="217">
        <v>1950</v>
      </c>
      <c r="E706" s="217"/>
      <c r="F706" s="226" t="s">
        <v>1341</v>
      </c>
      <c r="G706" s="217">
        <v>2</v>
      </c>
      <c r="H706" s="217" t="s">
        <v>304</v>
      </c>
      <c r="I706" s="218">
        <v>462.7</v>
      </c>
      <c r="J706" s="218">
        <v>460.2</v>
      </c>
      <c r="K706" s="218">
        <v>460.2</v>
      </c>
      <c r="L706" s="219">
        <v>17</v>
      </c>
      <c r="M706" s="217" t="s">
        <v>265</v>
      </c>
      <c r="N706" s="217" t="s">
        <v>269</v>
      </c>
      <c r="O706" s="220" t="s">
        <v>321</v>
      </c>
      <c r="P706" s="190">
        <v>2312994.5099999998</v>
      </c>
      <c r="Q706" s="190">
        <v>0</v>
      </c>
      <c r="R706" s="190">
        <v>0</v>
      </c>
      <c r="S706" s="190">
        <f t="shared" si="75"/>
        <v>2312994.5099999998</v>
      </c>
      <c r="T706" s="190">
        <f t="shared" si="74"/>
        <v>4998.9075210719684</v>
      </c>
      <c r="U706" s="190">
        <v>6188.4331100064837</v>
      </c>
      <c r="V706" s="221">
        <f t="shared" si="78"/>
        <v>1189.5255889345153</v>
      </c>
      <c r="W706" s="221">
        <f t="shared" si="76"/>
        <v>5932.8299113896692</v>
      </c>
      <c r="X706" s="221">
        <v>0</v>
      </c>
      <c r="Y706" s="222">
        <v>0</v>
      </c>
      <c r="Z706" s="222">
        <v>0</v>
      </c>
      <c r="AA706" s="222">
        <v>0</v>
      </c>
      <c r="AB706" s="222">
        <v>0</v>
      </c>
      <c r="AC706" s="222">
        <v>0</v>
      </c>
      <c r="AD706" s="222">
        <v>0</v>
      </c>
      <c r="AE706" s="222">
        <v>440</v>
      </c>
      <c r="AF706" s="221">
        <f>6238.91*AE706/I706</f>
        <v>5932.8299113896692</v>
      </c>
      <c r="AG706" s="222">
        <v>0</v>
      </c>
      <c r="AH706" s="221">
        <v>0</v>
      </c>
      <c r="AI706" s="222">
        <v>0</v>
      </c>
      <c r="AJ706" s="221">
        <v>0</v>
      </c>
      <c r="AK706" s="222">
        <v>0</v>
      </c>
      <c r="AL706" s="222">
        <v>0</v>
      </c>
      <c r="AM706" s="222">
        <v>0</v>
      </c>
      <c r="AN706" s="222"/>
      <c r="AO706" s="222">
        <v>0</v>
      </c>
    </row>
    <row r="707" spans="1:41" s="223" customFormat="1" ht="36" customHeight="1" x14ac:dyDescent="0.25">
      <c r="A707" s="223">
        <v>1</v>
      </c>
      <c r="B707" s="225">
        <f>SUBTOTAL(103,$A$552:A707)</f>
        <v>154</v>
      </c>
      <c r="C707" s="215" t="s">
        <v>1150</v>
      </c>
      <c r="D707" s="217">
        <v>1952</v>
      </c>
      <c r="E707" s="217"/>
      <c r="F707" s="226" t="s">
        <v>267</v>
      </c>
      <c r="G707" s="217">
        <v>3</v>
      </c>
      <c r="H707" s="217" t="s">
        <v>312</v>
      </c>
      <c r="I707" s="190">
        <v>1714.1</v>
      </c>
      <c r="J707" s="190">
        <v>1638</v>
      </c>
      <c r="K707" s="190">
        <v>1638</v>
      </c>
      <c r="L707" s="219">
        <v>55</v>
      </c>
      <c r="M707" s="217" t="s">
        <v>265</v>
      </c>
      <c r="N707" s="217" t="s">
        <v>269</v>
      </c>
      <c r="O707" s="220" t="s">
        <v>990</v>
      </c>
      <c r="P707" s="190">
        <v>2050106.0299999998</v>
      </c>
      <c r="Q707" s="190">
        <v>0</v>
      </c>
      <c r="R707" s="190">
        <v>0</v>
      </c>
      <c r="S707" s="190">
        <f t="shared" si="75"/>
        <v>2050106.0299999998</v>
      </c>
      <c r="T707" s="190">
        <f t="shared" si="74"/>
        <v>1196.024753514964</v>
      </c>
      <c r="U707" s="190">
        <v>7143.3327372965414</v>
      </c>
      <c r="V707" s="221">
        <f t="shared" si="78"/>
        <v>5947.3079837815776</v>
      </c>
      <c r="W707" s="221">
        <f t="shared" si="76"/>
        <v>7143.3327372965414</v>
      </c>
      <c r="X707" s="221">
        <v>0</v>
      </c>
      <c r="Y707" s="222">
        <v>0</v>
      </c>
      <c r="Z707" s="222">
        <v>0</v>
      </c>
      <c r="AA707" s="222">
        <v>0</v>
      </c>
      <c r="AB707" s="222">
        <v>0</v>
      </c>
      <c r="AC707" s="222">
        <v>0</v>
      </c>
      <c r="AD707" s="222">
        <v>0</v>
      </c>
      <c r="AE707" s="222">
        <v>0</v>
      </c>
      <c r="AF707" s="221">
        <v>0</v>
      </c>
      <c r="AG707" s="222">
        <v>0</v>
      </c>
      <c r="AH707" s="221">
        <v>0</v>
      </c>
      <c r="AI707" s="222">
        <v>1645.95</v>
      </c>
      <c r="AJ707" s="221">
        <f>7439.1*AI707/I707</f>
        <v>7143.3327372965414</v>
      </c>
      <c r="AK707" s="222">
        <v>0</v>
      </c>
      <c r="AL707" s="222">
        <v>0</v>
      </c>
      <c r="AM707" s="222">
        <v>0</v>
      </c>
      <c r="AN707" s="222"/>
      <c r="AO707" s="222">
        <v>0</v>
      </c>
    </row>
    <row r="708" spans="1:41" s="223" customFormat="1" ht="36" customHeight="1" x14ac:dyDescent="0.25">
      <c r="A708" s="223">
        <v>1</v>
      </c>
      <c r="B708" s="225">
        <f>SUBTOTAL(103,$A$552:A708)</f>
        <v>155</v>
      </c>
      <c r="C708" s="215" t="s">
        <v>1290</v>
      </c>
      <c r="D708" s="217">
        <v>1958</v>
      </c>
      <c r="E708" s="217"/>
      <c r="F708" s="226" t="s">
        <v>267</v>
      </c>
      <c r="G708" s="217">
        <v>4</v>
      </c>
      <c r="H708" s="217" t="s">
        <v>308</v>
      </c>
      <c r="I708" s="190">
        <v>5856.4</v>
      </c>
      <c r="J708" s="190">
        <v>3235.1</v>
      </c>
      <c r="K708" s="190">
        <v>2625</v>
      </c>
      <c r="L708" s="219">
        <v>86</v>
      </c>
      <c r="M708" s="217" t="s">
        <v>265</v>
      </c>
      <c r="N708" s="217" t="s">
        <v>269</v>
      </c>
      <c r="O708" s="220" t="s">
        <v>1352</v>
      </c>
      <c r="P708" s="190">
        <v>13280548.279999999</v>
      </c>
      <c r="Q708" s="190">
        <v>0</v>
      </c>
      <c r="R708" s="190">
        <v>0</v>
      </c>
      <c r="S708" s="190">
        <f t="shared" si="75"/>
        <v>13280548.279999999</v>
      </c>
      <c r="T708" s="190">
        <f t="shared" si="74"/>
        <v>2267.6982924663616</v>
      </c>
      <c r="U708" s="190">
        <v>3206.1144047537741</v>
      </c>
      <c r="V708" s="221">
        <f t="shared" si="78"/>
        <v>938.41611228741249</v>
      </c>
      <c r="W708" s="221">
        <f t="shared" si="76"/>
        <v>3206.1144047537741</v>
      </c>
      <c r="X708" s="221">
        <v>0</v>
      </c>
      <c r="Y708" s="222">
        <v>0</v>
      </c>
      <c r="Z708" s="222">
        <v>0</v>
      </c>
      <c r="AA708" s="222">
        <v>0</v>
      </c>
      <c r="AB708" s="222">
        <v>0</v>
      </c>
      <c r="AC708" s="222">
        <v>0</v>
      </c>
      <c r="AD708" s="222">
        <v>0</v>
      </c>
      <c r="AE708" s="222">
        <v>0</v>
      </c>
      <c r="AF708" s="221">
        <v>0</v>
      </c>
      <c r="AG708" s="222">
        <v>0</v>
      </c>
      <c r="AH708" s="221">
        <v>0</v>
      </c>
      <c r="AI708" s="222">
        <v>2524</v>
      </c>
      <c r="AJ708" s="221">
        <f>7439.1*AI708/I708</f>
        <v>3206.1144047537741</v>
      </c>
      <c r="AK708" s="222">
        <v>0</v>
      </c>
      <c r="AL708" s="222">
        <v>0</v>
      </c>
      <c r="AM708" s="222">
        <v>0</v>
      </c>
      <c r="AN708" s="222"/>
      <c r="AO708" s="222">
        <v>0</v>
      </c>
    </row>
    <row r="709" spans="1:41" s="223" customFormat="1" ht="36" customHeight="1" x14ac:dyDescent="0.25">
      <c r="A709" s="223">
        <v>1</v>
      </c>
      <c r="B709" s="225">
        <f>SUBTOTAL(103,$A$552:A709)</f>
        <v>156</v>
      </c>
      <c r="C709" s="215" t="s">
        <v>1589</v>
      </c>
      <c r="D709" s="217">
        <v>1986</v>
      </c>
      <c r="E709" s="217"/>
      <c r="F709" s="226" t="s">
        <v>318</v>
      </c>
      <c r="G709" s="217">
        <v>5</v>
      </c>
      <c r="H709" s="217" t="s">
        <v>308</v>
      </c>
      <c r="I709" s="190">
        <v>3450.6</v>
      </c>
      <c r="J709" s="190">
        <v>3118.5</v>
      </c>
      <c r="K709" s="190">
        <v>3118.5</v>
      </c>
      <c r="L709" s="219">
        <v>32</v>
      </c>
      <c r="M709" s="217" t="s">
        <v>265</v>
      </c>
      <c r="N709" s="217" t="s">
        <v>269</v>
      </c>
      <c r="O709" s="220" t="s">
        <v>1352</v>
      </c>
      <c r="P709" s="190">
        <v>3057001.3899999997</v>
      </c>
      <c r="Q709" s="190">
        <v>0</v>
      </c>
      <c r="R709" s="190">
        <v>0</v>
      </c>
      <c r="S709" s="190">
        <f t="shared" si="75"/>
        <v>3057001.3899999997</v>
      </c>
      <c r="T709" s="190">
        <f t="shared" si="74"/>
        <v>885.93328406653904</v>
      </c>
      <c r="U709" s="190">
        <v>1185.2786211093721</v>
      </c>
      <c r="V709" s="221">
        <f t="shared" si="78"/>
        <v>299.34533704283308</v>
      </c>
      <c r="W709" s="221">
        <f t="shared" si="76"/>
        <v>8343.4424447922102</v>
      </c>
      <c r="X709" s="221">
        <v>0</v>
      </c>
      <c r="Y709" s="222">
        <v>0</v>
      </c>
      <c r="Z709" s="222">
        <v>0</v>
      </c>
      <c r="AA709" s="222">
        <v>0</v>
      </c>
      <c r="AB709" s="222">
        <v>0</v>
      </c>
      <c r="AC709" s="222">
        <v>0</v>
      </c>
      <c r="AD709" s="222">
        <v>0</v>
      </c>
      <c r="AE709" s="222">
        <v>0</v>
      </c>
      <c r="AF709" s="221">
        <v>0</v>
      </c>
      <c r="AG709" s="222">
        <v>0</v>
      </c>
      <c r="AH709" s="221">
        <v>0</v>
      </c>
      <c r="AI709" s="222">
        <v>0</v>
      </c>
      <c r="AJ709" s="221">
        <v>0</v>
      </c>
      <c r="AK709" s="222">
        <v>375</v>
      </c>
      <c r="AL709" s="221">
        <f>76773.02*AK709/I709</f>
        <v>8343.4424447922102</v>
      </c>
      <c r="AM709" s="222">
        <v>0</v>
      </c>
      <c r="AN709" s="222"/>
      <c r="AO709" s="222">
        <v>0</v>
      </c>
    </row>
    <row r="710" spans="1:41" s="223" customFormat="1" ht="36" customHeight="1" x14ac:dyDescent="0.25">
      <c r="A710" s="223">
        <v>1</v>
      </c>
      <c r="B710" s="225">
        <f>SUBTOTAL(103,$A$552:A710)</f>
        <v>157</v>
      </c>
      <c r="C710" s="215" t="s">
        <v>1871</v>
      </c>
      <c r="D710" s="217">
        <v>1974</v>
      </c>
      <c r="E710" s="217"/>
      <c r="F710" s="226" t="s">
        <v>267</v>
      </c>
      <c r="G710" s="217">
        <v>5</v>
      </c>
      <c r="H710" s="217" t="s">
        <v>371</v>
      </c>
      <c r="I710" s="190">
        <v>4544.2</v>
      </c>
      <c r="J710" s="190">
        <v>4544.2</v>
      </c>
      <c r="K710" s="190">
        <v>3002.6</v>
      </c>
      <c r="L710" s="219">
        <v>207</v>
      </c>
      <c r="M710" s="217" t="s">
        <v>265</v>
      </c>
      <c r="N710" s="217" t="s">
        <v>269</v>
      </c>
      <c r="O710" s="220" t="s">
        <v>987</v>
      </c>
      <c r="P710" s="190">
        <v>3368416.68</v>
      </c>
      <c r="Q710" s="190">
        <v>0</v>
      </c>
      <c r="R710" s="190">
        <v>0</v>
      </c>
      <c r="S710" s="190">
        <f t="shared" si="75"/>
        <v>3368416.68</v>
      </c>
      <c r="T710" s="190">
        <f t="shared" si="74"/>
        <v>741.25625632674621</v>
      </c>
      <c r="U710" s="190">
        <v>810.46</v>
      </c>
      <c r="V710" s="221">
        <f t="shared" si="78"/>
        <v>69.203743673253825</v>
      </c>
      <c r="W710" s="221">
        <f t="shared" si="76"/>
        <v>795.31</v>
      </c>
      <c r="X710" s="221">
        <v>0</v>
      </c>
      <c r="Y710" s="222">
        <v>0</v>
      </c>
      <c r="Z710" s="222">
        <v>0</v>
      </c>
      <c r="AA710" s="222">
        <v>0</v>
      </c>
      <c r="AB710" s="222">
        <v>795.31</v>
      </c>
      <c r="AC710" s="222">
        <v>0</v>
      </c>
      <c r="AD710" s="222">
        <v>0</v>
      </c>
      <c r="AE710" s="222">
        <v>0</v>
      </c>
      <c r="AF710" s="221">
        <v>0</v>
      </c>
      <c r="AG710" s="222">
        <v>0</v>
      </c>
      <c r="AH710" s="221">
        <v>0</v>
      </c>
      <c r="AI710" s="222">
        <v>0</v>
      </c>
      <c r="AJ710" s="221">
        <v>0</v>
      </c>
      <c r="AK710" s="222">
        <v>0</v>
      </c>
      <c r="AL710" s="222">
        <v>0</v>
      </c>
      <c r="AM710" s="222">
        <v>0</v>
      </c>
      <c r="AN710" s="222"/>
      <c r="AO710" s="222">
        <v>0</v>
      </c>
    </row>
    <row r="711" spans="1:41" s="223" customFormat="1" ht="36" customHeight="1" x14ac:dyDescent="0.25">
      <c r="A711" s="223">
        <v>1</v>
      </c>
      <c r="B711" s="225">
        <f>SUBTOTAL(103,$A$552:A711)</f>
        <v>158</v>
      </c>
      <c r="C711" s="215" t="s">
        <v>1157</v>
      </c>
      <c r="D711" s="217">
        <v>1959</v>
      </c>
      <c r="E711" s="217"/>
      <c r="F711" s="226" t="s">
        <v>1571</v>
      </c>
      <c r="G711" s="217" t="s">
        <v>308</v>
      </c>
      <c r="H711" s="217" t="s">
        <v>303</v>
      </c>
      <c r="I711" s="218">
        <v>1378.1</v>
      </c>
      <c r="J711" s="218">
        <v>1378.1</v>
      </c>
      <c r="K711" s="218">
        <v>1378.1</v>
      </c>
      <c r="L711" s="219">
        <v>83</v>
      </c>
      <c r="M711" s="217" t="s">
        <v>265</v>
      </c>
      <c r="N711" s="217" t="s">
        <v>266</v>
      </c>
      <c r="O711" s="220" t="s">
        <v>268</v>
      </c>
      <c r="P711" s="190">
        <v>375226.5</v>
      </c>
      <c r="Q711" s="190">
        <v>0</v>
      </c>
      <c r="R711" s="190">
        <v>0</v>
      </c>
      <c r="S711" s="190">
        <f t="shared" si="75"/>
        <v>375226.5</v>
      </c>
      <c r="T711" s="190">
        <f t="shared" si="74"/>
        <v>272.27813656483568</v>
      </c>
      <c r="U711" s="190">
        <v>810.46</v>
      </c>
      <c r="V711" s="221">
        <f t="shared" si="78"/>
        <v>538.18186343516436</v>
      </c>
      <c r="W711" s="221">
        <f>T711</f>
        <v>272.27813656483568</v>
      </c>
      <c r="X711" s="221">
        <v>0</v>
      </c>
      <c r="Y711" s="222">
        <v>0</v>
      </c>
      <c r="Z711" s="222">
        <v>0</v>
      </c>
      <c r="AA711" s="222">
        <v>0</v>
      </c>
      <c r="AB711" s="222">
        <v>0</v>
      </c>
      <c r="AC711" s="222">
        <v>0</v>
      </c>
      <c r="AD711" s="222">
        <v>0</v>
      </c>
      <c r="AE711" s="222">
        <v>0</v>
      </c>
      <c r="AF711" s="221">
        <v>0</v>
      </c>
      <c r="AG711" s="222">
        <v>0</v>
      </c>
      <c r="AH711" s="221">
        <v>0</v>
      </c>
      <c r="AI711" s="222">
        <v>0</v>
      </c>
      <c r="AJ711" s="221">
        <v>0</v>
      </c>
      <c r="AK711" s="222">
        <v>0</v>
      </c>
      <c r="AL711" s="222">
        <v>0</v>
      </c>
      <c r="AM711" s="222">
        <v>0</v>
      </c>
      <c r="AN711" s="222"/>
      <c r="AO711" s="222">
        <v>0</v>
      </c>
    </row>
    <row r="712" spans="1:41" s="223" customFormat="1" ht="36" customHeight="1" x14ac:dyDescent="0.25">
      <c r="A712" s="223">
        <v>1</v>
      </c>
      <c r="B712" s="225">
        <f>SUBTOTAL(103,$A$552:A712)</f>
        <v>159</v>
      </c>
      <c r="C712" s="215" t="s">
        <v>1158</v>
      </c>
      <c r="D712" s="217">
        <v>1963</v>
      </c>
      <c r="E712" s="217"/>
      <c r="F712" s="226" t="s">
        <v>1571</v>
      </c>
      <c r="G712" s="217" t="s">
        <v>303</v>
      </c>
      <c r="H712" s="217" t="s">
        <v>303</v>
      </c>
      <c r="I712" s="218">
        <v>623.29999999999995</v>
      </c>
      <c r="J712" s="218">
        <v>623.29999999999995</v>
      </c>
      <c r="K712" s="218">
        <v>623.29999999999995</v>
      </c>
      <c r="L712" s="219">
        <v>32</v>
      </c>
      <c r="M712" s="217" t="s">
        <v>265</v>
      </c>
      <c r="N712" s="217" t="s">
        <v>266</v>
      </c>
      <c r="O712" s="220" t="s">
        <v>268</v>
      </c>
      <c r="P712" s="190">
        <v>160103.5</v>
      </c>
      <c r="Q712" s="190">
        <v>0</v>
      </c>
      <c r="R712" s="190">
        <v>0</v>
      </c>
      <c r="S712" s="190">
        <f t="shared" si="75"/>
        <v>160103.5</v>
      </c>
      <c r="T712" s="190">
        <f t="shared" si="74"/>
        <v>256.86427081662123</v>
      </c>
      <c r="U712" s="190">
        <v>810.46</v>
      </c>
      <c r="V712" s="221">
        <f t="shared" si="78"/>
        <v>553.59572918337881</v>
      </c>
      <c r="W712" s="221">
        <f>T712</f>
        <v>256.86427081662123</v>
      </c>
      <c r="X712" s="221">
        <v>0</v>
      </c>
      <c r="Y712" s="222">
        <v>0</v>
      </c>
      <c r="Z712" s="222">
        <v>0</v>
      </c>
      <c r="AA712" s="222">
        <v>0</v>
      </c>
      <c r="AB712" s="222">
        <v>0</v>
      </c>
      <c r="AC712" s="222">
        <v>0</v>
      </c>
      <c r="AD712" s="222">
        <v>0</v>
      </c>
      <c r="AE712" s="222">
        <v>0</v>
      </c>
      <c r="AF712" s="221">
        <v>0</v>
      </c>
      <c r="AG712" s="222">
        <v>0</v>
      </c>
      <c r="AH712" s="221">
        <v>0</v>
      </c>
      <c r="AI712" s="222">
        <v>0</v>
      </c>
      <c r="AJ712" s="221">
        <v>0</v>
      </c>
      <c r="AK712" s="222">
        <v>0</v>
      </c>
      <c r="AL712" s="222">
        <v>0</v>
      </c>
      <c r="AM712" s="222">
        <v>0</v>
      </c>
      <c r="AN712" s="222"/>
      <c r="AO712" s="222">
        <v>0</v>
      </c>
    </row>
    <row r="713" spans="1:41" s="223" customFormat="1" ht="36" customHeight="1" x14ac:dyDescent="0.25">
      <c r="A713" s="223">
        <v>1</v>
      </c>
      <c r="B713" s="225">
        <f>SUBTOTAL(103,$A$552:A713)</f>
        <v>160</v>
      </c>
      <c r="C713" s="215" t="s">
        <v>2306</v>
      </c>
      <c r="D713" s="217">
        <v>1956</v>
      </c>
      <c r="E713" s="217"/>
      <c r="F713" s="226" t="s">
        <v>267</v>
      </c>
      <c r="G713" s="217">
        <v>2</v>
      </c>
      <c r="H713" s="217">
        <v>2</v>
      </c>
      <c r="I713" s="218">
        <v>783.5</v>
      </c>
      <c r="J713" s="218">
        <v>466.8</v>
      </c>
      <c r="K713" s="218">
        <v>466.8</v>
      </c>
      <c r="L713" s="219">
        <v>31</v>
      </c>
      <c r="M713" s="217" t="s">
        <v>265</v>
      </c>
      <c r="N713" s="217" t="s">
        <v>266</v>
      </c>
      <c r="O713" s="220" t="s">
        <v>268</v>
      </c>
      <c r="P713" s="190">
        <v>3910820.76</v>
      </c>
      <c r="Q713" s="190">
        <v>0</v>
      </c>
      <c r="R713" s="190">
        <v>0</v>
      </c>
      <c r="S713" s="190">
        <f t="shared" si="75"/>
        <v>3910820.76</v>
      </c>
      <c r="T713" s="190">
        <f t="shared" si="74"/>
        <v>4991.4751244416075</v>
      </c>
      <c r="U713" s="190">
        <v>6976.9853222718566</v>
      </c>
      <c r="V713" s="221">
        <f t="shared" si="78"/>
        <v>1985.5101978302491</v>
      </c>
      <c r="W713" s="221">
        <f>T713</f>
        <v>4991.4751244416075</v>
      </c>
      <c r="X713" s="221">
        <v>0</v>
      </c>
      <c r="Y713" s="222">
        <v>0</v>
      </c>
      <c r="Z713" s="222">
        <v>0</v>
      </c>
      <c r="AA713" s="222">
        <v>0</v>
      </c>
      <c r="AB713" s="222">
        <v>0</v>
      </c>
      <c r="AC713" s="222">
        <v>0</v>
      </c>
      <c r="AD713" s="222">
        <v>0</v>
      </c>
      <c r="AE713" s="222">
        <v>0</v>
      </c>
      <c r="AF713" s="221">
        <v>0</v>
      </c>
      <c r="AG713" s="222">
        <v>0</v>
      </c>
      <c r="AH713" s="221">
        <v>0</v>
      </c>
      <c r="AI713" s="222">
        <v>0</v>
      </c>
      <c r="AJ713" s="221">
        <v>0</v>
      </c>
      <c r="AK713" s="222">
        <v>0</v>
      </c>
      <c r="AL713" s="222">
        <v>0</v>
      </c>
      <c r="AM713" s="222">
        <v>0</v>
      </c>
      <c r="AN713" s="222"/>
      <c r="AO713" s="222">
        <v>0</v>
      </c>
    </row>
    <row r="714" spans="1:41" s="223" customFormat="1" ht="36" customHeight="1" x14ac:dyDescent="0.25">
      <c r="A714" s="223">
        <v>1</v>
      </c>
      <c r="B714" s="225">
        <f>SUBTOTAL(103,$A$552:A714)</f>
        <v>161</v>
      </c>
      <c r="C714" s="215" t="s">
        <v>2305</v>
      </c>
      <c r="D714" s="217">
        <v>1954</v>
      </c>
      <c r="E714" s="217"/>
      <c r="F714" s="226" t="s">
        <v>267</v>
      </c>
      <c r="G714" s="217">
        <v>2</v>
      </c>
      <c r="H714" s="217">
        <v>2</v>
      </c>
      <c r="I714" s="218">
        <v>972.5</v>
      </c>
      <c r="J714" s="218">
        <v>972.5</v>
      </c>
      <c r="K714" s="218">
        <v>514.9</v>
      </c>
      <c r="L714" s="219">
        <v>43</v>
      </c>
      <c r="M714" s="217" t="s">
        <v>265</v>
      </c>
      <c r="N714" s="217" t="s">
        <v>269</v>
      </c>
      <c r="O714" s="220" t="s">
        <v>1515</v>
      </c>
      <c r="P714" s="190">
        <v>3625924.2399999998</v>
      </c>
      <c r="Q714" s="190">
        <v>0</v>
      </c>
      <c r="R714" s="190">
        <v>0</v>
      </c>
      <c r="S714" s="190">
        <f t="shared" si="75"/>
        <v>3625924.2399999998</v>
      </c>
      <c r="T714" s="190">
        <f t="shared" si="74"/>
        <v>3728.4568020565548</v>
      </c>
      <c r="U714" s="190">
        <v>4791.2732133676091</v>
      </c>
      <c r="V714" s="221">
        <f t="shared" si="78"/>
        <v>1062.8164113110543</v>
      </c>
      <c r="W714" s="221">
        <f>T714</f>
        <v>3728.4568020565548</v>
      </c>
      <c r="X714" s="221">
        <v>0</v>
      </c>
      <c r="Y714" s="222">
        <v>0</v>
      </c>
      <c r="Z714" s="222">
        <v>0</v>
      </c>
      <c r="AA714" s="222">
        <v>0</v>
      </c>
      <c r="AB714" s="222">
        <v>0</v>
      </c>
      <c r="AC714" s="222">
        <v>0</v>
      </c>
      <c r="AD714" s="222">
        <v>0</v>
      </c>
      <c r="AE714" s="222">
        <v>0</v>
      </c>
      <c r="AF714" s="221">
        <v>0</v>
      </c>
      <c r="AG714" s="222">
        <v>0</v>
      </c>
      <c r="AH714" s="221">
        <v>0</v>
      </c>
      <c r="AI714" s="222">
        <v>0</v>
      </c>
      <c r="AJ714" s="221">
        <v>0</v>
      </c>
      <c r="AK714" s="222">
        <v>0</v>
      </c>
      <c r="AL714" s="222">
        <v>0</v>
      </c>
      <c r="AM714" s="222">
        <v>0</v>
      </c>
      <c r="AN714" s="222"/>
      <c r="AO714" s="222">
        <v>0</v>
      </c>
    </row>
    <row r="715" spans="1:41" s="223" customFormat="1" ht="36" customHeight="1" x14ac:dyDescent="0.25">
      <c r="A715" s="223">
        <v>1</v>
      </c>
      <c r="B715" s="225">
        <f>SUBTOTAL(103,$A$552:A715)</f>
        <v>162</v>
      </c>
      <c r="C715" s="215" t="s">
        <v>2326</v>
      </c>
      <c r="D715" s="217">
        <v>1994</v>
      </c>
      <c r="E715" s="217"/>
      <c r="F715" s="226" t="s">
        <v>267</v>
      </c>
      <c r="G715" s="217">
        <v>9</v>
      </c>
      <c r="H715" s="217">
        <v>1</v>
      </c>
      <c r="I715" s="218">
        <v>2822.7</v>
      </c>
      <c r="J715" s="218">
        <v>2542.4</v>
      </c>
      <c r="K715" s="218">
        <v>2542.4</v>
      </c>
      <c r="L715" s="219">
        <v>110</v>
      </c>
      <c r="M715" s="217" t="s">
        <v>265</v>
      </c>
      <c r="N715" s="217" t="s">
        <v>269</v>
      </c>
      <c r="O715" s="220" t="s">
        <v>2433</v>
      </c>
      <c r="P715" s="190">
        <v>2457800</v>
      </c>
      <c r="Q715" s="190">
        <v>0</v>
      </c>
      <c r="R715" s="190">
        <v>0</v>
      </c>
      <c r="S715" s="190">
        <f t="shared" si="75"/>
        <v>2457800</v>
      </c>
      <c r="T715" s="190">
        <f t="shared" si="74"/>
        <v>870.72660927480786</v>
      </c>
      <c r="U715" s="190">
        <v>870.72660927480786</v>
      </c>
      <c r="V715" s="221">
        <f>U715-T715</f>
        <v>0</v>
      </c>
      <c r="W715" s="221">
        <f t="shared" ref="W715:W716" si="79">T715</f>
        <v>870.72660927480786</v>
      </c>
      <c r="X715" s="221">
        <v>0</v>
      </c>
      <c r="Y715" s="222">
        <v>0</v>
      </c>
      <c r="Z715" s="222">
        <v>0</v>
      </c>
      <c r="AA715" s="222">
        <v>0</v>
      </c>
      <c r="AB715" s="222">
        <v>0</v>
      </c>
      <c r="AC715" s="222">
        <v>0</v>
      </c>
      <c r="AD715" s="222">
        <v>0</v>
      </c>
      <c r="AE715" s="222">
        <v>0</v>
      </c>
      <c r="AF715" s="221">
        <v>0</v>
      </c>
      <c r="AG715" s="222">
        <v>0</v>
      </c>
      <c r="AH715" s="221">
        <v>0</v>
      </c>
      <c r="AI715" s="222">
        <v>0</v>
      </c>
      <c r="AJ715" s="221">
        <v>0</v>
      </c>
      <c r="AK715" s="222">
        <v>0</v>
      </c>
      <c r="AL715" s="222">
        <v>0</v>
      </c>
      <c r="AM715" s="222">
        <v>0</v>
      </c>
      <c r="AN715" s="222"/>
      <c r="AO715" s="222">
        <v>0</v>
      </c>
    </row>
    <row r="716" spans="1:41" s="223" customFormat="1" ht="36" customHeight="1" x14ac:dyDescent="0.25">
      <c r="A716" s="223">
        <v>1</v>
      </c>
      <c r="B716" s="225">
        <f>SUBTOTAL(103,$A$552:A716)</f>
        <v>163</v>
      </c>
      <c r="C716" s="215" t="s">
        <v>2327</v>
      </c>
      <c r="D716" s="217">
        <v>1988</v>
      </c>
      <c r="E716" s="217"/>
      <c r="F716" s="226" t="s">
        <v>318</v>
      </c>
      <c r="G716" s="217">
        <v>9</v>
      </c>
      <c r="H716" s="217">
        <v>6</v>
      </c>
      <c r="I716" s="218">
        <v>12966</v>
      </c>
      <c r="J716" s="218">
        <v>11544.4</v>
      </c>
      <c r="K716" s="218">
        <v>11529</v>
      </c>
      <c r="L716" s="219">
        <v>510</v>
      </c>
      <c r="M716" s="217" t="s">
        <v>265</v>
      </c>
      <c r="N716" s="217" t="s">
        <v>341</v>
      </c>
      <c r="O716" s="220" t="s">
        <v>2434</v>
      </c>
      <c r="P716" s="190">
        <v>14746800</v>
      </c>
      <c r="Q716" s="190">
        <v>0</v>
      </c>
      <c r="R716" s="190">
        <v>0</v>
      </c>
      <c r="S716" s="190">
        <f t="shared" si="75"/>
        <v>14746800</v>
      </c>
      <c r="T716" s="190">
        <f t="shared" si="74"/>
        <v>1137.3438223044886</v>
      </c>
      <c r="U716" s="190">
        <v>1137.3438223044886</v>
      </c>
      <c r="V716" s="221">
        <f>U716-T716</f>
        <v>0</v>
      </c>
      <c r="W716" s="221">
        <f t="shared" si="79"/>
        <v>1137.3438223044886</v>
      </c>
      <c r="X716" s="221">
        <v>0</v>
      </c>
      <c r="Y716" s="222">
        <v>0</v>
      </c>
      <c r="Z716" s="222">
        <v>0</v>
      </c>
      <c r="AA716" s="222">
        <v>0</v>
      </c>
      <c r="AB716" s="222">
        <v>0</v>
      </c>
      <c r="AC716" s="222">
        <v>0</v>
      </c>
      <c r="AD716" s="222">
        <v>0</v>
      </c>
      <c r="AE716" s="222">
        <v>0</v>
      </c>
      <c r="AF716" s="221">
        <v>0</v>
      </c>
      <c r="AG716" s="222">
        <v>0</v>
      </c>
      <c r="AH716" s="221">
        <v>0</v>
      </c>
      <c r="AI716" s="222">
        <v>0</v>
      </c>
      <c r="AJ716" s="221">
        <v>0</v>
      </c>
      <c r="AK716" s="222">
        <v>0</v>
      </c>
      <c r="AL716" s="222">
        <v>0</v>
      </c>
      <c r="AM716" s="222">
        <v>0</v>
      </c>
      <c r="AN716" s="222"/>
      <c r="AO716" s="222">
        <v>0</v>
      </c>
    </row>
    <row r="717" spans="1:41" s="223" customFormat="1" ht="36" customHeight="1" x14ac:dyDescent="0.25">
      <c r="B717" s="215" t="s">
        <v>760</v>
      </c>
      <c r="C717" s="215"/>
      <c r="D717" s="217" t="s">
        <v>890</v>
      </c>
      <c r="E717" s="217" t="s">
        <v>890</v>
      </c>
      <c r="F717" s="217" t="s">
        <v>890</v>
      </c>
      <c r="G717" s="217" t="s">
        <v>890</v>
      </c>
      <c r="H717" s="217" t="s">
        <v>890</v>
      </c>
      <c r="I717" s="218">
        <f>SUM(I718:I745)</f>
        <v>133121.29999999999</v>
      </c>
      <c r="J717" s="218">
        <f>SUM(J718:J745)</f>
        <v>111710.54000000001</v>
      </c>
      <c r="K717" s="218">
        <f>SUM(K718:K745)</f>
        <v>99309.15</v>
      </c>
      <c r="L717" s="219">
        <f>SUM(L718:L745)</f>
        <v>4121</v>
      </c>
      <c r="M717" s="217" t="s">
        <v>890</v>
      </c>
      <c r="N717" s="217" t="s">
        <v>890</v>
      </c>
      <c r="O717" s="220" t="s">
        <v>890</v>
      </c>
      <c r="P717" s="218">
        <v>160973596.03999999</v>
      </c>
      <c r="Q717" s="218">
        <f>SUM(Q718:Q745)</f>
        <v>0</v>
      </c>
      <c r="R717" s="218">
        <f>SUM(R718:R745)</f>
        <v>0</v>
      </c>
      <c r="S717" s="218">
        <f>SUM(S718:S745)</f>
        <v>160973596.03999999</v>
      </c>
      <c r="T717" s="190">
        <f t="shared" ref="T717:T780" si="80">P717/I717</f>
        <v>1209.2249402612506</v>
      </c>
      <c r="U717" s="190">
        <f>MAX(U718:U745)</f>
        <v>12226.962362065704</v>
      </c>
      <c r="V717" s="221">
        <f t="shared" ref="V717:V779" si="81">U717-T717</f>
        <v>11017.737421804453</v>
      </c>
      <c r="W717" s="221"/>
      <c r="X717" s="221"/>
      <c r="Y717" s="222"/>
      <c r="Z717" s="222"/>
      <c r="AA717" s="222"/>
      <c r="AB717" s="222"/>
      <c r="AC717" s="222"/>
      <c r="AD717" s="222"/>
      <c r="AE717" s="222"/>
      <c r="AF717" s="222"/>
      <c r="AG717" s="222"/>
      <c r="AH717" s="222"/>
      <c r="AI717" s="222"/>
      <c r="AJ717" s="222"/>
      <c r="AK717" s="222"/>
      <c r="AL717" s="222"/>
      <c r="AM717" s="222"/>
      <c r="AN717" s="222"/>
      <c r="AO717" s="222"/>
    </row>
    <row r="718" spans="1:41" s="223" customFormat="1" ht="36" customHeight="1" x14ac:dyDescent="0.25">
      <c r="A718" s="223">
        <v>1</v>
      </c>
      <c r="B718" s="225">
        <f>SUBTOTAL(103,$A$552:A718)</f>
        <v>164</v>
      </c>
      <c r="C718" s="215" t="s">
        <v>773</v>
      </c>
      <c r="D718" s="217">
        <v>1959</v>
      </c>
      <c r="E718" s="217"/>
      <c r="F718" s="226" t="s">
        <v>336</v>
      </c>
      <c r="G718" s="217">
        <v>3</v>
      </c>
      <c r="H718" s="217" t="s">
        <v>303</v>
      </c>
      <c r="I718" s="218">
        <v>1267.5</v>
      </c>
      <c r="J718" s="218">
        <v>1160</v>
      </c>
      <c r="K718" s="218">
        <v>785.9</v>
      </c>
      <c r="L718" s="219">
        <v>31</v>
      </c>
      <c r="M718" s="217" t="s">
        <v>265</v>
      </c>
      <c r="N718" s="217" t="s">
        <v>266</v>
      </c>
      <c r="O718" s="220" t="s">
        <v>268</v>
      </c>
      <c r="P718" s="190">
        <v>3593042</v>
      </c>
      <c r="Q718" s="190">
        <v>0</v>
      </c>
      <c r="R718" s="190">
        <v>0</v>
      </c>
      <c r="S718" s="190">
        <f t="shared" ref="S718:S745" si="82">P718-Q718-R718</f>
        <v>3593042</v>
      </c>
      <c r="T718" s="190">
        <f t="shared" si="80"/>
        <v>2834.7471400394479</v>
      </c>
      <c r="U718" s="190">
        <v>3542.6532544378697</v>
      </c>
      <c r="V718" s="221">
        <f t="shared" si="81"/>
        <v>707.90611439842178</v>
      </c>
      <c r="W718" s="221">
        <f t="shared" ref="W718:W726" si="83">X718+Y718+Z718+AA718+AB718+AD718+AF718+AH718+AJ718+AL718+AN718+AO718</f>
        <v>3396.3297041420115</v>
      </c>
      <c r="X718" s="221">
        <v>0</v>
      </c>
      <c r="Y718" s="222">
        <v>0</v>
      </c>
      <c r="Z718" s="222">
        <v>0</v>
      </c>
      <c r="AA718" s="222">
        <v>0</v>
      </c>
      <c r="AB718" s="222">
        <v>0</v>
      </c>
      <c r="AC718" s="222">
        <v>0</v>
      </c>
      <c r="AD718" s="222">
        <v>0</v>
      </c>
      <c r="AE718" s="222">
        <v>690</v>
      </c>
      <c r="AF718" s="221">
        <f>6238.91*AE718/I718</f>
        <v>3396.3297041420115</v>
      </c>
      <c r="AG718" s="222">
        <v>0</v>
      </c>
      <c r="AH718" s="221">
        <v>0</v>
      </c>
      <c r="AI718" s="222">
        <v>0</v>
      </c>
      <c r="AJ718" s="221">
        <v>0</v>
      </c>
      <c r="AK718" s="222">
        <v>0</v>
      </c>
      <c r="AL718" s="222">
        <v>0</v>
      </c>
      <c r="AM718" s="222">
        <v>0</v>
      </c>
      <c r="AN718" s="222"/>
      <c r="AO718" s="222">
        <v>0</v>
      </c>
    </row>
    <row r="719" spans="1:41" s="223" customFormat="1" ht="36" customHeight="1" x14ac:dyDescent="0.25">
      <c r="A719" s="223">
        <v>1</v>
      </c>
      <c r="B719" s="225">
        <f>SUBTOTAL(103,$A$552:A719)</f>
        <v>165</v>
      </c>
      <c r="C719" s="215" t="s">
        <v>775</v>
      </c>
      <c r="D719" s="217">
        <v>1993</v>
      </c>
      <c r="E719" s="217"/>
      <c r="F719" s="226" t="s">
        <v>318</v>
      </c>
      <c r="G719" s="217">
        <v>9</v>
      </c>
      <c r="H719" s="217" t="s">
        <v>308</v>
      </c>
      <c r="I719" s="218">
        <v>11047.1</v>
      </c>
      <c r="J719" s="218">
        <v>7851.2</v>
      </c>
      <c r="K719" s="218">
        <v>7851.2</v>
      </c>
      <c r="L719" s="219">
        <v>267</v>
      </c>
      <c r="M719" s="217" t="s">
        <v>265</v>
      </c>
      <c r="N719" s="217" t="s">
        <v>269</v>
      </c>
      <c r="O719" s="220" t="s">
        <v>807</v>
      </c>
      <c r="P719" s="190">
        <v>7044713.5700000003</v>
      </c>
      <c r="Q719" s="190">
        <v>0</v>
      </c>
      <c r="R719" s="190">
        <v>0</v>
      </c>
      <c r="S719" s="190">
        <f t="shared" si="82"/>
        <v>7044713.5700000003</v>
      </c>
      <c r="T719" s="190">
        <f t="shared" si="80"/>
        <v>637.69799947497529</v>
      </c>
      <c r="U719" s="190">
        <v>889.93491504557755</v>
      </c>
      <c r="V719" s="221">
        <f t="shared" si="81"/>
        <v>252.23691557060226</v>
      </c>
      <c r="W719" s="221">
        <f t="shared" si="83"/>
        <v>889.93491504557755</v>
      </c>
      <c r="X719" s="221">
        <v>0</v>
      </c>
      <c r="Y719" s="222">
        <v>0</v>
      </c>
      <c r="Z719" s="222">
        <v>0</v>
      </c>
      <c r="AA719" s="222">
        <v>0</v>
      </c>
      <c r="AB719" s="222">
        <v>0</v>
      </c>
      <c r="AC719" s="222">
        <v>4</v>
      </c>
      <c r="AD719" s="221">
        <f>2457800*AC719/I719</f>
        <v>889.93491504557755</v>
      </c>
      <c r="AE719" s="222">
        <v>0</v>
      </c>
      <c r="AF719" s="221">
        <v>0</v>
      </c>
      <c r="AG719" s="222">
        <v>0</v>
      </c>
      <c r="AH719" s="221">
        <v>0</v>
      </c>
      <c r="AI719" s="222">
        <v>0</v>
      </c>
      <c r="AJ719" s="221">
        <v>0</v>
      </c>
      <c r="AK719" s="222">
        <v>0</v>
      </c>
      <c r="AL719" s="222">
        <v>0</v>
      </c>
      <c r="AM719" s="222">
        <v>0</v>
      </c>
      <c r="AN719" s="222"/>
      <c r="AO719" s="222">
        <v>0</v>
      </c>
    </row>
    <row r="720" spans="1:41" s="223" customFormat="1" ht="36" customHeight="1" x14ac:dyDescent="0.25">
      <c r="A720" s="223">
        <v>1</v>
      </c>
      <c r="B720" s="225">
        <f>SUBTOTAL(103,$A720:A$1029)</f>
        <v>245</v>
      </c>
      <c r="C720" s="215" t="s">
        <v>785</v>
      </c>
      <c r="D720" s="217">
        <v>1991</v>
      </c>
      <c r="E720" s="217"/>
      <c r="F720" s="226" t="s">
        <v>318</v>
      </c>
      <c r="G720" s="217">
        <v>9</v>
      </c>
      <c r="H720" s="217" t="s">
        <v>308</v>
      </c>
      <c r="I720" s="218">
        <v>10990.1</v>
      </c>
      <c r="J720" s="218">
        <v>7793.3</v>
      </c>
      <c r="K720" s="218">
        <v>7793.3</v>
      </c>
      <c r="L720" s="219">
        <v>318</v>
      </c>
      <c r="M720" s="217" t="s">
        <v>265</v>
      </c>
      <c r="N720" s="217" t="s">
        <v>269</v>
      </c>
      <c r="O720" s="220" t="s">
        <v>807</v>
      </c>
      <c r="P720" s="190">
        <v>8572796.0600000005</v>
      </c>
      <c r="Q720" s="190">
        <v>0</v>
      </c>
      <c r="R720" s="190">
        <v>0</v>
      </c>
      <c r="S720" s="190">
        <f t="shared" si="82"/>
        <v>8572796.0600000005</v>
      </c>
      <c r="T720" s="190">
        <f t="shared" si="80"/>
        <v>780.04713878854602</v>
      </c>
      <c r="U720" s="190">
        <v>894.55055004049098</v>
      </c>
      <c r="V720" s="221">
        <f t="shared" si="81"/>
        <v>114.50341125194495</v>
      </c>
      <c r="W720" s="221">
        <f t="shared" si="83"/>
        <v>894.55055004049098</v>
      </c>
      <c r="X720" s="221">
        <v>0</v>
      </c>
      <c r="Y720" s="222">
        <v>0</v>
      </c>
      <c r="Z720" s="222">
        <v>0</v>
      </c>
      <c r="AA720" s="222">
        <v>0</v>
      </c>
      <c r="AB720" s="222">
        <v>0</v>
      </c>
      <c r="AC720" s="222">
        <v>4</v>
      </c>
      <c r="AD720" s="221">
        <f>2457800*AC720/I720</f>
        <v>894.55055004049098</v>
      </c>
      <c r="AE720" s="222">
        <v>0</v>
      </c>
      <c r="AF720" s="221">
        <v>0</v>
      </c>
      <c r="AG720" s="222">
        <v>0</v>
      </c>
      <c r="AH720" s="221">
        <v>0</v>
      </c>
      <c r="AI720" s="222">
        <v>0</v>
      </c>
      <c r="AJ720" s="221">
        <v>0</v>
      </c>
      <c r="AK720" s="222">
        <v>0</v>
      </c>
      <c r="AL720" s="222">
        <v>0</v>
      </c>
      <c r="AM720" s="222">
        <v>0</v>
      </c>
      <c r="AN720" s="222"/>
      <c r="AO720" s="222">
        <v>0</v>
      </c>
    </row>
    <row r="721" spans="1:41" s="223" customFormat="1" ht="36" customHeight="1" x14ac:dyDescent="0.25">
      <c r="A721" s="223">
        <v>1</v>
      </c>
      <c r="B721" s="225">
        <f>SUBTOTAL(103,$A$552:A721)</f>
        <v>167</v>
      </c>
      <c r="C721" s="215" t="s">
        <v>1074</v>
      </c>
      <c r="D721" s="217">
        <v>1960</v>
      </c>
      <c r="E721" s="217"/>
      <c r="F721" s="226" t="s">
        <v>267</v>
      </c>
      <c r="G721" s="217">
        <v>3</v>
      </c>
      <c r="H721" s="217" t="s">
        <v>303</v>
      </c>
      <c r="I721" s="218">
        <v>1377.9</v>
      </c>
      <c r="J721" s="218">
        <v>966.6</v>
      </c>
      <c r="K721" s="218">
        <v>764.1</v>
      </c>
      <c r="L721" s="219">
        <v>28</v>
      </c>
      <c r="M721" s="217" t="s">
        <v>265</v>
      </c>
      <c r="N721" s="217" t="s">
        <v>266</v>
      </c>
      <c r="O721" s="220" t="s">
        <v>268</v>
      </c>
      <c r="P721" s="190">
        <v>2932000</v>
      </c>
      <c r="Q721" s="190">
        <v>0</v>
      </c>
      <c r="R721" s="190">
        <v>0</v>
      </c>
      <c r="S721" s="190">
        <f t="shared" si="82"/>
        <v>2932000</v>
      </c>
      <c r="T721" s="190">
        <f t="shared" si="80"/>
        <v>2127.8757529573986</v>
      </c>
      <c r="U721" s="190">
        <v>2786.5178895420568</v>
      </c>
      <c r="V721" s="221">
        <f t="shared" si="81"/>
        <v>658.64213658465815</v>
      </c>
      <c r="W721" s="221">
        <f t="shared" si="83"/>
        <v>2671.4252848537626</v>
      </c>
      <c r="X721" s="221">
        <v>0</v>
      </c>
      <c r="Y721" s="222">
        <v>0</v>
      </c>
      <c r="Z721" s="222">
        <v>0</v>
      </c>
      <c r="AA721" s="222">
        <v>0</v>
      </c>
      <c r="AB721" s="222">
        <v>0</v>
      </c>
      <c r="AC721" s="222">
        <v>0</v>
      </c>
      <c r="AD721" s="222">
        <v>0</v>
      </c>
      <c r="AE721" s="222">
        <v>590</v>
      </c>
      <c r="AF721" s="221">
        <f>6238.91*AE721/I721</f>
        <v>2671.4252848537626</v>
      </c>
      <c r="AG721" s="222">
        <v>0</v>
      </c>
      <c r="AH721" s="221">
        <v>0</v>
      </c>
      <c r="AI721" s="222">
        <v>0</v>
      </c>
      <c r="AJ721" s="221">
        <v>0</v>
      </c>
      <c r="AK721" s="222">
        <v>0</v>
      </c>
      <c r="AL721" s="222">
        <v>0</v>
      </c>
      <c r="AM721" s="222">
        <v>0</v>
      </c>
      <c r="AN721" s="222"/>
      <c r="AO721" s="222">
        <v>0</v>
      </c>
    </row>
    <row r="722" spans="1:41" s="223" customFormat="1" ht="36" customHeight="1" x14ac:dyDescent="0.25">
      <c r="A722" s="223">
        <v>1</v>
      </c>
      <c r="B722" s="225">
        <f>SUBTOTAL(103,$A$552:A722)</f>
        <v>168</v>
      </c>
      <c r="C722" s="215" t="s">
        <v>778</v>
      </c>
      <c r="D722" s="217">
        <v>1966</v>
      </c>
      <c r="E722" s="217"/>
      <c r="F722" s="226" t="s">
        <v>267</v>
      </c>
      <c r="G722" s="217">
        <v>4</v>
      </c>
      <c r="H722" s="217" t="s">
        <v>308</v>
      </c>
      <c r="I722" s="218">
        <v>3436.5</v>
      </c>
      <c r="J722" s="218">
        <v>2673</v>
      </c>
      <c r="K722" s="218">
        <v>2483.9</v>
      </c>
      <c r="L722" s="219">
        <v>109</v>
      </c>
      <c r="M722" s="217" t="s">
        <v>265</v>
      </c>
      <c r="N722" s="217" t="s">
        <v>269</v>
      </c>
      <c r="O722" s="220" t="s">
        <v>803</v>
      </c>
      <c r="P722" s="190">
        <v>5743912.0200000005</v>
      </c>
      <c r="Q722" s="190">
        <v>0</v>
      </c>
      <c r="R722" s="190">
        <v>0</v>
      </c>
      <c r="S722" s="190">
        <f t="shared" si="82"/>
        <v>5743912.0200000005</v>
      </c>
      <c r="T722" s="190">
        <f t="shared" si="80"/>
        <v>1671.4424618070714</v>
      </c>
      <c r="U722" s="190">
        <v>2185.3297832096609</v>
      </c>
      <c r="V722" s="221">
        <f t="shared" si="81"/>
        <v>513.88732140258958</v>
      </c>
      <c r="W722" s="221">
        <f t="shared" si="83"/>
        <v>2095.0682787720061</v>
      </c>
      <c r="X722" s="221">
        <v>0</v>
      </c>
      <c r="Y722" s="222">
        <v>0</v>
      </c>
      <c r="Z722" s="222">
        <v>0</v>
      </c>
      <c r="AA722" s="222">
        <v>0</v>
      </c>
      <c r="AB722" s="222">
        <v>0</v>
      </c>
      <c r="AC722" s="222">
        <v>0</v>
      </c>
      <c r="AD722" s="222">
        <v>0</v>
      </c>
      <c r="AE722" s="222">
        <v>1154</v>
      </c>
      <c r="AF722" s="221">
        <f>6238.91*AE722/I722</f>
        <v>2095.0682787720061</v>
      </c>
      <c r="AG722" s="222">
        <v>0</v>
      </c>
      <c r="AH722" s="221">
        <v>0</v>
      </c>
      <c r="AI722" s="222">
        <v>0</v>
      </c>
      <c r="AJ722" s="221">
        <v>0</v>
      </c>
      <c r="AK722" s="222">
        <v>0</v>
      </c>
      <c r="AL722" s="222">
        <v>0</v>
      </c>
      <c r="AM722" s="222">
        <v>0</v>
      </c>
      <c r="AN722" s="222"/>
      <c r="AO722" s="222">
        <v>0</v>
      </c>
    </row>
    <row r="723" spans="1:41" s="223" customFormat="1" ht="36" customHeight="1" x14ac:dyDescent="0.25">
      <c r="A723" s="223">
        <v>1</v>
      </c>
      <c r="B723" s="225">
        <f>SUBTOTAL(103,$A$552:A723)</f>
        <v>169</v>
      </c>
      <c r="C723" s="215" t="s">
        <v>1599</v>
      </c>
      <c r="D723" s="217">
        <v>1980</v>
      </c>
      <c r="E723" s="217"/>
      <c r="F723" s="226" t="s">
        <v>267</v>
      </c>
      <c r="G723" s="217">
        <v>5</v>
      </c>
      <c r="H723" s="217" t="s">
        <v>304</v>
      </c>
      <c r="I723" s="218">
        <v>2427.5</v>
      </c>
      <c r="J723" s="218">
        <v>2065.6999999999998</v>
      </c>
      <c r="K723" s="218">
        <v>2065.6999999999998</v>
      </c>
      <c r="L723" s="219">
        <v>58</v>
      </c>
      <c r="M723" s="217" t="s">
        <v>265</v>
      </c>
      <c r="N723" s="217" t="s">
        <v>266</v>
      </c>
      <c r="O723" s="220" t="s">
        <v>268</v>
      </c>
      <c r="P723" s="190">
        <v>3890000</v>
      </c>
      <c r="Q723" s="190">
        <v>0</v>
      </c>
      <c r="R723" s="190">
        <v>0</v>
      </c>
      <c r="S723" s="190">
        <f t="shared" si="82"/>
        <v>3890000</v>
      </c>
      <c r="T723" s="190">
        <f t="shared" si="80"/>
        <v>1602.4716786817714</v>
      </c>
      <c r="U723" s="190">
        <v>2085.6809886714727</v>
      </c>
      <c r="V723" s="221">
        <f t="shared" si="81"/>
        <v>483.2093099897013</v>
      </c>
      <c r="W723" s="221">
        <f t="shared" si="83"/>
        <v>1999.5353161688979</v>
      </c>
      <c r="X723" s="221">
        <v>0</v>
      </c>
      <c r="Y723" s="222">
        <v>0</v>
      </c>
      <c r="Z723" s="222">
        <v>0</v>
      </c>
      <c r="AA723" s="222">
        <v>0</v>
      </c>
      <c r="AB723" s="222">
        <v>0</v>
      </c>
      <c r="AC723" s="222">
        <v>0</v>
      </c>
      <c r="AD723" s="222">
        <v>0</v>
      </c>
      <c r="AE723" s="222">
        <v>778</v>
      </c>
      <c r="AF723" s="221">
        <f>6238.91*AE723/I723</f>
        <v>1999.5353161688979</v>
      </c>
      <c r="AG723" s="222">
        <v>0</v>
      </c>
      <c r="AH723" s="221">
        <v>0</v>
      </c>
      <c r="AI723" s="222">
        <v>0</v>
      </c>
      <c r="AJ723" s="221">
        <v>0</v>
      </c>
      <c r="AK723" s="222">
        <v>0</v>
      </c>
      <c r="AL723" s="222">
        <v>0</v>
      </c>
      <c r="AM723" s="222">
        <v>0</v>
      </c>
      <c r="AN723" s="222"/>
      <c r="AO723" s="222">
        <v>0</v>
      </c>
    </row>
    <row r="724" spans="1:41" s="223" customFormat="1" ht="36" customHeight="1" x14ac:dyDescent="0.25">
      <c r="A724" s="223">
        <v>1</v>
      </c>
      <c r="B724" s="225">
        <f>SUBTOTAL(103,$A$552:A724)</f>
        <v>170</v>
      </c>
      <c r="C724" s="215" t="s">
        <v>1166</v>
      </c>
      <c r="D724" s="217">
        <v>1937</v>
      </c>
      <c r="E724" s="217"/>
      <c r="F724" s="226" t="s">
        <v>267</v>
      </c>
      <c r="G724" s="217" t="s">
        <v>308</v>
      </c>
      <c r="H724" s="217" t="s">
        <v>312</v>
      </c>
      <c r="I724" s="190">
        <v>1585.9</v>
      </c>
      <c r="J724" s="190">
        <v>1585.9</v>
      </c>
      <c r="K724" s="190">
        <v>1465.1</v>
      </c>
      <c r="L724" s="219">
        <v>36</v>
      </c>
      <c r="M724" s="217" t="s">
        <v>265</v>
      </c>
      <c r="N724" s="217" t="s">
        <v>266</v>
      </c>
      <c r="O724" s="220" t="s">
        <v>268</v>
      </c>
      <c r="P724" s="190">
        <v>7809146.6200000001</v>
      </c>
      <c r="Q724" s="190">
        <v>0</v>
      </c>
      <c r="R724" s="190">
        <v>0</v>
      </c>
      <c r="S724" s="190">
        <f t="shared" si="82"/>
        <v>7809146.6200000001</v>
      </c>
      <c r="T724" s="190">
        <f t="shared" si="80"/>
        <v>4924.1103600479219</v>
      </c>
      <c r="U724" s="190">
        <v>12226.962362065704</v>
      </c>
      <c r="V724" s="221">
        <f t="shared" si="81"/>
        <v>7302.8520020177821</v>
      </c>
      <c r="W724" s="221">
        <f t="shared" si="83"/>
        <v>12120.693789015701</v>
      </c>
      <c r="X724" s="221">
        <v>0</v>
      </c>
      <c r="Y724" s="222">
        <v>0</v>
      </c>
      <c r="Z724" s="222">
        <v>0</v>
      </c>
      <c r="AA724" s="222">
        <v>0</v>
      </c>
      <c r="AB724" s="222">
        <v>0</v>
      </c>
      <c r="AC724" s="222">
        <v>0</v>
      </c>
      <c r="AD724" s="222">
        <v>0</v>
      </c>
      <c r="AE724" s="222">
        <v>627</v>
      </c>
      <c r="AF724" s="221">
        <f>6238.91*AE724/I724</f>
        <v>2466.6098556024967</v>
      </c>
      <c r="AG724" s="222">
        <v>0</v>
      </c>
      <c r="AH724" s="221">
        <v>0</v>
      </c>
      <c r="AI724" s="222">
        <v>2058.1</v>
      </c>
      <c r="AJ724" s="221">
        <f>7439.1*AI724/I724</f>
        <v>9654.0839334132033</v>
      </c>
      <c r="AK724" s="222">
        <v>0</v>
      </c>
      <c r="AL724" s="222">
        <v>0</v>
      </c>
      <c r="AM724" s="222">
        <v>0</v>
      </c>
      <c r="AN724" s="222"/>
      <c r="AO724" s="222">
        <v>0</v>
      </c>
    </row>
    <row r="725" spans="1:41" s="223" customFormat="1" ht="36" customHeight="1" x14ac:dyDescent="0.25">
      <c r="A725" s="223">
        <v>1</v>
      </c>
      <c r="B725" s="225">
        <f>SUBTOTAL(103,$A$552:A725)</f>
        <v>171</v>
      </c>
      <c r="C725" s="215" t="s">
        <v>770</v>
      </c>
      <c r="D725" s="217">
        <v>1962</v>
      </c>
      <c r="E725" s="217"/>
      <c r="F725" s="226" t="s">
        <v>267</v>
      </c>
      <c r="G725" s="217">
        <v>6</v>
      </c>
      <c r="H725" s="217" t="s">
        <v>351</v>
      </c>
      <c r="I725" s="190">
        <v>5489.1</v>
      </c>
      <c r="J725" s="190">
        <v>4500.5</v>
      </c>
      <c r="K725" s="190">
        <v>4154.3</v>
      </c>
      <c r="L725" s="219">
        <v>130</v>
      </c>
      <c r="M725" s="217" t="s">
        <v>265</v>
      </c>
      <c r="N725" s="217" t="s">
        <v>269</v>
      </c>
      <c r="O725" s="220" t="s">
        <v>806</v>
      </c>
      <c r="P725" s="190">
        <v>6242250</v>
      </c>
      <c r="Q725" s="190">
        <v>0</v>
      </c>
      <c r="R725" s="190">
        <v>0</v>
      </c>
      <c r="S725" s="190">
        <f t="shared" si="82"/>
        <v>6242250</v>
      </c>
      <c r="T725" s="190">
        <f t="shared" si="80"/>
        <v>1137.208285511286</v>
      </c>
      <c r="U725" s="190">
        <v>1499.4820272357945</v>
      </c>
      <c r="V725" s="221">
        <f t="shared" si="81"/>
        <v>362.27374172450845</v>
      </c>
      <c r="W725" s="221">
        <f t="shared" si="83"/>
        <v>1499.4820272357945</v>
      </c>
      <c r="X725" s="221">
        <v>0</v>
      </c>
      <c r="Y725" s="222">
        <v>0</v>
      </c>
      <c r="Z725" s="222">
        <v>0</v>
      </c>
      <c r="AA725" s="222">
        <v>0</v>
      </c>
      <c r="AB725" s="222">
        <v>0</v>
      </c>
      <c r="AC725" s="222">
        <v>0</v>
      </c>
      <c r="AD725" s="222">
        <v>0</v>
      </c>
      <c r="AE725" s="222">
        <v>1319.27</v>
      </c>
      <c r="AF725" s="221">
        <f>6238.91*AE725/I725</f>
        <v>1499.4820272357945</v>
      </c>
      <c r="AG725" s="222">
        <v>0</v>
      </c>
      <c r="AH725" s="221">
        <v>0</v>
      </c>
      <c r="AI725" s="222">
        <v>0</v>
      </c>
      <c r="AJ725" s="221">
        <v>0</v>
      </c>
      <c r="AK725" s="222">
        <v>0</v>
      </c>
      <c r="AL725" s="222">
        <v>0</v>
      </c>
      <c r="AM725" s="222">
        <v>0</v>
      </c>
      <c r="AN725" s="222"/>
      <c r="AO725" s="222">
        <v>0</v>
      </c>
    </row>
    <row r="726" spans="1:41" s="223" customFormat="1" ht="36" customHeight="1" x14ac:dyDescent="0.25">
      <c r="A726" s="223">
        <v>1</v>
      </c>
      <c r="B726" s="225">
        <f>SUBTOTAL(103,$A$552:A726)</f>
        <v>172</v>
      </c>
      <c r="C726" s="215" t="s">
        <v>1163</v>
      </c>
      <c r="D726" s="217">
        <v>1937</v>
      </c>
      <c r="E726" s="217"/>
      <c r="F726" s="226" t="s">
        <v>267</v>
      </c>
      <c r="G726" s="217" t="s">
        <v>308</v>
      </c>
      <c r="H726" s="217" t="s">
        <v>308</v>
      </c>
      <c r="I726" s="190">
        <v>2626</v>
      </c>
      <c r="J726" s="190">
        <v>2536</v>
      </c>
      <c r="K726" s="190">
        <v>2536</v>
      </c>
      <c r="L726" s="219">
        <v>96</v>
      </c>
      <c r="M726" s="217" t="s">
        <v>265</v>
      </c>
      <c r="N726" s="217" t="s">
        <v>269</v>
      </c>
      <c r="O726" s="220" t="s">
        <v>810</v>
      </c>
      <c r="P726" s="190">
        <v>2332950.83</v>
      </c>
      <c r="Q726" s="190">
        <v>0</v>
      </c>
      <c r="R726" s="190">
        <v>0</v>
      </c>
      <c r="S726" s="190">
        <f t="shared" si="82"/>
        <v>2332950.83</v>
      </c>
      <c r="T726" s="190">
        <f t="shared" si="80"/>
        <v>888.40473343488202</v>
      </c>
      <c r="U726" s="190">
        <v>3925.04</v>
      </c>
      <c r="V726" s="221">
        <f t="shared" si="81"/>
        <v>3036.6352665651179</v>
      </c>
      <c r="W726" s="221">
        <f t="shared" si="83"/>
        <v>3546.19</v>
      </c>
      <c r="X726" s="221">
        <v>101.55</v>
      </c>
      <c r="Y726" s="222">
        <v>0</v>
      </c>
      <c r="Z726" s="222">
        <v>3259.66</v>
      </c>
      <c r="AA726" s="222">
        <v>184.98</v>
      </c>
      <c r="AB726" s="222">
        <v>0</v>
      </c>
      <c r="AC726" s="222">
        <v>0</v>
      </c>
      <c r="AD726" s="222">
        <v>0</v>
      </c>
      <c r="AE726" s="222">
        <v>0</v>
      </c>
      <c r="AF726" s="221">
        <v>0</v>
      </c>
      <c r="AG726" s="222">
        <v>0</v>
      </c>
      <c r="AH726" s="221">
        <v>0</v>
      </c>
      <c r="AI726" s="222">
        <v>0</v>
      </c>
      <c r="AJ726" s="221">
        <v>0</v>
      </c>
      <c r="AK726" s="222">
        <v>0</v>
      </c>
      <c r="AL726" s="222">
        <v>0</v>
      </c>
      <c r="AM726" s="222">
        <v>0</v>
      </c>
      <c r="AN726" s="222"/>
      <c r="AO726" s="222">
        <v>0</v>
      </c>
    </row>
    <row r="727" spans="1:41" s="223" customFormat="1" ht="36" customHeight="1" x14ac:dyDescent="0.25">
      <c r="A727" s="223">
        <v>1</v>
      </c>
      <c r="B727" s="225">
        <f>SUBTOTAL(103,$A$552:A727)</f>
        <v>173</v>
      </c>
      <c r="C727" s="215" t="s">
        <v>761</v>
      </c>
      <c r="D727" s="217">
        <v>1960</v>
      </c>
      <c r="E727" s="217"/>
      <c r="F727" s="226" t="s">
        <v>267</v>
      </c>
      <c r="G727" s="217">
        <v>4</v>
      </c>
      <c r="H727" s="217" t="s">
        <v>312</v>
      </c>
      <c r="I727" s="218">
        <v>2116.5</v>
      </c>
      <c r="J727" s="218">
        <v>1931.2</v>
      </c>
      <c r="K727" s="218">
        <v>1680.5</v>
      </c>
      <c r="L727" s="219">
        <v>73</v>
      </c>
      <c r="M727" s="217" t="s">
        <v>265</v>
      </c>
      <c r="N727" s="217" t="s">
        <v>269</v>
      </c>
      <c r="O727" s="220" t="s">
        <v>801</v>
      </c>
      <c r="P727" s="190">
        <v>7947350.3199999994</v>
      </c>
      <c r="Q727" s="190">
        <v>0</v>
      </c>
      <c r="R727" s="190">
        <v>0</v>
      </c>
      <c r="S727" s="190">
        <f>P727-Q727-R727</f>
        <v>7947350.3199999994</v>
      </c>
      <c r="T727" s="190">
        <f t="shared" si="80"/>
        <v>3754.9493597921091</v>
      </c>
      <c r="U727" s="190">
        <v>4927.7666902905748</v>
      </c>
      <c r="V727" s="221">
        <f>U727-T727</f>
        <v>1172.8173304984657</v>
      </c>
      <c r="W727" s="221">
        <f>T727</f>
        <v>3754.9493597921091</v>
      </c>
      <c r="X727" s="221">
        <v>0</v>
      </c>
      <c r="Y727" s="222">
        <v>0</v>
      </c>
      <c r="Z727" s="222">
        <v>0</v>
      </c>
      <c r="AA727" s="222">
        <v>0</v>
      </c>
      <c r="AB727" s="222">
        <v>0</v>
      </c>
      <c r="AC727" s="222">
        <v>0</v>
      </c>
      <c r="AD727" s="222">
        <v>0</v>
      </c>
      <c r="AE727" s="222">
        <v>0</v>
      </c>
      <c r="AF727" s="221">
        <v>0</v>
      </c>
      <c r="AG727" s="222">
        <v>0</v>
      </c>
      <c r="AH727" s="221">
        <v>0</v>
      </c>
      <c r="AI727" s="222">
        <v>0</v>
      </c>
      <c r="AJ727" s="221">
        <v>0</v>
      </c>
      <c r="AK727" s="222">
        <v>0</v>
      </c>
      <c r="AL727" s="222">
        <v>0</v>
      </c>
      <c r="AM727" s="222">
        <v>0</v>
      </c>
      <c r="AN727" s="222"/>
      <c r="AO727" s="222">
        <v>0</v>
      </c>
    </row>
    <row r="728" spans="1:41" s="223" customFormat="1" ht="36" customHeight="1" x14ac:dyDescent="0.25">
      <c r="A728" s="223">
        <v>1</v>
      </c>
      <c r="B728" s="225">
        <f>SUBTOTAL(103,$A$552:A728)</f>
        <v>174</v>
      </c>
      <c r="C728" s="215" t="s">
        <v>763</v>
      </c>
      <c r="D728" s="217">
        <v>1961</v>
      </c>
      <c r="E728" s="217"/>
      <c r="F728" s="226" t="s">
        <v>267</v>
      </c>
      <c r="G728" s="217">
        <v>2</v>
      </c>
      <c r="H728" s="217" t="s">
        <v>304</v>
      </c>
      <c r="I728" s="218">
        <v>296.39999999999998</v>
      </c>
      <c r="J728" s="218">
        <v>275.5</v>
      </c>
      <c r="K728" s="218">
        <v>275.5</v>
      </c>
      <c r="L728" s="219">
        <v>8</v>
      </c>
      <c r="M728" s="217" t="s">
        <v>265</v>
      </c>
      <c r="N728" s="217" t="s">
        <v>269</v>
      </c>
      <c r="O728" s="220" t="s">
        <v>802</v>
      </c>
      <c r="P728" s="190">
        <v>1157978.8500000001</v>
      </c>
      <c r="Q728" s="190">
        <v>0</v>
      </c>
      <c r="R728" s="190">
        <v>0</v>
      </c>
      <c r="S728" s="190">
        <f>P728-Q728-R728</f>
        <v>1157978.8500000001</v>
      </c>
      <c r="T728" s="190">
        <f t="shared" si="80"/>
        <v>3906.8112348178142</v>
      </c>
      <c r="U728" s="190">
        <v>5818.2877867746292</v>
      </c>
      <c r="V728" s="221">
        <f>U728-T728</f>
        <v>1911.476551956815</v>
      </c>
      <c r="W728" s="221">
        <f>T728</f>
        <v>3906.8112348178142</v>
      </c>
      <c r="X728" s="221">
        <v>0</v>
      </c>
      <c r="Y728" s="222">
        <v>0</v>
      </c>
      <c r="Z728" s="222">
        <v>0</v>
      </c>
      <c r="AA728" s="222">
        <v>0</v>
      </c>
      <c r="AB728" s="222">
        <v>0</v>
      </c>
      <c r="AC728" s="222">
        <v>0</v>
      </c>
      <c r="AD728" s="222">
        <v>0</v>
      </c>
      <c r="AE728" s="222">
        <v>0</v>
      </c>
      <c r="AF728" s="221">
        <v>0</v>
      </c>
      <c r="AG728" s="222">
        <v>0</v>
      </c>
      <c r="AH728" s="221">
        <v>0</v>
      </c>
      <c r="AI728" s="222">
        <v>0</v>
      </c>
      <c r="AJ728" s="221">
        <v>0</v>
      </c>
      <c r="AK728" s="222">
        <v>0</v>
      </c>
      <c r="AL728" s="222">
        <v>0</v>
      </c>
      <c r="AM728" s="222">
        <v>0</v>
      </c>
      <c r="AN728" s="222"/>
      <c r="AO728" s="222">
        <v>0</v>
      </c>
    </row>
    <row r="729" spans="1:41" s="223" customFormat="1" ht="36" customHeight="1" x14ac:dyDescent="0.25">
      <c r="A729" s="223">
        <v>1</v>
      </c>
      <c r="B729" s="225">
        <f>SUBTOTAL(103,$A$552:A729)</f>
        <v>175</v>
      </c>
      <c r="C729" s="215" t="s">
        <v>768</v>
      </c>
      <c r="D729" s="217">
        <v>1937</v>
      </c>
      <c r="E729" s="217"/>
      <c r="F729" s="226" t="s">
        <v>267</v>
      </c>
      <c r="G729" s="217">
        <v>3</v>
      </c>
      <c r="H729" s="217" t="s">
        <v>308</v>
      </c>
      <c r="I729" s="218">
        <v>2718</v>
      </c>
      <c r="J729" s="218">
        <v>2039</v>
      </c>
      <c r="K729" s="218">
        <v>2039</v>
      </c>
      <c r="L729" s="219">
        <v>62</v>
      </c>
      <c r="M729" s="217" t="s">
        <v>265</v>
      </c>
      <c r="N729" s="217" t="s">
        <v>269</v>
      </c>
      <c r="O729" s="220" t="s">
        <v>805</v>
      </c>
      <c r="P729" s="190">
        <v>9310459.7000000011</v>
      </c>
      <c r="Q729" s="190">
        <v>0</v>
      </c>
      <c r="R729" s="190">
        <v>0</v>
      </c>
      <c r="S729" s="190">
        <f t="shared" si="82"/>
        <v>9310459.7000000011</v>
      </c>
      <c r="T729" s="190">
        <f t="shared" si="80"/>
        <v>3425.4818616629877</v>
      </c>
      <c r="U729" s="190">
        <v>4735.5</v>
      </c>
      <c r="V729" s="221">
        <f t="shared" si="81"/>
        <v>1310.0181383370123</v>
      </c>
      <c r="W729" s="221">
        <f t="shared" ref="W729:W745" si="84">T729</f>
        <v>3425.4818616629877</v>
      </c>
      <c r="X729" s="221">
        <v>0</v>
      </c>
      <c r="Y729" s="222">
        <v>0</v>
      </c>
      <c r="Z729" s="222">
        <v>0</v>
      </c>
      <c r="AA729" s="222">
        <v>0</v>
      </c>
      <c r="AB729" s="222">
        <v>0</v>
      </c>
      <c r="AC729" s="222">
        <v>0</v>
      </c>
      <c r="AD729" s="222">
        <v>0</v>
      </c>
      <c r="AE729" s="222">
        <v>0</v>
      </c>
      <c r="AF729" s="221">
        <v>0</v>
      </c>
      <c r="AG729" s="222">
        <v>0</v>
      </c>
      <c r="AH729" s="221">
        <v>0</v>
      </c>
      <c r="AI729" s="222">
        <v>0</v>
      </c>
      <c r="AJ729" s="221">
        <v>0</v>
      </c>
      <c r="AK729" s="222">
        <v>0</v>
      </c>
      <c r="AL729" s="222">
        <v>0</v>
      </c>
      <c r="AM729" s="222">
        <v>0</v>
      </c>
      <c r="AN729" s="222"/>
      <c r="AO729" s="222">
        <v>0</v>
      </c>
    </row>
    <row r="730" spans="1:41" s="223" customFormat="1" ht="36" customHeight="1" x14ac:dyDescent="0.25">
      <c r="A730" s="223">
        <v>1</v>
      </c>
      <c r="B730" s="225">
        <f>SUBTOTAL(103,$A$552:A730)</f>
        <v>176</v>
      </c>
      <c r="C730" s="215" t="s">
        <v>771</v>
      </c>
      <c r="D730" s="217">
        <v>1962</v>
      </c>
      <c r="E730" s="217"/>
      <c r="F730" s="226" t="s">
        <v>267</v>
      </c>
      <c r="G730" s="217">
        <v>4</v>
      </c>
      <c r="H730" s="217" t="s">
        <v>312</v>
      </c>
      <c r="I730" s="218">
        <v>2946.2</v>
      </c>
      <c r="J730" s="218">
        <v>1967.3</v>
      </c>
      <c r="K730" s="218">
        <v>1810.2</v>
      </c>
      <c r="L730" s="219">
        <v>95</v>
      </c>
      <c r="M730" s="217" t="s">
        <v>265</v>
      </c>
      <c r="N730" s="217" t="s">
        <v>269</v>
      </c>
      <c r="O730" s="220" t="s">
        <v>803</v>
      </c>
      <c r="P730" s="190">
        <v>4986857.2</v>
      </c>
      <c r="Q730" s="190">
        <v>0</v>
      </c>
      <c r="R730" s="190">
        <v>0</v>
      </c>
      <c r="S730" s="190">
        <f t="shared" si="82"/>
        <v>4986857.2</v>
      </c>
      <c r="T730" s="190">
        <f t="shared" si="80"/>
        <v>1692.6404181657731</v>
      </c>
      <c r="U730" s="190">
        <v>2385.552915620121</v>
      </c>
      <c r="V730" s="221">
        <f t="shared" si="81"/>
        <v>692.91249745434789</v>
      </c>
      <c r="W730" s="221">
        <f t="shared" si="84"/>
        <v>1692.6404181657731</v>
      </c>
      <c r="X730" s="221">
        <v>0</v>
      </c>
      <c r="Y730" s="222">
        <v>0</v>
      </c>
      <c r="Z730" s="222">
        <v>0</v>
      </c>
      <c r="AA730" s="222">
        <v>0</v>
      </c>
      <c r="AB730" s="222">
        <v>0</v>
      </c>
      <c r="AC730" s="222">
        <v>0</v>
      </c>
      <c r="AD730" s="222">
        <v>0</v>
      </c>
      <c r="AE730" s="222">
        <v>0</v>
      </c>
      <c r="AF730" s="221">
        <v>0</v>
      </c>
      <c r="AG730" s="222">
        <v>0</v>
      </c>
      <c r="AH730" s="221">
        <v>0</v>
      </c>
      <c r="AI730" s="222">
        <v>0</v>
      </c>
      <c r="AJ730" s="221">
        <v>0</v>
      </c>
      <c r="AK730" s="222">
        <v>0</v>
      </c>
      <c r="AL730" s="222">
        <v>0</v>
      </c>
      <c r="AM730" s="222">
        <v>0</v>
      </c>
      <c r="AN730" s="222"/>
      <c r="AO730" s="222">
        <v>0</v>
      </c>
    </row>
    <row r="731" spans="1:41" s="223" customFormat="1" ht="36" customHeight="1" x14ac:dyDescent="0.25">
      <c r="A731" s="223">
        <v>1</v>
      </c>
      <c r="B731" s="225">
        <f>SUBTOTAL(103,$A$552:A731)</f>
        <v>177</v>
      </c>
      <c r="C731" s="215" t="s">
        <v>1165</v>
      </c>
      <c r="D731" s="217">
        <v>1965</v>
      </c>
      <c r="E731" s="217"/>
      <c r="F731" s="226" t="s">
        <v>267</v>
      </c>
      <c r="G731" s="217">
        <v>4</v>
      </c>
      <c r="H731" s="217" t="s">
        <v>303</v>
      </c>
      <c r="I731" s="218">
        <v>819</v>
      </c>
      <c r="J731" s="218">
        <v>819</v>
      </c>
      <c r="K731" s="218">
        <v>819</v>
      </c>
      <c r="L731" s="219">
        <v>55</v>
      </c>
      <c r="M731" s="217" t="s">
        <v>265</v>
      </c>
      <c r="N731" s="217" t="s">
        <v>269</v>
      </c>
      <c r="O731" s="220" t="s">
        <v>805</v>
      </c>
      <c r="P731" s="190">
        <v>494528.3</v>
      </c>
      <c r="Q731" s="190">
        <v>0</v>
      </c>
      <c r="R731" s="190">
        <v>0</v>
      </c>
      <c r="S731" s="190">
        <f t="shared" si="82"/>
        <v>494528.3</v>
      </c>
      <c r="T731" s="190">
        <f t="shared" si="80"/>
        <v>603.81965811965813</v>
      </c>
      <c r="U731" s="190">
        <v>810.46</v>
      </c>
      <c r="V731" s="221">
        <f t="shared" si="81"/>
        <v>206.64034188034191</v>
      </c>
      <c r="W731" s="221">
        <f t="shared" si="84"/>
        <v>603.81965811965813</v>
      </c>
      <c r="X731" s="221">
        <v>0</v>
      </c>
      <c r="Y731" s="222">
        <v>0</v>
      </c>
      <c r="Z731" s="222">
        <v>0</v>
      </c>
      <c r="AA731" s="222">
        <v>0</v>
      </c>
      <c r="AB731" s="222">
        <v>0</v>
      </c>
      <c r="AC731" s="222">
        <v>0</v>
      </c>
      <c r="AD731" s="222">
        <v>0</v>
      </c>
      <c r="AE731" s="222">
        <v>0</v>
      </c>
      <c r="AF731" s="221">
        <v>0</v>
      </c>
      <c r="AG731" s="222">
        <v>0</v>
      </c>
      <c r="AH731" s="221">
        <v>0</v>
      </c>
      <c r="AI731" s="222">
        <v>0</v>
      </c>
      <c r="AJ731" s="221">
        <v>0</v>
      </c>
      <c r="AK731" s="222">
        <v>0</v>
      </c>
      <c r="AL731" s="222">
        <v>0</v>
      </c>
      <c r="AM731" s="222">
        <v>0</v>
      </c>
      <c r="AN731" s="222"/>
      <c r="AO731" s="222">
        <v>0</v>
      </c>
    </row>
    <row r="732" spans="1:41" s="223" customFormat="1" ht="36" customHeight="1" x14ac:dyDescent="0.25">
      <c r="A732" s="223">
        <v>1</v>
      </c>
      <c r="B732" s="225">
        <f>SUBTOTAL(103,$A$552:A732)</f>
        <v>178</v>
      </c>
      <c r="C732" s="215" t="s">
        <v>1276</v>
      </c>
      <c r="D732" s="217">
        <v>1931</v>
      </c>
      <c r="E732" s="217"/>
      <c r="F732" s="226" t="s">
        <v>267</v>
      </c>
      <c r="G732" s="217">
        <v>4</v>
      </c>
      <c r="H732" s="217" t="s">
        <v>371</v>
      </c>
      <c r="I732" s="218">
        <v>4408.1000000000004</v>
      </c>
      <c r="J732" s="218">
        <v>4408.1000000000004</v>
      </c>
      <c r="K732" s="218">
        <v>2703.21</v>
      </c>
      <c r="L732" s="219">
        <v>109</v>
      </c>
      <c r="M732" s="217" t="s">
        <v>265</v>
      </c>
      <c r="N732" s="217" t="s">
        <v>269</v>
      </c>
      <c r="O732" s="220" t="s">
        <v>1353</v>
      </c>
      <c r="P732" s="190">
        <v>6222564.7000000002</v>
      </c>
      <c r="Q732" s="190">
        <v>0</v>
      </c>
      <c r="R732" s="190">
        <v>0</v>
      </c>
      <c r="S732" s="190">
        <f t="shared" si="82"/>
        <v>6222564.7000000002</v>
      </c>
      <c r="T732" s="190">
        <f t="shared" si="80"/>
        <v>1411.6205848324673</v>
      </c>
      <c r="U732" s="190">
        <v>2286.48639617976</v>
      </c>
      <c r="V732" s="221">
        <f t="shared" si="81"/>
        <v>874.86581134729272</v>
      </c>
      <c r="W732" s="221">
        <f t="shared" si="84"/>
        <v>1411.6205848324673</v>
      </c>
      <c r="X732" s="221">
        <v>0</v>
      </c>
      <c r="Y732" s="222">
        <v>0</v>
      </c>
      <c r="Z732" s="222">
        <v>0</v>
      </c>
      <c r="AA732" s="222">
        <v>0</v>
      </c>
      <c r="AB732" s="222">
        <v>0</v>
      </c>
      <c r="AC732" s="222">
        <v>0</v>
      </c>
      <c r="AD732" s="222">
        <v>0</v>
      </c>
      <c r="AE732" s="222">
        <v>0</v>
      </c>
      <c r="AF732" s="221">
        <v>0</v>
      </c>
      <c r="AG732" s="222">
        <v>0</v>
      </c>
      <c r="AH732" s="221">
        <v>0</v>
      </c>
      <c r="AI732" s="222">
        <v>0</v>
      </c>
      <c r="AJ732" s="221">
        <v>0</v>
      </c>
      <c r="AK732" s="222">
        <v>0</v>
      </c>
      <c r="AL732" s="222">
        <v>0</v>
      </c>
      <c r="AM732" s="222">
        <v>0</v>
      </c>
      <c r="AN732" s="222"/>
      <c r="AO732" s="222">
        <v>0</v>
      </c>
    </row>
    <row r="733" spans="1:41" s="223" customFormat="1" ht="36" customHeight="1" x14ac:dyDescent="0.25">
      <c r="A733" s="223">
        <v>1</v>
      </c>
      <c r="B733" s="225">
        <f>SUBTOTAL(103,$A$552:A733)</f>
        <v>179</v>
      </c>
      <c r="C733" s="215" t="s">
        <v>1669</v>
      </c>
      <c r="D733" s="217">
        <v>1955</v>
      </c>
      <c r="E733" s="217"/>
      <c r="F733" s="226" t="s">
        <v>267</v>
      </c>
      <c r="G733" s="217">
        <v>3</v>
      </c>
      <c r="H733" s="217" t="s">
        <v>308</v>
      </c>
      <c r="I733" s="218">
        <v>2958.2</v>
      </c>
      <c r="J733" s="218">
        <v>2271</v>
      </c>
      <c r="K733" s="218">
        <v>1836.6</v>
      </c>
      <c r="L733" s="219">
        <v>72</v>
      </c>
      <c r="M733" s="217" t="s">
        <v>265</v>
      </c>
      <c r="N733" s="217" t="s">
        <v>269</v>
      </c>
      <c r="O733" s="220" t="s">
        <v>1297</v>
      </c>
      <c r="P733" s="190">
        <v>213150</v>
      </c>
      <c r="Q733" s="190">
        <v>0</v>
      </c>
      <c r="R733" s="190">
        <v>0</v>
      </c>
      <c r="S733" s="190">
        <f t="shared" si="82"/>
        <v>213150</v>
      </c>
      <c r="T733" s="190">
        <f t="shared" si="80"/>
        <v>72.05395172740181</v>
      </c>
      <c r="U733" s="190">
        <v>712.1</v>
      </c>
      <c r="V733" s="221">
        <f t="shared" si="81"/>
        <v>640.04604827259823</v>
      </c>
      <c r="W733" s="221">
        <f t="shared" si="84"/>
        <v>72.05395172740181</v>
      </c>
      <c r="X733" s="221">
        <v>0</v>
      </c>
      <c r="Y733" s="222">
        <v>0</v>
      </c>
      <c r="Z733" s="222">
        <v>0</v>
      </c>
      <c r="AA733" s="222">
        <v>0</v>
      </c>
      <c r="AB733" s="222">
        <v>0</v>
      </c>
      <c r="AC733" s="222">
        <v>0</v>
      </c>
      <c r="AD733" s="222">
        <v>0</v>
      </c>
      <c r="AE733" s="222">
        <v>0</v>
      </c>
      <c r="AF733" s="221">
        <v>0</v>
      </c>
      <c r="AG733" s="222">
        <v>0</v>
      </c>
      <c r="AH733" s="221">
        <v>0</v>
      </c>
      <c r="AI733" s="222">
        <v>0</v>
      </c>
      <c r="AJ733" s="221">
        <v>0</v>
      </c>
      <c r="AK733" s="222">
        <v>0</v>
      </c>
      <c r="AL733" s="222">
        <v>0</v>
      </c>
      <c r="AM733" s="222">
        <v>0</v>
      </c>
      <c r="AN733" s="222"/>
      <c r="AO733" s="222">
        <v>0</v>
      </c>
    </row>
    <row r="734" spans="1:41" s="223" customFormat="1" ht="36" customHeight="1" x14ac:dyDescent="0.25">
      <c r="A734" s="223">
        <v>1</v>
      </c>
      <c r="B734" s="225">
        <f>SUBTOTAL(103,$A$552:A734)</f>
        <v>180</v>
      </c>
      <c r="C734" s="215" t="s">
        <v>772</v>
      </c>
      <c r="D734" s="217">
        <v>1930</v>
      </c>
      <c r="E734" s="217"/>
      <c r="F734" s="226" t="s">
        <v>267</v>
      </c>
      <c r="G734" s="217">
        <v>4</v>
      </c>
      <c r="H734" s="217" t="s">
        <v>303</v>
      </c>
      <c r="I734" s="218">
        <v>3000</v>
      </c>
      <c r="J734" s="218">
        <v>2823.84</v>
      </c>
      <c r="K734" s="218">
        <v>2823.84</v>
      </c>
      <c r="L734" s="219">
        <v>98</v>
      </c>
      <c r="M734" s="217" t="s">
        <v>265</v>
      </c>
      <c r="N734" s="217" t="s">
        <v>266</v>
      </c>
      <c r="O734" s="220" t="s">
        <v>268</v>
      </c>
      <c r="P734" s="190">
        <v>8021093.6299999999</v>
      </c>
      <c r="Q734" s="190">
        <v>0</v>
      </c>
      <c r="R734" s="190">
        <v>0</v>
      </c>
      <c r="S734" s="190">
        <f t="shared" si="82"/>
        <v>8021093.6299999999</v>
      </c>
      <c r="T734" s="190">
        <f t="shared" si="80"/>
        <v>2673.6978766666666</v>
      </c>
      <c r="U734" s="190">
        <v>3795.1081433333334</v>
      </c>
      <c r="V734" s="221">
        <f t="shared" si="81"/>
        <v>1121.4102666666668</v>
      </c>
      <c r="W734" s="221">
        <f t="shared" si="84"/>
        <v>2673.6978766666666</v>
      </c>
      <c r="X734" s="221">
        <v>0</v>
      </c>
      <c r="Y734" s="222">
        <v>0</v>
      </c>
      <c r="Z734" s="222">
        <v>0</v>
      </c>
      <c r="AA734" s="222">
        <v>0</v>
      </c>
      <c r="AB734" s="222">
        <v>0</v>
      </c>
      <c r="AC734" s="222">
        <v>0</v>
      </c>
      <c r="AD734" s="222">
        <v>0</v>
      </c>
      <c r="AE734" s="222">
        <v>0</v>
      </c>
      <c r="AF734" s="221">
        <v>0</v>
      </c>
      <c r="AG734" s="222">
        <v>0</v>
      </c>
      <c r="AH734" s="221">
        <v>0</v>
      </c>
      <c r="AI734" s="222">
        <v>0</v>
      </c>
      <c r="AJ734" s="221">
        <v>0</v>
      </c>
      <c r="AK734" s="222">
        <v>0</v>
      </c>
      <c r="AL734" s="222">
        <v>0</v>
      </c>
      <c r="AM734" s="222">
        <v>0</v>
      </c>
      <c r="AN734" s="222"/>
      <c r="AO734" s="222">
        <v>0</v>
      </c>
    </row>
    <row r="735" spans="1:41" s="223" customFormat="1" ht="36" customHeight="1" x14ac:dyDescent="0.25">
      <c r="A735" s="223">
        <v>1</v>
      </c>
      <c r="B735" s="225">
        <f>SUBTOTAL(103,$A$552:A735)</f>
        <v>181</v>
      </c>
      <c r="C735" s="215" t="s">
        <v>1934</v>
      </c>
      <c r="D735" s="217">
        <v>1989</v>
      </c>
      <c r="E735" s="217"/>
      <c r="F735" s="226" t="s">
        <v>318</v>
      </c>
      <c r="G735" s="217">
        <v>9</v>
      </c>
      <c r="H735" s="217" t="s">
        <v>303</v>
      </c>
      <c r="I735" s="218">
        <v>4406.3999999999996</v>
      </c>
      <c r="J735" s="218">
        <v>3895.4</v>
      </c>
      <c r="K735" s="218">
        <v>3895.4</v>
      </c>
      <c r="L735" s="219">
        <v>125</v>
      </c>
      <c r="M735" s="217" t="s">
        <v>265</v>
      </c>
      <c r="N735" s="217" t="s">
        <v>269</v>
      </c>
      <c r="O735" s="220" t="s">
        <v>801</v>
      </c>
      <c r="P735" s="190">
        <v>3849194.52</v>
      </c>
      <c r="Q735" s="190">
        <v>0</v>
      </c>
      <c r="R735" s="190">
        <v>0</v>
      </c>
      <c r="S735" s="190">
        <f t="shared" si="82"/>
        <v>3849194.52</v>
      </c>
      <c r="T735" s="190">
        <f t="shared" si="80"/>
        <v>873.54632352941189</v>
      </c>
      <c r="U735" s="190">
        <v>1115.559186637618</v>
      </c>
      <c r="V735" s="221">
        <f t="shared" si="81"/>
        <v>242.01286310820615</v>
      </c>
      <c r="W735" s="221">
        <f t="shared" si="84"/>
        <v>873.54632352941189</v>
      </c>
      <c r="X735" s="221">
        <v>0</v>
      </c>
      <c r="Y735" s="222">
        <v>0</v>
      </c>
      <c r="Z735" s="222">
        <v>0</v>
      </c>
      <c r="AA735" s="222">
        <v>0</v>
      </c>
      <c r="AB735" s="222">
        <v>0</v>
      </c>
      <c r="AC735" s="222">
        <v>0</v>
      </c>
      <c r="AD735" s="222">
        <v>0</v>
      </c>
      <c r="AE735" s="222">
        <v>0</v>
      </c>
      <c r="AF735" s="221">
        <v>0</v>
      </c>
      <c r="AG735" s="222">
        <v>0</v>
      </c>
      <c r="AH735" s="221">
        <v>0</v>
      </c>
      <c r="AI735" s="222">
        <v>0</v>
      </c>
      <c r="AJ735" s="221">
        <v>0</v>
      </c>
      <c r="AK735" s="222">
        <v>0</v>
      </c>
      <c r="AL735" s="222">
        <v>0</v>
      </c>
      <c r="AM735" s="222">
        <v>0</v>
      </c>
      <c r="AN735" s="222"/>
      <c r="AO735" s="222">
        <v>0</v>
      </c>
    </row>
    <row r="736" spans="1:41" s="223" customFormat="1" ht="36" customHeight="1" x14ac:dyDescent="0.25">
      <c r="A736" s="223">
        <v>1</v>
      </c>
      <c r="B736" s="225">
        <f>SUBTOTAL(103,$A$552:A736)</f>
        <v>182</v>
      </c>
      <c r="C736" s="215" t="s">
        <v>1933</v>
      </c>
      <c r="D736" s="217">
        <v>1995</v>
      </c>
      <c r="E736" s="217"/>
      <c r="F736" s="226" t="s">
        <v>318</v>
      </c>
      <c r="G736" s="217">
        <v>9</v>
      </c>
      <c r="H736" s="217" t="s">
        <v>303</v>
      </c>
      <c r="I736" s="218">
        <v>5022.6000000000004</v>
      </c>
      <c r="J736" s="218">
        <v>3902.5</v>
      </c>
      <c r="K736" s="218">
        <v>3902.5</v>
      </c>
      <c r="L736" s="219">
        <v>111</v>
      </c>
      <c r="M736" s="217" t="s">
        <v>265</v>
      </c>
      <c r="N736" s="217" t="s">
        <v>269</v>
      </c>
      <c r="O736" s="220" t="s">
        <v>1674</v>
      </c>
      <c r="P736" s="190">
        <v>3849194.52</v>
      </c>
      <c r="Q736" s="190">
        <v>0</v>
      </c>
      <c r="R736" s="190">
        <v>0</v>
      </c>
      <c r="S736" s="190">
        <f t="shared" si="82"/>
        <v>3849194.52</v>
      </c>
      <c r="T736" s="190">
        <f t="shared" si="80"/>
        <v>766.37488949946237</v>
      </c>
      <c r="U736" s="190">
        <v>978.69629275673947</v>
      </c>
      <c r="V736" s="221">
        <f t="shared" si="81"/>
        <v>212.3214032572771</v>
      </c>
      <c r="W736" s="221">
        <f t="shared" si="84"/>
        <v>766.37488949946237</v>
      </c>
      <c r="X736" s="221">
        <v>0</v>
      </c>
      <c r="Y736" s="222">
        <v>0</v>
      </c>
      <c r="Z736" s="222">
        <v>0</v>
      </c>
      <c r="AA736" s="222">
        <v>0</v>
      </c>
      <c r="AB736" s="222">
        <v>0</v>
      </c>
      <c r="AC736" s="222">
        <v>0</v>
      </c>
      <c r="AD736" s="222">
        <v>0</v>
      </c>
      <c r="AE736" s="222">
        <v>0</v>
      </c>
      <c r="AF736" s="221">
        <v>0</v>
      </c>
      <c r="AG736" s="222">
        <v>0</v>
      </c>
      <c r="AH736" s="221">
        <v>0</v>
      </c>
      <c r="AI736" s="222">
        <v>0</v>
      </c>
      <c r="AJ736" s="221">
        <v>0</v>
      </c>
      <c r="AK736" s="222">
        <v>0</v>
      </c>
      <c r="AL736" s="222">
        <v>0</v>
      </c>
      <c r="AM736" s="222">
        <v>0</v>
      </c>
      <c r="AN736" s="222"/>
      <c r="AO736" s="222">
        <v>0</v>
      </c>
    </row>
    <row r="737" spans="1:41" s="223" customFormat="1" ht="36" customHeight="1" x14ac:dyDescent="0.25">
      <c r="A737" s="223">
        <v>1</v>
      </c>
      <c r="B737" s="225">
        <f>SUBTOTAL(103,$A$552:A737)</f>
        <v>183</v>
      </c>
      <c r="C737" s="215" t="s">
        <v>2301</v>
      </c>
      <c r="D737" s="217">
        <v>1980</v>
      </c>
      <c r="E737" s="217"/>
      <c r="F737" s="226" t="s">
        <v>318</v>
      </c>
      <c r="G737" s="217">
        <v>9</v>
      </c>
      <c r="H737" s="217">
        <v>2</v>
      </c>
      <c r="I737" s="218">
        <v>3931.7</v>
      </c>
      <c r="J737" s="218">
        <v>3931.7</v>
      </c>
      <c r="K737" s="218">
        <v>2282.6999999999998</v>
      </c>
      <c r="L737" s="219">
        <v>141</v>
      </c>
      <c r="M737" s="217" t="s">
        <v>265</v>
      </c>
      <c r="N737" s="217" t="s">
        <v>269</v>
      </c>
      <c r="O737" s="220" t="s">
        <v>2435</v>
      </c>
      <c r="P737" s="190">
        <v>4915600</v>
      </c>
      <c r="Q737" s="190">
        <v>0</v>
      </c>
      <c r="R737" s="190">
        <v>0</v>
      </c>
      <c r="S737" s="190">
        <f t="shared" si="82"/>
        <v>4915600</v>
      </c>
      <c r="T737" s="190">
        <f t="shared" si="80"/>
        <v>1250.247984332477</v>
      </c>
      <c r="U737" s="190">
        <v>1250.247984332477</v>
      </c>
      <c r="V737" s="221">
        <f t="shared" si="81"/>
        <v>0</v>
      </c>
      <c r="W737" s="221">
        <f t="shared" si="84"/>
        <v>1250.247984332477</v>
      </c>
      <c r="X737" s="221">
        <v>0</v>
      </c>
      <c r="Y737" s="222">
        <v>0</v>
      </c>
      <c r="Z737" s="222">
        <v>0</v>
      </c>
      <c r="AA737" s="222">
        <v>0</v>
      </c>
      <c r="AB737" s="222">
        <v>0</v>
      </c>
      <c r="AC737" s="222">
        <v>0</v>
      </c>
      <c r="AD737" s="222">
        <v>0</v>
      </c>
      <c r="AE737" s="222">
        <v>0</v>
      </c>
      <c r="AF737" s="221">
        <v>0</v>
      </c>
      <c r="AG737" s="222">
        <v>0</v>
      </c>
      <c r="AH737" s="221">
        <v>0</v>
      </c>
      <c r="AI737" s="222">
        <v>0</v>
      </c>
      <c r="AJ737" s="221">
        <v>0</v>
      </c>
      <c r="AK737" s="222">
        <v>0</v>
      </c>
      <c r="AL737" s="222">
        <v>0</v>
      </c>
      <c r="AM737" s="222">
        <v>0</v>
      </c>
      <c r="AN737" s="222"/>
      <c r="AO737" s="222">
        <v>0</v>
      </c>
    </row>
    <row r="738" spans="1:41" s="223" customFormat="1" ht="36" customHeight="1" x14ac:dyDescent="0.25">
      <c r="A738" s="223">
        <v>1</v>
      </c>
      <c r="B738" s="225">
        <f>SUBTOTAL(103,$A$552:A738)</f>
        <v>184</v>
      </c>
      <c r="C738" s="215" t="s">
        <v>2302</v>
      </c>
      <c r="D738" s="217">
        <v>1961</v>
      </c>
      <c r="E738" s="217"/>
      <c r="F738" s="226" t="s">
        <v>267</v>
      </c>
      <c r="G738" s="217">
        <v>2</v>
      </c>
      <c r="H738" s="217">
        <v>1</v>
      </c>
      <c r="I738" s="218">
        <v>283.5</v>
      </c>
      <c r="J738" s="218">
        <v>283.5</v>
      </c>
      <c r="K738" s="218">
        <v>283.5</v>
      </c>
      <c r="L738" s="219">
        <v>10</v>
      </c>
      <c r="M738" s="217" t="s">
        <v>265</v>
      </c>
      <c r="N738" s="217" t="s">
        <v>269</v>
      </c>
      <c r="O738" s="220" t="s">
        <v>1297</v>
      </c>
      <c r="P738" s="190">
        <v>1924373.2000000002</v>
      </c>
      <c r="Q738" s="190">
        <v>0</v>
      </c>
      <c r="R738" s="190">
        <v>0</v>
      </c>
      <c r="S738" s="190">
        <f t="shared" si="82"/>
        <v>1924373.2000000002</v>
      </c>
      <c r="T738" s="190">
        <f t="shared" si="80"/>
        <v>6787.9125220458563</v>
      </c>
      <c r="U738" s="190">
        <v>8722.8430335097</v>
      </c>
      <c r="V738" s="221">
        <f t="shared" si="81"/>
        <v>1934.9305114638437</v>
      </c>
      <c r="W738" s="221">
        <f t="shared" si="84"/>
        <v>6787.9125220458563</v>
      </c>
      <c r="X738" s="221">
        <v>0</v>
      </c>
      <c r="Y738" s="222">
        <v>0</v>
      </c>
      <c r="Z738" s="222">
        <v>0</v>
      </c>
      <c r="AA738" s="222">
        <v>0</v>
      </c>
      <c r="AB738" s="222">
        <v>0</v>
      </c>
      <c r="AC738" s="222">
        <v>0</v>
      </c>
      <c r="AD738" s="222">
        <v>0</v>
      </c>
      <c r="AE738" s="222">
        <v>0</v>
      </c>
      <c r="AF738" s="221">
        <v>0</v>
      </c>
      <c r="AG738" s="222">
        <v>0</v>
      </c>
      <c r="AH738" s="221">
        <v>0</v>
      </c>
      <c r="AI738" s="222">
        <v>0</v>
      </c>
      <c r="AJ738" s="221">
        <v>0</v>
      </c>
      <c r="AK738" s="222">
        <v>0</v>
      </c>
      <c r="AL738" s="222">
        <v>0</v>
      </c>
      <c r="AM738" s="222">
        <v>0</v>
      </c>
      <c r="AN738" s="222"/>
      <c r="AO738" s="222">
        <v>0</v>
      </c>
    </row>
    <row r="739" spans="1:41" s="223" customFormat="1" ht="36" customHeight="1" x14ac:dyDescent="0.25">
      <c r="A739" s="223">
        <v>1</v>
      </c>
      <c r="B739" s="225">
        <f>SUBTOTAL(103,$A$552:A739)</f>
        <v>185</v>
      </c>
      <c r="C739" s="215" t="s">
        <v>2319</v>
      </c>
      <c r="D739" s="217">
        <v>1988</v>
      </c>
      <c r="E739" s="217"/>
      <c r="F739" s="226" t="s">
        <v>318</v>
      </c>
      <c r="G739" s="217">
        <v>9</v>
      </c>
      <c r="H739" s="217" t="s">
        <v>312</v>
      </c>
      <c r="I739" s="218">
        <v>6638.3</v>
      </c>
      <c r="J739" s="218">
        <v>5898.1</v>
      </c>
      <c r="K739" s="218">
        <v>5898.1</v>
      </c>
      <c r="L739" s="219">
        <v>226</v>
      </c>
      <c r="M739" s="217" t="s">
        <v>265</v>
      </c>
      <c r="N739" s="217" t="s">
        <v>269</v>
      </c>
      <c r="O739" s="220" t="s">
        <v>2436</v>
      </c>
      <c r="P739" s="190">
        <v>7132680</v>
      </c>
      <c r="Q739" s="190">
        <v>0</v>
      </c>
      <c r="R739" s="190">
        <v>0</v>
      </c>
      <c r="S739" s="190">
        <f t="shared" si="82"/>
        <v>7132680</v>
      </c>
      <c r="T739" s="190">
        <f t="shared" si="80"/>
        <v>1074.4738863865748</v>
      </c>
      <c r="U739" s="190">
        <v>1110.7361824563518</v>
      </c>
      <c r="V739" s="221">
        <f t="shared" si="81"/>
        <v>36.262296069776994</v>
      </c>
      <c r="W739" s="221">
        <f t="shared" si="84"/>
        <v>1074.4738863865748</v>
      </c>
      <c r="X739" s="221">
        <v>0</v>
      </c>
      <c r="Y739" s="222">
        <v>0</v>
      </c>
      <c r="Z739" s="222">
        <v>0</v>
      </c>
      <c r="AA739" s="222">
        <v>0</v>
      </c>
      <c r="AB739" s="222">
        <v>0</v>
      </c>
      <c r="AC739" s="222">
        <v>0</v>
      </c>
      <c r="AD739" s="222">
        <v>0</v>
      </c>
      <c r="AE739" s="222">
        <v>0</v>
      </c>
      <c r="AF739" s="221">
        <v>0</v>
      </c>
      <c r="AG739" s="222">
        <v>0</v>
      </c>
      <c r="AH739" s="221">
        <v>0</v>
      </c>
      <c r="AI739" s="222">
        <v>0</v>
      </c>
      <c r="AJ739" s="221">
        <v>0</v>
      </c>
      <c r="AK739" s="222">
        <v>0</v>
      </c>
      <c r="AL739" s="222">
        <v>0</v>
      </c>
      <c r="AM739" s="222">
        <v>0</v>
      </c>
      <c r="AN739" s="222"/>
      <c r="AO739" s="222">
        <v>0</v>
      </c>
    </row>
    <row r="740" spans="1:41" s="223" customFormat="1" ht="36" customHeight="1" x14ac:dyDescent="0.25">
      <c r="A740" s="223">
        <v>1</v>
      </c>
      <c r="B740" s="225">
        <f>SUBTOTAL(103,$A$552:A740)</f>
        <v>186</v>
      </c>
      <c r="C740" s="215" t="s">
        <v>2092</v>
      </c>
      <c r="D740" s="217">
        <v>1990</v>
      </c>
      <c r="E740" s="217"/>
      <c r="F740" s="226" t="s">
        <v>318</v>
      </c>
      <c r="G740" s="217">
        <v>9</v>
      </c>
      <c r="H740" s="217" t="s">
        <v>2437</v>
      </c>
      <c r="I740" s="218">
        <v>28464.2</v>
      </c>
      <c r="J740" s="218">
        <v>22228.1</v>
      </c>
      <c r="K740" s="218">
        <v>22102.2</v>
      </c>
      <c r="L740" s="219">
        <v>895</v>
      </c>
      <c r="M740" s="217" t="s">
        <v>265</v>
      </c>
      <c r="N740" s="217" t="s">
        <v>269</v>
      </c>
      <c r="O740" s="220" t="s">
        <v>1674</v>
      </c>
      <c r="P740" s="190">
        <v>23775600</v>
      </c>
      <c r="Q740" s="190">
        <v>0</v>
      </c>
      <c r="R740" s="190">
        <v>0</v>
      </c>
      <c r="S740" s="190">
        <f t="shared" si="82"/>
        <v>23775600</v>
      </c>
      <c r="T740" s="190">
        <f t="shared" si="80"/>
        <v>835.28080887571048</v>
      </c>
      <c r="U740" s="190">
        <v>863.47060518124522</v>
      </c>
      <c r="V740" s="221">
        <f t="shared" si="81"/>
        <v>28.189796305534742</v>
      </c>
      <c r="W740" s="221">
        <f t="shared" si="84"/>
        <v>835.28080887571048</v>
      </c>
      <c r="X740" s="221">
        <v>0</v>
      </c>
      <c r="Y740" s="222">
        <v>0</v>
      </c>
      <c r="Z740" s="222">
        <v>0</v>
      </c>
      <c r="AA740" s="222">
        <v>0</v>
      </c>
      <c r="AB740" s="222">
        <v>0</v>
      </c>
      <c r="AC740" s="222">
        <v>0</v>
      </c>
      <c r="AD740" s="222">
        <v>0</v>
      </c>
      <c r="AE740" s="222">
        <v>0</v>
      </c>
      <c r="AF740" s="221">
        <v>0</v>
      </c>
      <c r="AG740" s="222">
        <v>0</v>
      </c>
      <c r="AH740" s="221">
        <v>0</v>
      </c>
      <c r="AI740" s="222">
        <v>0</v>
      </c>
      <c r="AJ740" s="221">
        <v>0</v>
      </c>
      <c r="AK740" s="222">
        <v>0</v>
      </c>
      <c r="AL740" s="222">
        <v>0</v>
      </c>
      <c r="AM740" s="222">
        <v>0</v>
      </c>
      <c r="AN740" s="222"/>
      <c r="AO740" s="222">
        <v>0</v>
      </c>
    </row>
    <row r="741" spans="1:41" s="223" customFormat="1" ht="36" customHeight="1" x14ac:dyDescent="0.25">
      <c r="A741" s="223">
        <v>1</v>
      </c>
      <c r="B741" s="225">
        <f>SUBTOTAL(103,$A$552:A741)</f>
        <v>187</v>
      </c>
      <c r="C741" s="215" t="s">
        <v>2320</v>
      </c>
      <c r="D741" s="217">
        <v>1990</v>
      </c>
      <c r="E741" s="217"/>
      <c r="F741" s="226" t="s">
        <v>318</v>
      </c>
      <c r="G741" s="217">
        <v>9</v>
      </c>
      <c r="H741" s="217" t="s">
        <v>303</v>
      </c>
      <c r="I741" s="218">
        <v>4344</v>
      </c>
      <c r="J741" s="218">
        <v>3864.2</v>
      </c>
      <c r="K741" s="218">
        <v>3864.2</v>
      </c>
      <c r="L741" s="219">
        <v>169</v>
      </c>
      <c r="M741" s="217" t="s">
        <v>265</v>
      </c>
      <c r="N741" s="217" t="s">
        <v>269</v>
      </c>
      <c r="O741" s="220" t="s">
        <v>2436</v>
      </c>
      <c r="P741" s="190">
        <v>4755120</v>
      </c>
      <c r="Q741" s="190">
        <v>0</v>
      </c>
      <c r="R741" s="190">
        <v>0</v>
      </c>
      <c r="S741" s="190">
        <f t="shared" si="82"/>
        <v>4755120</v>
      </c>
      <c r="T741" s="190">
        <f t="shared" si="80"/>
        <v>1094.6408839779006</v>
      </c>
      <c r="U741" s="190">
        <v>1131.5837937384899</v>
      </c>
      <c r="V741" s="221">
        <f t="shared" si="81"/>
        <v>36.942909760589373</v>
      </c>
      <c r="W741" s="221">
        <f t="shared" si="84"/>
        <v>1094.6408839779006</v>
      </c>
      <c r="X741" s="221">
        <v>0</v>
      </c>
      <c r="Y741" s="222">
        <v>0</v>
      </c>
      <c r="Z741" s="222">
        <v>0</v>
      </c>
      <c r="AA741" s="222">
        <v>0</v>
      </c>
      <c r="AB741" s="222">
        <v>0</v>
      </c>
      <c r="AC741" s="222">
        <v>0</v>
      </c>
      <c r="AD741" s="222">
        <v>0</v>
      </c>
      <c r="AE741" s="222">
        <v>0</v>
      </c>
      <c r="AF741" s="221">
        <v>0</v>
      </c>
      <c r="AG741" s="222">
        <v>0</v>
      </c>
      <c r="AH741" s="221">
        <v>0</v>
      </c>
      <c r="AI741" s="222">
        <v>0</v>
      </c>
      <c r="AJ741" s="221">
        <v>0</v>
      </c>
      <c r="AK741" s="222">
        <v>0</v>
      </c>
      <c r="AL741" s="222">
        <v>0</v>
      </c>
      <c r="AM741" s="222">
        <v>0</v>
      </c>
      <c r="AN741" s="222"/>
      <c r="AO741" s="222">
        <v>0</v>
      </c>
    </row>
    <row r="742" spans="1:41" s="223" customFormat="1" ht="36" customHeight="1" x14ac:dyDescent="0.25">
      <c r="A742" s="223">
        <v>1</v>
      </c>
      <c r="B742" s="225">
        <f>SUBTOTAL(103,$A$552:A742)</f>
        <v>188</v>
      </c>
      <c r="C742" s="215" t="s">
        <v>2321</v>
      </c>
      <c r="D742" s="217">
        <v>1989</v>
      </c>
      <c r="E742" s="217"/>
      <c r="F742" s="226" t="s">
        <v>318</v>
      </c>
      <c r="G742" s="217">
        <v>9</v>
      </c>
      <c r="H742" s="217" t="s">
        <v>303</v>
      </c>
      <c r="I742" s="218">
        <v>4374.3</v>
      </c>
      <c r="J742" s="218">
        <v>3893.6</v>
      </c>
      <c r="K742" s="218">
        <v>3893.6</v>
      </c>
      <c r="L742" s="219">
        <v>153</v>
      </c>
      <c r="M742" s="217" t="s">
        <v>265</v>
      </c>
      <c r="N742" s="217" t="s">
        <v>269</v>
      </c>
      <c r="O742" s="220" t="s">
        <v>2436</v>
      </c>
      <c r="P742" s="190">
        <v>4915600</v>
      </c>
      <c r="Q742" s="190">
        <v>0</v>
      </c>
      <c r="R742" s="190">
        <v>0</v>
      </c>
      <c r="S742" s="190">
        <f t="shared" si="82"/>
        <v>4915600</v>
      </c>
      <c r="T742" s="190">
        <f t="shared" si="80"/>
        <v>1123.7455135678852</v>
      </c>
      <c r="U742" s="190">
        <v>1123.7455135678852</v>
      </c>
      <c r="V742" s="221">
        <f t="shared" si="81"/>
        <v>0</v>
      </c>
      <c r="W742" s="221">
        <f t="shared" si="84"/>
        <v>1123.7455135678852</v>
      </c>
      <c r="X742" s="221">
        <v>0</v>
      </c>
      <c r="Y742" s="222">
        <v>0</v>
      </c>
      <c r="Z742" s="222">
        <v>0</v>
      </c>
      <c r="AA742" s="222">
        <v>0</v>
      </c>
      <c r="AB742" s="222">
        <v>0</v>
      </c>
      <c r="AC742" s="222">
        <v>0</v>
      </c>
      <c r="AD742" s="222">
        <v>0</v>
      </c>
      <c r="AE742" s="222">
        <v>0</v>
      </c>
      <c r="AF742" s="221">
        <v>0</v>
      </c>
      <c r="AG742" s="222">
        <v>0</v>
      </c>
      <c r="AH742" s="221">
        <v>0</v>
      </c>
      <c r="AI742" s="222">
        <v>0</v>
      </c>
      <c r="AJ742" s="221">
        <v>0</v>
      </c>
      <c r="AK742" s="222">
        <v>0</v>
      </c>
      <c r="AL742" s="222">
        <v>0</v>
      </c>
      <c r="AM742" s="222">
        <v>0</v>
      </c>
      <c r="AN742" s="222"/>
      <c r="AO742" s="222">
        <v>0</v>
      </c>
    </row>
    <row r="743" spans="1:41" s="223" customFormat="1" ht="36" customHeight="1" x14ac:dyDescent="0.25">
      <c r="A743" s="223">
        <v>1</v>
      </c>
      <c r="B743" s="225">
        <f>SUBTOTAL(103,$A$552:A743)</f>
        <v>189</v>
      </c>
      <c r="C743" s="215" t="s">
        <v>2322</v>
      </c>
      <c r="D743" s="217">
        <v>1988</v>
      </c>
      <c r="E743" s="217"/>
      <c r="F743" s="226" t="s">
        <v>318</v>
      </c>
      <c r="G743" s="217">
        <v>9</v>
      </c>
      <c r="H743" s="217" t="s">
        <v>303</v>
      </c>
      <c r="I743" s="218">
        <v>4376.2</v>
      </c>
      <c r="J743" s="218">
        <v>4376.2</v>
      </c>
      <c r="K743" s="218">
        <v>2308.1999999999998</v>
      </c>
      <c r="L743" s="219">
        <v>146</v>
      </c>
      <c r="M743" s="217" t="s">
        <v>265</v>
      </c>
      <c r="N743" s="217" t="s">
        <v>269</v>
      </c>
      <c r="O743" s="220" t="s">
        <v>2435</v>
      </c>
      <c r="P743" s="190">
        <v>4755120</v>
      </c>
      <c r="Q743" s="190">
        <v>0</v>
      </c>
      <c r="R743" s="190">
        <v>0</v>
      </c>
      <c r="S743" s="190">
        <f t="shared" si="82"/>
        <v>4755120</v>
      </c>
      <c r="T743" s="190">
        <f t="shared" si="80"/>
        <v>1086.586536264339</v>
      </c>
      <c r="U743" s="190">
        <v>1123.2576207668753</v>
      </c>
      <c r="V743" s="221">
        <f t="shared" si="81"/>
        <v>36.67108450253636</v>
      </c>
      <c r="W743" s="221">
        <f t="shared" si="84"/>
        <v>1086.586536264339</v>
      </c>
      <c r="X743" s="221">
        <v>0</v>
      </c>
      <c r="Y743" s="222">
        <v>0</v>
      </c>
      <c r="Z743" s="222">
        <v>0</v>
      </c>
      <c r="AA743" s="222">
        <v>0</v>
      </c>
      <c r="AB743" s="222">
        <v>0</v>
      </c>
      <c r="AC743" s="222">
        <v>0</v>
      </c>
      <c r="AD743" s="222">
        <v>0</v>
      </c>
      <c r="AE743" s="222">
        <v>0</v>
      </c>
      <c r="AF743" s="221">
        <v>0</v>
      </c>
      <c r="AG743" s="222">
        <v>0</v>
      </c>
      <c r="AH743" s="221">
        <v>0</v>
      </c>
      <c r="AI743" s="222">
        <v>0</v>
      </c>
      <c r="AJ743" s="221">
        <v>0</v>
      </c>
      <c r="AK743" s="222">
        <v>0</v>
      </c>
      <c r="AL743" s="222">
        <v>0</v>
      </c>
      <c r="AM743" s="222">
        <v>0</v>
      </c>
      <c r="AN743" s="222"/>
      <c r="AO743" s="222">
        <v>0</v>
      </c>
    </row>
    <row r="744" spans="1:41" s="223" customFormat="1" ht="36" customHeight="1" x14ac:dyDescent="0.25">
      <c r="A744" s="223">
        <v>1</v>
      </c>
      <c r="B744" s="225">
        <f>SUBTOTAL(103,$A$552:A744)</f>
        <v>190</v>
      </c>
      <c r="C744" s="215" t="s">
        <v>2323</v>
      </c>
      <c r="D744" s="217">
        <v>1987</v>
      </c>
      <c r="E744" s="217"/>
      <c r="F744" s="226" t="s">
        <v>318</v>
      </c>
      <c r="G744" s="217">
        <v>9</v>
      </c>
      <c r="H744" s="217" t="s">
        <v>308</v>
      </c>
      <c r="I744" s="218">
        <v>7835.6</v>
      </c>
      <c r="J744" s="218">
        <v>7835.6</v>
      </c>
      <c r="K744" s="218">
        <v>4668.3</v>
      </c>
      <c r="L744" s="219">
        <v>336</v>
      </c>
      <c r="M744" s="217" t="s">
        <v>265</v>
      </c>
      <c r="N744" s="217" t="s">
        <v>269</v>
      </c>
      <c r="O744" s="220" t="s">
        <v>2435</v>
      </c>
      <c r="P744" s="190">
        <v>9831200</v>
      </c>
      <c r="Q744" s="190">
        <v>0</v>
      </c>
      <c r="R744" s="190">
        <v>0</v>
      </c>
      <c r="S744" s="190">
        <f t="shared" si="82"/>
        <v>9831200</v>
      </c>
      <c r="T744" s="190">
        <f t="shared" si="80"/>
        <v>1254.6837510847924</v>
      </c>
      <c r="U744" s="190">
        <v>1254.6837510847924</v>
      </c>
      <c r="V744" s="221">
        <f t="shared" si="81"/>
        <v>0</v>
      </c>
      <c r="W744" s="221">
        <f t="shared" si="84"/>
        <v>1254.6837510847924</v>
      </c>
      <c r="X744" s="221">
        <v>0</v>
      </c>
      <c r="Y744" s="222">
        <v>0</v>
      </c>
      <c r="Z744" s="222">
        <v>0</v>
      </c>
      <c r="AA744" s="222">
        <v>0</v>
      </c>
      <c r="AB744" s="222">
        <v>0</v>
      </c>
      <c r="AC744" s="222">
        <v>0</v>
      </c>
      <c r="AD744" s="222">
        <v>0</v>
      </c>
      <c r="AE744" s="222">
        <v>0</v>
      </c>
      <c r="AF744" s="221">
        <v>0</v>
      </c>
      <c r="AG744" s="222">
        <v>0</v>
      </c>
      <c r="AH744" s="221">
        <v>0</v>
      </c>
      <c r="AI744" s="222">
        <v>0</v>
      </c>
      <c r="AJ744" s="221">
        <v>0</v>
      </c>
      <c r="AK744" s="222">
        <v>0</v>
      </c>
      <c r="AL744" s="222">
        <v>0</v>
      </c>
      <c r="AM744" s="222">
        <v>0</v>
      </c>
      <c r="AN744" s="222"/>
      <c r="AO744" s="222">
        <v>0</v>
      </c>
    </row>
    <row r="745" spans="1:41" s="223" customFormat="1" ht="36" customHeight="1" x14ac:dyDescent="0.25">
      <c r="A745" s="223">
        <v>1</v>
      </c>
      <c r="B745" s="225">
        <f>SUBTOTAL(103,$A$552:A745)</f>
        <v>191</v>
      </c>
      <c r="C745" s="215" t="s">
        <v>2324</v>
      </c>
      <c r="D745" s="217">
        <v>1988</v>
      </c>
      <c r="E745" s="217"/>
      <c r="F745" s="226" t="s">
        <v>318</v>
      </c>
      <c r="G745" s="217">
        <v>9</v>
      </c>
      <c r="H745" s="217" t="s">
        <v>303</v>
      </c>
      <c r="I745" s="218">
        <v>3934.5</v>
      </c>
      <c r="J745" s="218">
        <v>3934.5</v>
      </c>
      <c r="K745" s="218">
        <v>2323.1</v>
      </c>
      <c r="L745" s="219">
        <v>164</v>
      </c>
      <c r="M745" s="217" t="s">
        <v>265</v>
      </c>
      <c r="N745" s="217" t="s">
        <v>269</v>
      </c>
      <c r="O745" s="220" t="s">
        <v>2435</v>
      </c>
      <c r="P745" s="190">
        <v>4755120</v>
      </c>
      <c r="Q745" s="190">
        <v>0</v>
      </c>
      <c r="R745" s="190">
        <v>0</v>
      </c>
      <c r="S745" s="190">
        <f t="shared" si="82"/>
        <v>4755120</v>
      </c>
      <c r="T745" s="190">
        <f t="shared" si="80"/>
        <v>1208.5703393061381</v>
      </c>
      <c r="U745" s="190">
        <v>1249.3582411996442</v>
      </c>
      <c r="V745" s="221">
        <f t="shared" si="81"/>
        <v>40.787901893506159</v>
      </c>
      <c r="W745" s="221">
        <f t="shared" si="84"/>
        <v>1208.5703393061381</v>
      </c>
      <c r="X745" s="221">
        <v>0</v>
      </c>
      <c r="Y745" s="222">
        <v>0</v>
      </c>
      <c r="Z745" s="222">
        <v>0</v>
      </c>
      <c r="AA745" s="222">
        <v>0</v>
      </c>
      <c r="AB745" s="222">
        <v>0</v>
      </c>
      <c r="AC745" s="222">
        <v>0</v>
      </c>
      <c r="AD745" s="222">
        <v>0</v>
      </c>
      <c r="AE745" s="222">
        <v>0</v>
      </c>
      <c r="AF745" s="221">
        <v>0</v>
      </c>
      <c r="AG745" s="222">
        <v>0</v>
      </c>
      <c r="AH745" s="221">
        <v>0</v>
      </c>
      <c r="AI745" s="222">
        <v>0</v>
      </c>
      <c r="AJ745" s="221">
        <v>0</v>
      </c>
      <c r="AK745" s="222">
        <v>0</v>
      </c>
      <c r="AL745" s="222">
        <v>0</v>
      </c>
      <c r="AM745" s="222">
        <v>0</v>
      </c>
      <c r="AN745" s="222"/>
      <c r="AO745" s="222">
        <v>0</v>
      </c>
    </row>
    <row r="746" spans="1:41" s="223" customFormat="1" ht="36" customHeight="1" x14ac:dyDescent="0.25">
      <c r="B746" s="215" t="s">
        <v>758</v>
      </c>
      <c r="C746" s="227"/>
      <c r="D746" s="217" t="s">
        <v>890</v>
      </c>
      <c r="E746" s="217" t="s">
        <v>890</v>
      </c>
      <c r="F746" s="217" t="s">
        <v>890</v>
      </c>
      <c r="G746" s="217" t="s">
        <v>890</v>
      </c>
      <c r="H746" s="217" t="s">
        <v>890</v>
      </c>
      <c r="I746" s="218">
        <f>SUM(I747:I758)</f>
        <v>89434.3</v>
      </c>
      <c r="J746" s="218">
        <f>SUM(J747:J758)</f>
        <v>75388.700000000012</v>
      </c>
      <c r="K746" s="218">
        <f>SUM(K747:K758)</f>
        <v>74704.500000000015</v>
      </c>
      <c r="L746" s="219">
        <f>SUM(L747:L758)</f>
        <v>3712</v>
      </c>
      <c r="M746" s="217" t="s">
        <v>890</v>
      </c>
      <c r="N746" s="217" t="s">
        <v>890</v>
      </c>
      <c r="O746" s="220" t="s">
        <v>890</v>
      </c>
      <c r="P746" s="218">
        <v>103874872.24000001</v>
      </c>
      <c r="Q746" s="218">
        <f>SUM(Q747:Q758)</f>
        <v>0</v>
      </c>
      <c r="R746" s="218">
        <f>SUM(R747:R758)</f>
        <v>0</v>
      </c>
      <c r="S746" s="218">
        <f>SUM(S747:S758)</f>
        <v>103874872.24000001</v>
      </c>
      <c r="T746" s="190">
        <f t="shared" si="80"/>
        <v>1161.4657043214963</v>
      </c>
      <c r="U746" s="190">
        <f>MAX(U747:U758)</f>
        <v>5506.3531291305089</v>
      </c>
      <c r="V746" s="221">
        <f t="shared" si="81"/>
        <v>4344.8874248090124</v>
      </c>
      <c r="W746" s="221"/>
      <c r="X746" s="221"/>
      <c r="Y746" s="222"/>
      <c r="Z746" s="222"/>
      <c r="AA746" s="222"/>
      <c r="AB746" s="222"/>
      <c r="AC746" s="222"/>
      <c r="AD746" s="222"/>
      <c r="AE746" s="222"/>
      <c r="AF746" s="222"/>
      <c r="AG746" s="222"/>
      <c r="AH746" s="222"/>
      <c r="AI746" s="222"/>
      <c r="AJ746" s="222"/>
      <c r="AK746" s="222"/>
      <c r="AL746" s="222"/>
      <c r="AM746" s="222"/>
      <c r="AN746" s="222"/>
      <c r="AO746" s="222"/>
    </row>
    <row r="747" spans="1:41" s="223" customFormat="1" ht="36" customHeight="1" x14ac:dyDescent="0.25">
      <c r="A747" s="223">
        <v>1</v>
      </c>
      <c r="B747" s="225">
        <f>SUBTOTAL(103,$A$552:A747)</f>
        <v>192</v>
      </c>
      <c r="C747" s="215" t="s">
        <v>382</v>
      </c>
      <c r="D747" s="217">
        <v>1982</v>
      </c>
      <c r="E747" s="217">
        <v>2015</v>
      </c>
      <c r="F747" s="226" t="s">
        <v>318</v>
      </c>
      <c r="G747" s="217">
        <v>9</v>
      </c>
      <c r="H747" s="217" t="s">
        <v>308</v>
      </c>
      <c r="I747" s="218">
        <v>8597.2000000000007</v>
      </c>
      <c r="J747" s="218">
        <v>7716.3</v>
      </c>
      <c r="K747" s="218">
        <v>7660.3</v>
      </c>
      <c r="L747" s="219">
        <v>370</v>
      </c>
      <c r="M747" s="217" t="s">
        <v>265</v>
      </c>
      <c r="N747" s="217" t="s">
        <v>269</v>
      </c>
      <c r="O747" s="220" t="s">
        <v>319</v>
      </c>
      <c r="P747" s="190">
        <v>7150448.3499999996</v>
      </c>
      <c r="Q747" s="190">
        <v>0</v>
      </c>
      <c r="R747" s="190">
        <v>0</v>
      </c>
      <c r="S747" s="190">
        <f t="shared" ref="S747:S758" si="85">P747-Q747-R747</f>
        <v>7150448.3499999996</v>
      </c>
      <c r="T747" s="190">
        <f t="shared" si="80"/>
        <v>831.71827455450602</v>
      </c>
      <c r="U747" s="190">
        <v>1143.5351044526124</v>
      </c>
      <c r="V747" s="221">
        <f t="shared" si="81"/>
        <v>311.81682989810633</v>
      </c>
      <c r="W747" s="221">
        <f t="shared" ref="W747:W754" si="86">X747+Y747+Z747+AA747+AB747+AD747+AF747+AH747+AJ747+AL747+AN747+AO747</f>
        <v>1143.5351044526124</v>
      </c>
      <c r="X747" s="221">
        <v>0</v>
      </c>
      <c r="Y747" s="222">
        <v>0</v>
      </c>
      <c r="Z747" s="222">
        <v>0</v>
      </c>
      <c r="AA747" s="222">
        <v>0</v>
      </c>
      <c r="AB747" s="222">
        <v>0</v>
      </c>
      <c r="AC747" s="222">
        <v>4</v>
      </c>
      <c r="AD747" s="221">
        <f>2457800*AC747/I747</f>
        <v>1143.5351044526124</v>
      </c>
      <c r="AE747" s="222">
        <v>0</v>
      </c>
      <c r="AF747" s="221">
        <v>0</v>
      </c>
      <c r="AG747" s="222">
        <v>0</v>
      </c>
      <c r="AH747" s="221">
        <v>0</v>
      </c>
      <c r="AI747" s="222">
        <v>0</v>
      </c>
      <c r="AJ747" s="221">
        <v>0</v>
      </c>
      <c r="AK747" s="222">
        <v>0</v>
      </c>
      <c r="AL747" s="222">
        <v>0</v>
      </c>
      <c r="AM747" s="222">
        <v>0</v>
      </c>
      <c r="AN747" s="222"/>
      <c r="AO747" s="222">
        <v>0</v>
      </c>
    </row>
    <row r="748" spans="1:41" s="223" customFormat="1" ht="36" customHeight="1" x14ac:dyDescent="0.25">
      <c r="A748" s="223">
        <v>1</v>
      </c>
      <c r="B748" s="225">
        <f>SUBTOTAL(103,$A$552:A748)</f>
        <v>193</v>
      </c>
      <c r="C748" s="215" t="s">
        <v>1652</v>
      </c>
      <c r="D748" s="217">
        <v>1981</v>
      </c>
      <c r="E748" s="217">
        <v>2015</v>
      </c>
      <c r="F748" s="226" t="s">
        <v>318</v>
      </c>
      <c r="G748" s="217">
        <v>5</v>
      </c>
      <c r="H748" s="217" t="s">
        <v>351</v>
      </c>
      <c r="I748" s="218">
        <v>3965.2</v>
      </c>
      <c r="J748" s="218">
        <v>3485.8</v>
      </c>
      <c r="K748" s="218">
        <v>3424</v>
      </c>
      <c r="L748" s="219">
        <v>178</v>
      </c>
      <c r="M748" s="217" t="s">
        <v>265</v>
      </c>
      <c r="N748" s="217" t="s">
        <v>269</v>
      </c>
      <c r="O748" s="220" t="s">
        <v>320</v>
      </c>
      <c r="P748" s="190">
        <v>7152713.7700000005</v>
      </c>
      <c r="Q748" s="190">
        <v>0</v>
      </c>
      <c r="R748" s="190">
        <v>0</v>
      </c>
      <c r="S748" s="190">
        <f t="shared" si="85"/>
        <v>7152713.7700000005</v>
      </c>
      <c r="T748" s="190">
        <f t="shared" si="80"/>
        <v>1803.8721300312723</v>
      </c>
      <c r="U748" s="190">
        <v>4998.25</v>
      </c>
      <c r="V748" s="221">
        <f t="shared" si="81"/>
        <v>3194.3778699687277</v>
      </c>
      <c r="W748" s="221">
        <f t="shared" si="86"/>
        <v>4586.9399999999996</v>
      </c>
      <c r="X748" s="221">
        <v>101.55</v>
      </c>
      <c r="Y748" s="222">
        <v>245.44</v>
      </c>
      <c r="Z748" s="222">
        <v>3259.66</v>
      </c>
      <c r="AA748" s="222">
        <v>184.98</v>
      </c>
      <c r="AB748" s="222">
        <v>795.31</v>
      </c>
      <c r="AC748" s="222">
        <v>0</v>
      </c>
      <c r="AD748" s="222">
        <v>0</v>
      </c>
      <c r="AE748" s="222">
        <v>0</v>
      </c>
      <c r="AF748" s="221">
        <v>0</v>
      </c>
      <c r="AG748" s="222">
        <v>0</v>
      </c>
      <c r="AH748" s="221">
        <v>0</v>
      </c>
      <c r="AI748" s="222">
        <v>0</v>
      </c>
      <c r="AJ748" s="221">
        <v>0</v>
      </c>
      <c r="AK748" s="222">
        <v>0</v>
      </c>
      <c r="AL748" s="222">
        <v>0</v>
      </c>
      <c r="AM748" s="222">
        <v>0</v>
      </c>
      <c r="AN748" s="222"/>
      <c r="AO748" s="222">
        <v>0</v>
      </c>
    </row>
    <row r="749" spans="1:41" s="223" customFormat="1" ht="36" customHeight="1" x14ac:dyDescent="0.25">
      <c r="A749" s="223">
        <v>1</v>
      </c>
      <c r="B749" s="225">
        <f>SUBTOTAL(103,$A$552:A749)</f>
        <v>194</v>
      </c>
      <c r="C749" s="215" t="s">
        <v>383</v>
      </c>
      <c r="D749" s="217">
        <v>1973</v>
      </c>
      <c r="E749" s="217">
        <v>2017</v>
      </c>
      <c r="F749" s="226" t="s">
        <v>318</v>
      </c>
      <c r="G749" s="217">
        <v>5</v>
      </c>
      <c r="H749" s="217" t="s">
        <v>351</v>
      </c>
      <c r="I749" s="218">
        <v>3822.6</v>
      </c>
      <c r="J749" s="218">
        <v>3360.4</v>
      </c>
      <c r="K749" s="218">
        <v>3360.4</v>
      </c>
      <c r="L749" s="219">
        <v>155</v>
      </c>
      <c r="M749" s="217" t="s">
        <v>265</v>
      </c>
      <c r="N749" s="217" t="s">
        <v>269</v>
      </c>
      <c r="O749" s="220" t="s">
        <v>320</v>
      </c>
      <c r="P749" s="190">
        <v>5582003.7400000002</v>
      </c>
      <c r="Q749" s="190">
        <v>0</v>
      </c>
      <c r="R749" s="190">
        <v>0</v>
      </c>
      <c r="S749" s="190">
        <f t="shared" si="85"/>
        <v>5582003.7400000002</v>
      </c>
      <c r="T749" s="190">
        <f t="shared" si="80"/>
        <v>1460.2636268508345</v>
      </c>
      <c r="U749" s="190">
        <v>5055.7957173128234</v>
      </c>
      <c r="V749" s="221">
        <f>U749-T749</f>
        <v>3595.5320904619889</v>
      </c>
      <c r="W749" s="221">
        <f>X749+Y749+Z749+AA749+AB749+AD749+AF749+AH749+AJ749+AL749+AN749+AO749</f>
        <v>5055.7957173128234</v>
      </c>
      <c r="X749" s="221">
        <v>0</v>
      </c>
      <c r="Y749" s="222">
        <v>0</v>
      </c>
      <c r="Z749" s="222">
        <v>0</v>
      </c>
      <c r="AA749" s="222">
        <v>0</v>
      </c>
      <c r="AB749" s="222">
        <v>0</v>
      </c>
      <c r="AC749" s="222">
        <v>0</v>
      </c>
      <c r="AD749" s="222">
        <v>0</v>
      </c>
      <c r="AE749" s="222">
        <v>0</v>
      </c>
      <c r="AF749" s="221">
        <v>0</v>
      </c>
      <c r="AG749" s="222">
        <v>0</v>
      </c>
      <c r="AH749" s="221">
        <v>0</v>
      </c>
      <c r="AI749" s="222">
        <v>2476.9</v>
      </c>
      <c r="AJ749" s="221">
        <f>7802.61*AI749/I749</f>
        <v>5055.7957173128234</v>
      </c>
      <c r="AK749" s="222">
        <v>0</v>
      </c>
      <c r="AL749" s="222">
        <v>0</v>
      </c>
      <c r="AM749" s="222">
        <v>0</v>
      </c>
      <c r="AN749" s="222"/>
      <c r="AO749" s="222">
        <v>0</v>
      </c>
    </row>
    <row r="750" spans="1:41" s="223" customFormat="1" ht="36" customHeight="1" x14ac:dyDescent="0.25">
      <c r="A750" s="223">
        <v>1</v>
      </c>
      <c r="B750" s="225">
        <f>SUBTOTAL(103,$A$552:A750)</f>
        <v>195</v>
      </c>
      <c r="C750" s="215" t="s">
        <v>1173</v>
      </c>
      <c r="D750" s="217">
        <v>1979</v>
      </c>
      <c r="E750" s="217">
        <v>2016</v>
      </c>
      <c r="F750" s="226" t="s">
        <v>318</v>
      </c>
      <c r="G750" s="217">
        <v>9</v>
      </c>
      <c r="H750" s="217" t="s">
        <v>308</v>
      </c>
      <c r="I750" s="190">
        <v>7590.3</v>
      </c>
      <c r="J750" s="190">
        <v>7004.9</v>
      </c>
      <c r="K750" s="190">
        <v>6957</v>
      </c>
      <c r="L750" s="219">
        <v>363</v>
      </c>
      <c r="M750" s="217" t="s">
        <v>265</v>
      </c>
      <c r="N750" s="217" t="s">
        <v>269</v>
      </c>
      <c r="O750" s="220" t="s">
        <v>319</v>
      </c>
      <c r="P750" s="190">
        <v>15831307.709999999</v>
      </c>
      <c r="Q750" s="190">
        <v>0</v>
      </c>
      <c r="R750" s="190">
        <v>0</v>
      </c>
      <c r="S750" s="190">
        <f t="shared" si="85"/>
        <v>15831307.709999999</v>
      </c>
      <c r="T750" s="190">
        <f t="shared" si="80"/>
        <v>2085.7288526145212</v>
      </c>
      <c r="U750" s="190">
        <v>4998.25</v>
      </c>
      <c r="V750" s="221">
        <f>U750-T750</f>
        <v>2912.5211473854788</v>
      </c>
      <c r="W750" s="221">
        <f>X750+Y750+Z750+AA750+AB750+AD750+AF750+AH750+AJ750+AL750+AN750+AO750</f>
        <v>3791.6299999999997</v>
      </c>
      <c r="X750" s="221">
        <v>101.55</v>
      </c>
      <c r="Y750" s="222">
        <v>245.44</v>
      </c>
      <c r="Z750" s="222">
        <v>3259.66</v>
      </c>
      <c r="AA750" s="222">
        <v>184.98</v>
      </c>
      <c r="AB750" s="222">
        <v>0</v>
      </c>
      <c r="AC750" s="222">
        <v>0</v>
      </c>
      <c r="AD750" s="222">
        <v>0</v>
      </c>
      <c r="AE750" s="222">
        <v>0</v>
      </c>
      <c r="AF750" s="221">
        <v>0</v>
      </c>
      <c r="AG750" s="222">
        <v>0</v>
      </c>
      <c r="AH750" s="221">
        <v>0</v>
      </c>
      <c r="AI750" s="222">
        <v>0</v>
      </c>
      <c r="AJ750" s="221">
        <v>0</v>
      </c>
      <c r="AK750" s="222">
        <v>0</v>
      </c>
      <c r="AL750" s="222">
        <v>0</v>
      </c>
      <c r="AM750" s="222">
        <v>0</v>
      </c>
      <c r="AN750" s="222"/>
      <c r="AO750" s="222">
        <v>0</v>
      </c>
    </row>
    <row r="751" spans="1:41" s="223" customFormat="1" ht="36" customHeight="1" x14ac:dyDescent="0.25">
      <c r="A751" s="223">
        <v>1</v>
      </c>
      <c r="B751" s="225">
        <f>SUBTOTAL(103,$A$552:A751)</f>
        <v>196</v>
      </c>
      <c r="C751" s="215" t="s">
        <v>381</v>
      </c>
      <c r="D751" s="217">
        <v>1995</v>
      </c>
      <c r="E751" s="217">
        <v>2015</v>
      </c>
      <c r="F751" s="226" t="s">
        <v>311</v>
      </c>
      <c r="G751" s="217">
        <v>9</v>
      </c>
      <c r="H751" s="217" t="s">
        <v>351</v>
      </c>
      <c r="I751" s="218">
        <v>12180.7</v>
      </c>
      <c r="J751" s="218">
        <v>10849.3</v>
      </c>
      <c r="K751" s="218">
        <v>10849.3</v>
      </c>
      <c r="L751" s="219">
        <v>500</v>
      </c>
      <c r="M751" s="217" t="s">
        <v>265</v>
      </c>
      <c r="N751" s="217" t="s">
        <v>269</v>
      </c>
      <c r="O751" s="220" t="s">
        <v>319</v>
      </c>
      <c r="P751" s="190">
        <v>14315249.970000001</v>
      </c>
      <c r="Q751" s="190">
        <v>0</v>
      </c>
      <c r="R751" s="190">
        <v>0</v>
      </c>
      <c r="S751" s="190">
        <f t="shared" si="85"/>
        <v>14315249.970000001</v>
      </c>
      <c r="T751" s="190">
        <f t="shared" si="80"/>
        <v>1175.2403367622551</v>
      </c>
      <c r="U751" s="190">
        <v>5506.3531291305089</v>
      </c>
      <c r="V751" s="221">
        <f t="shared" si="81"/>
        <v>4331.1127923682543</v>
      </c>
      <c r="W751" s="221">
        <f t="shared" si="86"/>
        <v>1586.6316967826149</v>
      </c>
      <c r="X751" s="221">
        <v>0</v>
      </c>
      <c r="Y751" s="222">
        <v>0</v>
      </c>
      <c r="Z751" s="222">
        <v>0</v>
      </c>
      <c r="AA751" s="222">
        <v>0</v>
      </c>
      <c r="AB751" s="222">
        <v>0</v>
      </c>
      <c r="AC751" s="222">
        <v>0</v>
      </c>
      <c r="AD751" s="222">
        <v>0</v>
      </c>
      <c r="AE751" s="222">
        <v>0</v>
      </c>
      <c r="AF751" s="221">
        <v>0</v>
      </c>
      <c r="AG751" s="222">
        <v>0</v>
      </c>
      <c r="AH751" s="221">
        <v>0</v>
      </c>
      <c r="AI751" s="222">
        <v>2476.9</v>
      </c>
      <c r="AJ751" s="221">
        <f>7802.61*AI751/I751</f>
        <v>1586.6316967826149</v>
      </c>
      <c r="AK751" s="222">
        <v>0</v>
      </c>
      <c r="AL751" s="222">
        <v>0</v>
      </c>
      <c r="AM751" s="222">
        <v>0</v>
      </c>
      <c r="AN751" s="222"/>
      <c r="AO751" s="222">
        <v>0</v>
      </c>
    </row>
    <row r="752" spans="1:41" s="223" customFormat="1" ht="36" customHeight="1" x14ac:dyDescent="0.25">
      <c r="A752" s="223">
        <v>1</v>
      </c>
      <c r="B752" s="225">
        <f>SUBTOTAL(103,$A$552:A752)</f>
        <v>197</v>
      </c>
      <c r="C752" s="215" t="s">
        <v>1174</v>
      </c>
      <c r="D752" s="217">
        <v>1985</v>
      </c>
      <c r="E752" s="217">
        <v>2018</v>
      </c>
      <c r="F752" s="226" t="s">
        <v>267</v>
      </c>
      <c r="G752" s="217">
        <v>9</v>
      </c>
      <c r="H752" s="217" t="s">
        <v>304</v>
      </c>
      <c r="I752" s="190">
        <v>5367.9</v>
      </c>
      <c r="J752" s="190">
        <v>4145.6000000000004</v>
      </c>
      <c r="K752" s="190">
        <v>3643.5</v>
      </c>
      <c r="L752" s="219">
        <v>300</v>
      </c>
      <c r="M752" s="217" t="s">
        <v>265</v>
      </c>
      <c r="N752" s="217" t="s">
        <v>269</v>
      </c>
      <c r="O752" s="220" t="s">
        <v>1345</v>
      </c>
      <c r="P752" s="190">
        <v>3601876.7</v>
      </c>
      <c r="Q752" s="190">
        <v>0</v>
      </c>
      <c r="R752" s="190">
        <v>0</v>
      </c>
      <c r="S752" s="190">
        <f t="shared" si="85"/>
        <v>3601876.7</v>
      </c>
      <c r="T752" s="190">
        <f t="shared" si="80"/>
        <v>671.00294342294012</v>
      </c>
      <c r="U752" s="190">
        <v>915.73986102572712</v>
      </c>
      <c r="V752" s="221">
        <f t="shared" si="81"/>
        <v>244.736917602787</v>
      </c>
      <c r="W752" s="221">
        <f t="shared" si="86"/>
        <v>3791.6299999999997</v>
      </c>
      <c r="X752" s="221">
        <v>101.55</v>
      </c>
      <c r="Y752" s="222">
        <v>245.44</v>
      </c>
      <c r="Z752" s="222">
        <v>3259.66</v>
      </c>
      <c r="AA752" s="222">
        <v>184.98</v>
      </c>
      <c r="AB752" s="222">
        <v>0</v>
      </c>
      <c r="AC752" s="222">
        <v>0</v>
      </c>
      <c r="AD752" s="222">
        <v>0</v>
      </c>
      <c r="AE752" s="222">
        <v>0</v>
      </c>
      <c r="AF752" s="221">
        <v>0</v>
      </c>
      <c r="AG752" s="222">
        <v>0</v>
      </c>
      <c r="AH752" s="221">
        <v>0</v>
      </c>
      <c r="AI752" s="222">
        <v>0</v>
      </c>
      <c r="AJ752" s="221">
        <v>0</v>
      </c>
      <c r="AK752" s="222">
        <v>0</v>
      </c>
      <c r="AL752" s="222">
        <v>0</v>
      </c>
      <c r="AM752" s="222">
        <v>0</v>
      </c>
      <c r="AN752" s="222"/>
      <c r="AO752" s="222">
        <v>0</v>
      </c>
    </row>
    <row r="753" spans="1:41" s="223" customFormat="1" ht="36" customHeight="1" x14ac:dyDescent="0.25">
      <c r="A753" s="223">
        <v>1</v>
      </c>
      <c r="B753" s="225">
        <f>SUBTOTAL(103,$A$552:A753)</f>
        <v>198</v>
      </c>
      <c r="C753" s="215" t="s">
        <v>1946</v>
      </c>
      <c r="D753" s="217">
        <v>1975</v>
      </c>
      <c r="E753" s="217"/>
      <c r="F753" s="226" t="s">
        <v>318</v>
      </c>
      <c r="G753" s="217" t="s">
        <v>351</v>
      </c>
      <c r="H753" s="217" t="s">
        <v>351</v>
      </c>
      <c r="I753" s="190">
        <v>5911.9</v>
      </c>
      <c r="J753" s="190">
        <v>3394.8</v>
      </c>
      <c r="K753" s="190">
        <v>3394.8</v>
      </c>
      <c r="L753" s="219">
        <v>170</v>
      </c>
      <c r="M753" s="217" t="s">
        <v>265</v>
      </c>
      <c r="N753" s="217" t="s">
        <v>269</v>
      </c>
      <c r="O753" s="220" t="s">
        <v>319</v>
      </c>
      <c r="P753" s="190">
        <v>6012472.5700000003</v>
      </c>
      <c r="Q753" s="190">
        <v>0</v>
      </c>
      <c r="R753" s="190">
        <v>0</v>
      </c>
      <c r="S753" s="190">
        <f t="shared" si="85"/>
        <v>6012472.5700000003</v>
      </c>
      <c r="T753" s="190">
        <f t="shared" si="80"/>
        <v>1017.0118861956394</v>
      </c>
      <c r="U753" s="190">
        <v>3295.4442580219556</v>
      </c>
      <c r="V753" s="221">
        <f t="shared" si="81"/>
        <v>2278.4323718263163</v>
      </c>
      <c r="W753" s="221">
        <f t="shared" si="86"/>
        <v>11345.123489910182</v>
      </c>
      <c r="X753" s="221">
        <v>0</v>
      </c>
      <c r="Y753" s="222">
        <v>0</v>
      </c>
      <c r="Z753" s="222">
        <v>0</v>
      </c>
      <c r="AA753" s="222">
        <v>0</v>
      </c>
      <c r="AB753" s="222">
        <v>0</v>
      </c>
      <c r="AC753" s="222">
        <v>0</v>
      </c>
      <c r="AD753" s="222">
        <v>0</v>
      </c>
      <c r="AE753" s="222">
        <v>0</v>
      </c>
      <c r="AF753" s="221">
        <v>0</v>
      </c>
      <c r="AG753" s="222">
        <v>0</v>
      </c>
      <c r="AH753" s="221">
        <v>0</v>
      </c>
      <c r="AI753" s="222">
        <v>8596</v>
      </c>
      <c r="AJ753" s="221">
        <f>7802.61*AI753/I753</f>
        <v>11345.123489910182</v>
      </c>
      <c r="AK753" s="222">
        <v>0</v>
      </c>
      <c r="AL753" s="222">
        <v>0</v>
      </c>
      <c r="AM753" s="222">
        <v>0</v>
      </c>
      <c r="AN753" s="222"/>
      <c r="AO753" s="222">
        <v>0</v>
      </c>
    </row>
    <row r="754" spans="1:41" s="223" customFormat="1" ht="36" customHeight="1" x14ac:dyDescent="0.25">
      <c r="A754" s="223">
        <v>1</v>
      </c>
      <c r="B754" s="225">
        <f>SUBTOTAL(103,$A$552:A754)</f>
        <v>199</v>
      </c>
      <c r="C754" s="215" t="s">
        <v>2318</v>
      </c>
      <c r="D754" s="217">
        <v>2004</v>
      </c>
      <c r="E754" s="217"/>
      <c r="F754" s="226" t="s">
        <v>318</v>
      </c>
      <c r="G754" s="217" t="s">
        <v>351</v>
      </c>
      <c r="H754" s="217" t="s">
        <v>351</v>
      </c>
      <c r="I754" s="190">
        <v>6988.9</v>
      </c>
      <c r="J754" s="190">
        <v>6308.3</v>
      </c>
      <c r="K754" s="190">
        <v>6308.3</v>
      </c>
      <c r="L754" s="219">
        <v>305</v>
      </c>
      <c r="M754" s="217" t="s">
        <v>265</v>
      </c>
      <c r="N754" s="217" t="s">
        <v>269</v>
      </c>
      <c r="O754" s="220" t="s">
        <v>319</v>
      </c>
      <c r="P754" s="190">
        <v>7361799.4300000006</v>
      </c>
      <c r="Q754" s="190">
        <v>0</v>
      </c>
      <c r="R754" s="190">
        <v>0</v>
      </c>
      <c r="S754" s="190">
        <f t="shared" si="85"/>
        <v>7361799.4300000006</v>
      </c>
      <c r="T754" s="190">
        <f t="shared" si="80"/>
        <v>1053.3559544420439</v>
      </c>
      <c r="U754" s="190">
        <v>2000.1058249509938</v>
      </c>
      <c r="V754" s="221">
        <f t="shared" si="81"/>
        <v>946.74987050894993</v>
      </c>
      <c r="W754" s="221">
        <f t="shared" si="86"/>
        <v>9596.822899168681</v>
      </c>
      <c r="X754" s="221">
        <v>0</v>
      </c>
      <c r="Y754" s="222">
        <v>0</v>
      </c>
      <c r="Z754" s="222">
        <v>0</v>
      </c>
      <c r="AA754" s="222">
        <v>0</v>
      </c>
      <c r="AB754" s="222">
        <v>0</v>
      </c>
      <c r="AC754" s="222">
        <v>0</v>
      </c>
      <c r="AD754" s="222">
        <v>0</v>
      </c>
      <c r="AE754" s="222">
        <v>0</v>
      </c>
      <c r="AF754" s="221">
        <v>0</v>
      </c>
      <c r="AG754" s="222">
        <v>0</v>
      </c>
      <c r="AH754" s="221">
        <v>0</v>
      </c>
      <c r="AI754" s="222">
        <v>8596</v>
      </c>
      <c r="AJ754" s="221">
        <f>7802.61*AI754/I754</f>
        <v>9596.822899168681</v>
      </c>
      <c r="AK754" s="222">
        <v>0</v>
      </c>
      <c r="AL754" s="222">
        <v>0</v>
      </c>
      <c r="AM754" s="222">
        <v>0</v>
      </c>
      <c r="AN754" s="222"/>
      <c r="AO754" s="222">
        <v>0</v>
      </c>
    </row>
    <row r="755" spans="1:41" s="223" customFormat="1" ht="36" customHeight="1" x14ac:dyDescent="0.25">
      <c r="A755" s="223">
        <v>1</v>
      </c>
      <c r="B755" s="225">
        <f>SUBTOTAL(103,$A$552:A755)</f>
        <v>200</v>
      </c>
      <c r="C755" s="215" t="s">
        <v>1463</v>
      </c>
      <c r="D755" s="217">
        <v>1981</v>
      </c>
      <c r="E755" s="217"/>
      <c r="F755" s="226" t="s">
        <v>318</v>
      </c>
      <c r="G755" s="217">
        <v>9</v>
      </c>
      <c r="H755" s="217" t="s">
        <v>308</v>
      </c>
      <c r="I755" s="218">
        <v>8719.1</v>
      </c>
      <c r="J755" s="218">
        <v>7825</v>
      </c>
      <c r="K755" s="218">
        <v>7825</v>
      </c>
      <c r="L755" s="219">
        <v>380</v>
      </c>
      <c r="M755" s="217" t="s">
        <v>265</v>
      </c>
      <c r="N755" s="217" t="s">
        <v>269</v>
      </c>
      <c r="O755" s="220" t="s">
        <v>319</v>
      </c>
      <c r="P755" s="190">
        <v>9831200</v>
      </c>
      <c r="Q755" s="190">
        <v>0</v>
      </c>
      <c r="R755" s="190">
        <v>0</v>
      </c>
      <c r="S755" s="190">
        <f t="shared" si="85"/>
        <v>9831200</v>
      </c>
      <c r="T755" s="190">
        <f t="shared" si="80"/>
        <v>1127.547567982934</v>
      </c>
      <c r="U755" s="190">
        <v>1127.547567982934</v>
      </c>
      <c r="V755" s="221">
        <f>U755-T755</f>
        <v>0</v>
      </c>
      <c r="W755" s="221">
        <f t="shared" ref="W755:W758" si="87">T755</f>
        <v>1127.547567982934</v>
      </c>
      <c r="X755" s="221">
        <v>0</v>
      </c>
      <c r="Y755" s="222">
        <v>0</v>
      </c>
      <c r="Z755" s="222">
        <v>0</v>
      </c>
      <c r="AA755" s="222">
        <v>0</v>
      </c>
      <c r="AB755" s="222">
        <v>0</v>
      </c>
      <c r="AC755" s="222">
        <v>0</v>
      </c>
      <c r="AD755" s="222">
        <v>0</v>
      </c>
      <c r="AE755" s="222">
        <v>0</v>
      </c>
      <c r="AF755" s="221">
        <v>0</v>
      </c>
      <c r="AG755" s="222">
        <v>0</v>
      </c>
      <c r="AH755" s="221">
        <v>0</v>
      </c>
      <c r="AI755" s="222">
        <v>0</v>
      </c>
      <c r="AJ755" s="221">
        <v>0</v>
      </c>
      <c r="AK755" s="222">
        <v>0</v>
      </c>
      <c r="AL755" s="222">
        <v>0</v>
      </c>
      <c r="AM755" s="222">
        <v>0</v>
      </c>
      <c r="AN755" s="222"/>
      <c r="AO755" s="222">
        <v>0</v>
      </c>
    </row>
    <row r="756" spans="1:41" s="223" customFormat="1" ht="36" customHeight="1" x14ac:dyDescent="0.25">
      <c r="A756" s="223">
        <v>1</v>
      </c>
      <c r="B756" s="225">
        <f>SUBTOTAL(103,$A$552:A756)</f>
        <v>201</v>
      </c>
      <c r="C756" s="215" t="s">
        <v>1464</v>
      </c>
      <c r="D756" s="217">
        <v>1983</v>
      </c>
      <c r="E756" s="217"/>
      <c r="F756" s="226" t="s">
        <v>318</v>
      </c>
      <c r="G756" s="217">
        <v>9</v>
      </c>
      <c r="H756" s="217" t="s">
        <v>308</v>
      </c>
      <c r="I756" s="218">
        <v>8604</v>
      </c>
      <c r="J756" s="218">
        <v>7732.2</v>
      </c>
      <c r="K756" s="218">
        <v>7732.2</v>
      </c>
      <c r="L756" s="219">
        <v>380</v>
      </c>
      <c r="M756" s="217" t="s">
        <v>265</v>
      </c>
      <c r="N756" s="217" t="s">
        <v>269</v>
      </c>
      <c r="O756" s="220" t="s">
        <v>319</v>
      </c>
      <c r="P756" s="190">
        <v>9831200</v>
      </c>
      <c r="Q756" s="190">
        <v>0</v>
      </c>
      <c r="R756" s="190">
        <v>0</v>
      </c>
      <c r="S756" s="190">
        <f t="shared" si="85"/>
        <v>9831200</v>
      </c>
      <c r="T756" s="190">
        <f t="shared" si="80"/>
        <v>1142.6313342631333</v>
      </c>
      <c r="U756" s="190">
        <v>1142.6313342631333</v>
      </c>
      <c r="V756" s="221">
        <f>U756-T756</f>
        <v>0</v>
      </c>
      <c r="W756" s="221">
        <f t="shared" si="87"/>
        <v>1142.6313342631333</v>
      </c>
      <c r="X756" s="221">
        <v>0</v>
      </c>
      <c r="Y756" s="222">
        <v>0</v>
      </c>
      <c r="Z756" s="222">
        <v>0</v>
      </c>
      <c r="AA756" s="222">
        <v>0</v>
      </c>
      <c r="AB756" s="222">
        <v>0</v>
      </c>
      <c r="AC756" s="222">
        <v>0</v>
      </c>
      <c r="AD756" s="222">
        <v>0</v>
      </c>
      <c r="AE756" s="222">
        <v>0</v>
      </c>
      <c r="AF756" s="221">
        <v>0</v>
      </c>
      <c r="AG756" s="222">
        <v>0</v>
      </c>
      <c r="AH756" s="221">
        <v>0</v>
      </c>
      <c r="AI756" s="222">
        <v>0</v>
      </c>
      <c r="AJ756" s="221">
        <v>0</v>
      </c>
      <c r="AK756" s="222">
        <v>0</v>
      </c>
      <c r="AL756" s="222">
        <v>0</v>
      </c>
      <c r="AM756" s="222">
        <v>0</v>
      </c>
      <c r="AN756" s="222"/>
      <c r="AO756" s="222">
        <v>0</v>
      </c>
    </row>
    <row r="757" spans="1:41" s="223" customFormat="1" ht="36" customHeight="1" x14ac:dyDescent="0.25">
      <c r="A757" s="223">
        <v>1</v>
      </c>
      <c r="B757" s="225">
        <f>SUBTOTAL(103,$A$552:A757)</f>
        <v>202</v>
      </c>
      <c r="C757" s="215" t="s">
        <v>2286</v>
      </c>
      <c r="D757" s="217">
        <v>1984</v>
      </c>
      <c r="E757" s="217"/>
      <c r="F757" s="226" t="s">
        <v>318</v>
      </c>
      <c r="G757" s="217">
        <v>9</v>
      </c>
      <c r="H757" s="217" t="s">
        <v>312</v>
      </c>
      <c r="I757" s="218">
        <v>9052.5</v>
      </c>
      <c r="J757" s="218">
        <v>5819.6</v>
      </c>
      <c r="K757" s="218">
        <v>5819.6</v>
      </c>
      <c r="L757" s="219">
        <v>262</v>
      </c>
      <c r="M757" s="217" t="s">
        <v>265</v>
      </c>
      <c r="N757" s="217" t="s">
        <v>269</v>
      </c>
      <c r="O757" s="220" t="s">
        <v>319</v>
      </c>
      <c r="P757" s="190">
        <v>7373400</v>
      </c>
      <c r="Q757" s="190">
        <v>0</v>
      </c>
      <c r="R757" s="190">
        <v>0</v>
      </c>
      <c r="S757" s="190">
        <f t="shared" si="85"/>
        <v>7373400</v>
      </c>
      <c r="T757" s="190">
        <f t="shared" si="80"/>
        <v>814.51532725766367</v>
      </c>
      <c r="U757" s="190">
        <v>814.51532725766367</v>
      </c>
      <c r="V757" s="221">
        <f>U757-T757</f>
        <v>0</v>
      </c>
      <c r="W757" s="221">
        <f t="shared" si="87"/>
        <v>814.51532725766367</v>
      </c>
      <c r="X757" s="221">
        <v>0</v>
      </c>
      <c r="Y757" s="222">
        <v>0</v>
      </c>
      <c r="Z757" s="222">
        <v>0</v>
      </c>
      <c r="AA757" s="222">
        <v>0</v>
      </c>
      <c r="AB757" s="222">
        <v>0</v>
      </c>
      <c r="AC757" s="222">
        <v>0</v>
      </c>
      <c r="AD757" s="222">
        <v>0</v>
      </c>
      <c r="AE757" s="222">
        <v>0</v>
      </c>
      <c r="AF757" s="221">
        <v>0</v>
      </c>
      <c r="AG757" s="222">
        <v>0</v>
      </c>
      <c r="AH757" s="221">
        <v>0</v>
      </c>
      <c r="AI757" s="222">
        <v>0</v>
      </c>
      <c r="AJ757" s="221">
        <v>0</v>
      </c>
      <c r="AK757" s="222">
        <v>0</v>
      </c>
      <c r="AL757" s="222">
        <v>0</v>
      </c>
      <c r="AM757" s="222">
        <v>0</v>
      </c>
      <c r="AN757" s="222"/>
      <c r="AO757" s="222">
        <v>0</v>
      </c>
    </row>
    <row r="758" spans="1:41" s="223" customFormat="1" ht="36" customHeight="1" x14ac:dyDescent="0.25">
      <c r="A758" s="223">
        <v>1</v>
      </c>
      <c r="B758" s="225">
        <f>SUBTOTAL(103,$A$552:A758)</f>
        <v>203</v>
      </c>
      <c r="C758" s="215" t="s">
        <v>2325</v>
      </c>
      <c r="D758" s="217">
        <v>1986</v>
      </c>
      <c r="E758" s="217"/>
      <c r="F758" s="226" t="s">
        <v>318</v>
      </c>
      <c r="G758" s="217">
        <v>9</v>
      </c>
      <c r="H758" s="217" t="s">
        <v>308</v>
      </c>
      <c r="I758" s="218">
        <v>8634</v>
      </c>
      <c r="J758" s="218">
        <v>7746.5</v>
      </c>
      <c r="K758" s="218">
        <v>7730.1</v>
      </c>
      <c r="L758" s="219">
        <v>349</v>
      </c>
      <c r="M758" s="217" t="s">
        <v>265</v>
      </c>
      <c r="N758" s="217" t="s">
        <v>269</v>
      </c>
      <c r="O758" s="220" t="s">
        <v>319</v>
      </c>
      <c r="P758" s="190">
        <v>9831200</v>
      </c>
      <c r="Q758" s="190">
        <v>0</v>
      </c>
      <c r="R758" s="190">
        <v>0</v>
      </c>
      <c r="S758" s="190">
        <f t="shared" si="85"/>
        <v>9831200</v>
      </c>
      <c r="T758" s="190">
        <f t="shared" si="80"/>
        <v>1138.6611072504054</v>
      </c>
      <c r="U758" s="190">
        <v>1138.6611072504054</v>
      </c>
      <c r="V758" s="221">
        <f>U758-T758</f>
        <v>0</v>
      </c>
      <c r="W758" s="221">
        <f t="shared" si="87"/>
        <v>1138.6611072504054</v>
      </c>
      <c r="X758" s="221">
        <v>0</v>
      </c>
      <c r="Y758" s="222">
        <v>0</v>
      </c>
      <c r="Z758" s="222">
        <v>0</v>
      </c>
      <c r="AA758" s="222">
        <v>0</v>
      </c>
      <c r="AB758" s="222">
        <v>0</v>
      </c>
      <c r="AC758" s="222">
        <v>0</v>
      </c>
      <c r="AD758" s="222">
        <v>0</v>
      </c>
      <c r="AE758" s="222">
        <v>0</v>
      </c>
      <c r="AF758" s="221">
        <v>0</v>
      </c>
      <c r="AG758" s="222">
        <v>0</v>
      </c>
      <c r="AH758" s="221">
        <v>0</v>
      </c>
      <c r="AI758" s="222">
        <v>0</v>
      </c>
      <c r="AJ758" s="221">
        <v>0</v>
      </c>
      <c r="AK758" s="222">
        <v>0</v>
      </c>
      <c r="AL758" s="222">
        <v>0</v>
      </c>
      <c r="AM758" s="222">
        <v>0</v>
      </c>
      <c r="AN758" s="222"/>
      <c r="AO758" s="222">
        <v>0</v>
      </c>
    </row>
    <row r="759" spans="1:41" s="223" customFormat="1" ht="36" customHeight="1" x14ac:dyDescent="0.25">
      <c r="B759" s="215" t="s">
        <v>815</v>
      </c>
      <c r="C759" s="227"/>
      <c r="D759" s="217" t="s">
        <v>890</v>
      </c>
      <c r="E759" s="217" t="s">
        <v>890</v>
      </c>
      <c r="F759" s="217" t="s">
        <v>890</v>
      </c>
      <c r="G759" s="217" t="s">
        <v>890</v>
      </c>
      <c r="H759" s="217" t="s">
        <v>890</v>
      </c>
      <c r="I759" s="218">
        <f>SUM(I760:I785)</f>
        <v>53937.16</v>
      </c>
      <c r="J759" s="218">
        <f>SUM(J760:J785)</f>
        <v>41040.6</v>
      </c>
      <c r="K759" s="218">
        <f>SUM(K760:K785)</f>
        <v>40044.11</v>
      </c>
      <c r="L759" s="219">
        <f>SUM(L760:L785)</f>
        <v>2174</v>
      </c>
      <c r="M759" s="217" t="s">
        <v>890</v>
      </c>
      <c r="N759" s="217" t="s">
        <v>890</v>
      </c>
      <c r="O759" s="220" t="s">
        <v>890</v>
      </c>
      <c r="P759" s="218">
        <v>107004610.82000002</v>
      </c>
      <c r="Q759" s="218">
        <f>SUM(Q760:Q785)</f>
        <v>0</v>
      </c>
      <c r="R759" s="218">
        <f>SUM(R760:R785)</f>
        <v>0</v>
      </c>
      <c r="S759" s="218">
        <f>SUM(S760:S785)</f>
        <v>107004610.82000002</v>
      </c>
      <c r="T759" s="190">
        <f t="shared" si="80"/>
        <v>1983.8755103160793</v>
      </c>
      <c r="U759" s="190">
        <f>MAX(U760:U785)</f>
        <v>9955.2953636149687</v>
      </c>
      <c r="V759" s="221">
        <f t="shared" si="81"/>
        <v>7971.4198532988894</v>
      </c>
      <c r="W759" s="221"/>
      <c r="X759" s="221"/>
      <c r="Y759" s="222"/>
      <c r="Z759" s="222"/>
      <c r="AA759" s="222"/>
      <c r="AB759" s="222"/>
      <c r="AC759" s="222"/>
      <c r="AD759" s="222"/>
      <c r="AE759" s="222"/>
      <c r="AF759" s="222"/>
      <c r="AG759" s="222"/>
      <c r="AH759" s="222"/>
      <c r="AI759" s="222"/>
      <c r="AJ759" s="222"/>
      <c r="AK759" s="222"/>
      <c r="AL759" s="222"/>
      <c r="AM759" s="222"/>
      <c r="AN759" s="222"/>
      <c r="AO759" s="222"/>
    </row>
    <row r="760" spans="1:41" s="223" customFormat="1" ht="36" customHeight="1" x14ac:dyDescent="0.25">
      <c r="A760" s="223">
        <v>1</v>
      </c>
      <c r="B760" s="225">
        <f>SUBTOTAL(103,$A$552:A760)</f>
        <v>204</v>
      </c>
      <c r="C760" s="215" t="s">
        <v>610</v>
      </c>
      <c r="D760" s="217">
        <v>1966</v>
      </c>
      <c r="E760" s="217"/>
      <c r="F760" s="226" t="s">
        <v>267</v>
      </c>
      <c r="G760" s="217">
        <v>5</v>
      </c>
      <c r="H760" s="217" t="s">
        <v>312</v>
      </c>
      <c r="I760" s="218">
        <v>4109.6000000000004</v>
      </c>
      <c r="J760" s="218">
        <v>2516.14</v>
      </c>
      <c r="K760" s="218">
        <v>2269.44</v>
      </c>
      <c r="L760" s="219">
        <v>105</v>
      </c>
      <c r="M760" s="217" t="s">
        <v>265</v>
      </c>
      <c r="N760" s="217" t="s">
        <v>269</v>
      </c>
      <c r="O760" s="220" t="s">
        <v>1078</v>
      </c>
      <c r="P760" s="190">
        <v>4305622.5199999996</v>
      </c>
      <c r="Q760" s="190">
        <v>0</v>
      </c>
      <c r="R760" s="190">
        <v>0</v>
      </c>
      <c r="S760" s="190">
        <f t="shared" ref="S760:S785" si="88">P760-Q760-R760</f>
        <v>4305622.5199999996</v>
      </c>
      <c r="T760" s="190">
        <f t="shared" si="80"/>
        <v>1047.6986860035038</v>
      </c>
      <c r="U760" s="190">
        <v>1224.0734134708973</v>
      </c>
      <c r="V760" s="221">
        <f t="shared" si="81"/>
        <v>176.37472746739354</v>
      </c>
      <c r="W760" s="221">
        <f t="shared" ref="W760:W785" si="89">X760+Y760+Z760+AA760+AB760+AD760+AF760+AH760+AJ760+AL760+AN760+AO760</f>
        <v>1173.5150452598791</v>
      </c>
      <c r="X760" s="221">
        <v>0</v>
      </c>
      <c r="Y760" s="222">
        <v>0</v>
      </c>
      <c r="Z760" s="222">
        <v>0</v>
      </c>
      <c r="AA760" s="222">
        <v>0</v>
      </c>
      <c r="AB760" s="222">
        <v>0</v>
      </c>
      <c r="AC760" s="222">
        <v>0</v>
      </c>
      <c r="AD760" s="222">
        <v>0</v>
      </c>
      <c r="AE760" s="222">
        <v>773</v>
      </c>
      <c r="AF760" s="221">
        <f t="shared" ref="AF760:AF768" si="90">6238.91*AE760/I760</f>
        <v>1173.5150452598791</v>
      </c>
      <c r="AG760" s="222">
        <v>0</v>
      </c>
      <c r="AH760" s="221">
        <v>0</v>
      </c>
      <c r="AI760" s="222">
        <v>0</v>
      </c>
      <c r="AJ760" s="221">
        <v>0</v>
      </c>
      <c r="AK760" s="222">
        <v>0</v>
      </c>
      <c r="AL760" s="222">
        <v>0</v>
      </c>
      <c r="AM760" s="222">
        <v>0</v>
      </c>
      <c r="AN760" s="222"/>
      <c r="AO760" s="222">
        <v>0</v>
      </c>
    </row>
    <row r="761" spans="1:41" s="223" customFormat="1" ht="36" customHeight="1" x14ac:dyDescent="0.25">
      <c r="A761" s="223">
        <v>1</v>
      </c>
      <c r="B761" s="225">
        <f>SUBTOTAL(103,$A$552:A761)</f>
        <v>205</v>
      </c>
      <c r="C761" s="215" t="s">
        <v>611</v>
      </c>
      <c r="D761" s="217">
        <v>1965</v>
      </c>
      <c r="E761" s="217"/>
      <c r="F761" s="226" t="s">
        <v>267</v>
      </c>
      <c r="G761" s="217" t="s">
        <v>351</v>
      </c>
      <c r="H761" s="217" t="s">
        <v>308</v>
      </c>
      <c r="I761" s="218">
        <v>4233.3599999999997</v>
      </c>
      <c r="J761" s="218">
        <v>3105.6</v>
      </c>
      <c r="K761" s="218">
        <v>3105.6</v>
      </c>
      <c r="L761" s="219">
        <v>208</v>
      </c>
      <c r="M761" s="217" t="s">
        <v>265</v>
      </c>
      <c r="N761" s="217" t="s">
        <v>269</v>
      </c>
      <c r="O761" s="220" t="s">
        <v>706</v>
      </c>
      <c r="P761" s="190">
        <v>5849319.5699999994</v>
      </c>
      <c r="Q761" s="190">
        <v>0</v>
      </c>
      <c r="R761" s="190">
        <v>0</v>
      </c>
      <c r="S761" s="190">
        <f t="shared" si="88"/>
        <v>5849319.5699999994</v>
      </c>
      <c r="T761" s="190">
        <f t="shared" si="80"/>
        <v>1381.7203285333635</v>
      </c>
      <c r="U761" s="190">
        <v>1614.1043993423664</v>
      </c>
      <c r="V761" s="221">
        <f t="shared" si="81"/>
        <v>232.38407080900288</v>
      </c>
      <c r="W761" s="221">
        <f t="shared" si="89"/>
        <v>1547.4364334712852</v>
      </c>
      <c r="X761" s="221">
        <v>0</v>
      </c>
      <c r="Y761" s="222">
        <v>0</v>
      </c>
      <c r="Z761" s="222">
        <v>0</v>
      </c>
      <c r="AA761" s="222">
        <v>0</v>
      </c>
      <c r="AB761" s="222">
        <v>0</v>
      </c>
      <c r="AC761" s="222">
        <v>0</v>
      </c>
      <c r="AD761" s="222">
        <v>0</v>
      </c>
      <c r="AE761" s="222">
        <v>1050</v>
      </c>
      <c r="AF761" s="221">
        <f t="shared" si="90"/>
        <v>1547.4364334712852</v>
      </c>
      <c r="AG761" s="222">
        <v>0</v>
      </c>
      <c r="AH761" s="221">
        <v>0</v>
      </c>
      <c r="AI761" s="222">
        <v>0</v>
      </c>
      <c r="AJ761" s="221">
        <v>0</v>
      </c>
      <c r="AK761" s="222">
        <v>0</v>
      </c>
      <c r="AL761" s="222">
        <v>0</v>
      </c>
      <c r="AM761" s="222">
        <v>0</v>
      </c>
      <c r="AN761" s="222"/>
      <c r="AO761" s="222">
        <v>0</v>
      </c>
    </row>
    <row r="762" spans="1:41" s="223" customFormat="1" ht="36" customHeight="1" x14ac:dyDescent="0.25">
      <c r="A762" s="223">
        <v>1</v>
      </c>
      <c r="B762" s="225">
        <f>SUBTOTAL(103,$A$552:A762)</f>
        <v>206</v>
      </c>
      <c r="C762" s="215" t="s">
        <v>612</v>
      </c>
      <c r="D762" s="217">
        <v>1964</v>
      </c>
      <c r="E762" s="217"/>
      <c r="F762" s="226" t="s">
        <v>267</v>
      </c>
      <c r="G762" s="217" t="s">
        <v>308</v>
      </c>
      <c r="H762" s="217" t="s">
        <v>308</v>
      </c>
      <c r="I762" s="218">
        <v>3054.2</v>
      </c>
      <c r="J762" s="218">
        <v>2812.7</v>
      </c>
      <c r="K762" s="218">
        <v>2812.7</v>
      </c>
      <c r="L762" s="219">
        <v>156</v>
      </c>
      <c r="M762" s="217" t="s">
        <v>265</v>
      </c>
      <c r="N762" s="217" t="s">
        <v>269</v>
      </c>
      <c r="O762" s="220" t="s">
        <v>706</v>
      </c>
      <c r="P762" s="190">
        <v>4691039.5599999996</v>
      </c>
      <c r="Q762" s="190">
        <v>0</v>
      </c>
      <c r="R762" s="190">
        <v>0</v>
      </c>
      <c r="S762" s="190">
        <f t="shared" si="88"/>
        <v>4691039.5599999996</v>
      </c>
      <c r="T762" s="190">
        <f t="shared" si="80"/>
        <v>1535.9307052583326</v>
      </c>
      <c r="U762" s="190">
        <v>2013.5474101237642</v>
      </c>
      <c r="V762" s="221">
        <f t="shared" si="81"/>
        <v>477.61670486543153</v>
      </c>
      <c r="W762" s="221">
        <f t="shared" si="89"/>
        <v>1930.3810981599111</v>
      </c>
      <c r="X762" s="221">
        <v>0</v>
      </c>
      <c r="Y762" s="222">
        <v>0</v>
      </c>
      <c r="Z762" s="222">
        <v>0</v>
      </c>
      <c r="AA762" s="222">
        <v>0</v>
      </c>
      <c r="AB762" s="222">
        <v>0</v>
      </c>
      <c r="AC762" s="222">
        <v>0</v>
      </c>
      <c r="AD762" s="222">
        <v>0</v>
      </c>
      <c r="AE762" s="222">
        <v>945</v>
      </c>
      <c r="AF762" s="221">
        <f t="shared" si="90"/>
        <v>1930.3810981599111</v>
      </c>
      <c r="AG762" s="222">
        <v>0</v>
      </c>
      <c r="AH762" s="221">
        <v>0</v>
      </c>
      <c r="AI762" s="222">
        <v>0</v>
      </c>
      <c r="AJ762" s="221">
        <v>0</v>
      </c>
      <c r="AK762" s="222">
        <v>0</v>
      </c>
      <c r="AL762" s="222">
        <v>0</v>
      </c>
      <c r="AM762" s="222">
        <v>0</v>
      </c>
      <c r="AN762" s="222"/>
      <c r="AO762" s="222">
        <v>0</v>
      </c>
    </row>
    <row r="763" spans="1:41" s="223" customFormat="1" ht="36" customHeight="1" x14ac:dyDescent="0.25">
      <c r="A763" s="223">
        <v>1</v>
      </c>
      <c r="B763" s="225">
        <f>SUBTOTAL(103,$A$552:A763)</f>
        <v>207</v>
      </c>
      <c r="C763" s="215" t="s">
        <v>616</v>
      </c>
      <c r="D763" s="217">
        <v>1955</v>
      </c>
      <c r="E763" s="217"/>
      <c r="F763" s="226" t="s">
        <v>267</v>
      </c>
      <c r="G763" s="217">
        <v>2</v>
      </c>
      <c r="H763" s="217">
        <v>1</v>
      </c>
      <c r="I763" s="218">
        <v>424.9</v>
      </c>
      <c r="J763" s="218">
        <v>343.85</v>
      </c>
      <c r="K763" s="218">
        <v>248.25</v>
      </c>
      <c r="L763" s="219">
        <v>21</v>
      </c>
      <c r="M763" s="217" t="s">
        <v>265</v>
      </c>
      <c r="N763" s="217" t="s">
        <v>266</v>
      </c>
      <c r="O763" s="220" t="s">
        <v>268</v>
      </c>
      <c r="P763" s="190">
        <v>3307936.78</v>
      </c>
      <c r="Q763" s="190">
        <v>0</v>
      </c>
      <c r="R763" s="190">
        <v>0</v>
      </c>
      <c r="S763" s="190">
        <f t="shared" si="88"/>
        <v>3307936.78</v>
      </c>
      <c r="T763" s="190">
        <f t="shared" si="80"/>
        <v>7785.2124735231819</v>
      </c>
      <c r="U763" s="190">
        <v>9955.2953636149687</v>
      </c>
      <c r="V763" s="221">
        <f t="shared" si="81"/>
        <v>2170.0828900917868</v>
      </c>
      <c r="W763" s="221">
        <f t="shared" si="89"/>
        <v>9544.108025417745</v>
      </c>
      <c r="X763" s="221">
        <v>0</v>
      </c>
      <c r="Y763" s="222">
        <v>0</v>
      </c>
      <c r="Z763" s="222">
        <v>0</v>
      </c>
      <c r="AA763" s="222">
        <v>0</v>
      </c>
      <c r="AB763" s="222">
        <v>0</v>
      </c>
      <c r="AC763" s="222">
        <v>0</v>
      </c>
      <c r="AD763" s="222">
        <v>0</v>
      </c>
      <c r="AE763" s="222">
        <v>650</v>
      </c>
      <c r="AF763" s="221">
        <f t="shared" si="90"/>
        <v>9544.108025417745</v>
      </c>
      <c r="AG763" s="222">
        <v>0</v>
      </c>
      <c r="AH763" s="221">
        <v>0</v>
      </c>
      <c r="AI763" s="222">
        <v>0</v>
      </c>
      <c r="AJ763" s="221">
        <v>0</v>
      </c>
      <c r="AK763" s="222">
        <v>0</v>
      </c>
      <c r="AL763" s="222">
        <v>0</v>
      </c>
      <c r="AM763" s="222">
        <v>0</v>
      </c>
      <c r="AN763" s="222"/>
      <c r="AO763" s="222">
        <v>0</v>
      </c>
    </row>
    <row r="764" spans="1:41" s="223" customFormat="1" ht="36" customHeight="1" x14ac:dyDescent="0.25">
      <c r="A764" s="223">
        <v>1</v>
      </c>
      <c r="B764" s="225">
        <f>SUBTOTAL(103,$A$552:A764)</f>
        <v>208</v>
      </c>
      <c r="C764" s="215" t="s">
        <v>617</v>
      </c>
      <c r="D764" s="217">
        <v>1977</v>
      </c>
      <c r="E764" s="217"/>
      <c r="F764" s="226" t="s">
        <v>267</v>
      </c>
      <c r="G764" s="217">
        <v>5</v>
      </c>
      <c r="H764" s="217" t="s">
        <v>371</v>
      </c>
      <c r="I764" s="218">
        <v>4398.3999999999996</v>
      </c>
      <c r="J764" s="218">
        <v>3962.5</v>
      </c>
      <c r="K764" s="218">
        <v>3962.5</v>
      </c>
      <c r="L764" s="219">
        <v>234</v>
      </c>
      <c r="M764" s="217" t="s">
        <v>265</v>
      </c>
      <c r="N764" s="217" t="s">
        <v>269</v>
      </c>
      <c r="O764" s="220" t="s">
        <v>1081</v>
      </c>
      <c r="P764" s="190">
        <v>5135695.41</v>
      </c>
      <c r="Q764" s="190">
        <v>0</v>
      </c>
      <c r="R764" s="190">
        <v>0</v>
      </c>
      <c r="S764" s="190">
        <f t="shared" si="88"/>
        <v>5135695.41</v>
      </c>
      <c r="T764" s="190">
        <f t="shared" si="80"/>
        <v>1167.6280943070208</v>
      </c>
      <c r="U764" s="190">
        <v>1538.7431793379412</v>
      </c>
      <c r="V764" s="221">
        <f t="shared" si="81"/>
        <v>371.11508503092045</v>
      </c>
      <c r="W764" s="221">
        <f t="shared" si="89"/>
        <v>1475.1878865041833</v>
      </c>
      <c r="X764" s="221">
        <v>0</v>
      </c>
      <c r="Y764" s="222">
        <v>0</v>
      </c>
      <c r="Z764" s="222">
        <v>0</v>
      </c>
      <c r="AA764" s="222">
        <v>0</v>
      </c>
      <c r="AB764" s="222">
        <v>0</v>
      </c>
      <c r="AC764" s="222">
        <v>0</v>
      </c>
      <c r="AD764" s="222">
        <v>0</v>
      </c>
      <c r="AE764" s="222">
        <v>1040</v>
      </c>
      <c r="AF764" s="221">
        <f t="shared" si="90"/>
        <v>1475.1878865041833</v>
      </c>
      <c r="AG764" s="222">
        <v>0</v>
      </c>
      <c r="AH764" s="221">
        <v>0</v>
      </c>
      <c r="AI764" s="222">
        <v>0</v>
      </c>
      <c r="AJ764" s="221">
        <v>0</v>
      </c>
      <c r="AK764" s="222">
        <v>0</v>
      </c>
      <c r="AL764" s="222">
        <v>0</v>
      </c>
      <c r="AM764" s="222">
        <v>0</v>
      </c>
      <c r="AN764" s="222"/>
      <c r="AO764" s="222">
        <v>0</v>
      </c>
    </row>
    <row r="765" spans="1:41" s="223" customFormat="1" ht="36" customHeight="1" x14ac:dyDescent="0.25">
      <c r="A765" s="223">
        <v>1</v>
      </c>
      <c r="B765" s="225">
        <f>SUBTOTAL(103,$A$552:A765)</f>
        <v>209</v>
      </c>
      <c r="C765" s="215" t="s">
        <v>615</v>
      </c>
      <c r="D765" s="217">
        <v>2001</v>
      </c>
      <c r="E765" s="217"/>
      <c r="F765" s="226" t="s">
        <v>311</v>
      </c>
      <c r="G765" s="217" t="s">
        <v>351</v>
      </c>
      <c r="H765" s="217" t="s">
        <v>303</v>
      </c>
      <c r="I765" s="218">
        <v>4008</v>
      </c>
      <c r="J765" s="218">
        <v>2472.3000000000002</v>
      </c>
      <c r="K765" s="218">
        <v>2472.3000000000002</v>
      </c>
      <c r="L765" s="219">
        <v>92</v>
      </c>
      <c r="M765" s="217" t="s">
        <v>265</v>
      </c>
      <c r="N765" s="217" t="s">
        <v>269</v>
      </c>
      <c r="O765" s="220" t="s">
        <v>1078</v>
      </c>
      <c r="P765" s="190">
        <v>4861949.2</v>
      </c>
      <c r="Q765" s="190">
        <v>0</v>
      </c>
      <c r="R765" s="190">
        <v>0</v>
      </c>
      <c r="S765" s="190">
        <f t="shared" si="88"/>
        <v>4861949.2</v>
      </c>
      <c r="T765" s="190">
        <f t="shared" si="80"/>
        <v>1213.0611776447106</v>
      </c>
      <c r="U765" s="190">
        <v>1521.3859530938123</v>
      </c>
      <c r="V765" s="221">
        <f t="shared" si="81"/>
        <v>308.32477544910171</v>
      </c>
      <c r="W765" s="221">
        <f t="shared" si="89"/>
        <v>1458.5475723552895</v>
      </c>
      <c r="X765" s="221">
        <v>0</v>
      </c>
      <c r="Y765" s="222">
        <v>0</v>
      </c>
      <c r="Z765" s="222">
        <v>0</v>
      </c>
      <c r="AA765" s="222">
        <v>0</v>
      </c>
      <c r="AB765" s="222">
        <v>0</v>
      </c>
      <c r="AC765" s="222">
        <v>0</v>
      </c>
      <c r="AD765" s="222">
        <v>0</v>
      </c>
      <c r="AE765" s="222">
        <v>937</v>
      </c>
      <c r="AF765" s="221">
        <f t="shared" si="90"/>
        <v>1458.5475723552895</v>
      </c>
      <c r="AG765" s="222">
        <v>0</v>
      </c>
      <c r="AH765" s="221">
        <v>0</v>
      </c>
      <c r="AI765" s="222">
        <v>0</v>
      </c>
      <c r="AJ765" s="221">
        <v>0</v>
      </c>
      <c r="AK765" s="222">
        <v>0</v>
      </c>
      <c r="AL765" s="222">
        <v>0</v>
      </c>
      <c r="AM765" s="222">
        <v>0</v>
      </c>
      <c r="AN765" s="222"/>
      <c r="AO765" s="222">
        <v>0</v>
      </c>
    </row>
    <row r="766" spans="1:41" s="223" customFormat="1" ht="36" customHeight="1" x14ac:dyDescent="0.25">
      <c r="A766" s="223">
        <v>1</v>
      </c>
      <c r="B766" s="225">
        <f>SUBTOTAL(103,$A$552:A766)</f>
        <v>210</v>
      </c>
      <c r="C766" s="215" t="s">
        <v>607</v>
      </c>
      <c r="D766" s="217">
        <v>1960</v>
      </c>
      <c r="E766" s="217"/>
      <c r="F766" s="226" t="s">
        <v>267</v>
      </c>
      <c r="G766" s="217">
        <v>2</v>
      </c>
      <c r="H766" s="217" t="s">
        <v>303</v>
      </c>
      <c r="I766" s="218">
        <v>676.9</v>
      </c>
      <c r="J766" s="218">
        <v>629.70000000000005</v>
      </c>
      <c r="K766" s="218">
        <v>629.70000000000005</v>
      </c>
      <c r="L766" s="219">
        <v>34</v>
      </c>
      <c r="M766" s="217" t="s">
        <v>265</v>
      </c>
      <c r="N766" s="217" t="s">
        <v>269</v>
      </c>
      <c r="O766" s="220" t="s">
        <v>704</v>
      </c>
      <c r="P766" s="190">
        <v>2852459.42</v>
      </c>
      <c r="Q766" s="190">
        <v>0</v>
      </c>
      <c r="R766" s="190">
        <v>0</v>
      </c>
      <c r="S766" s="190">
        <f t="shared" si="88"/>
        <v>2852459.42</v>
      </c>
      <c r="T766" s="190">
        <f t="shared" si="80"/>
        <v>4214.0041660511151</v>
      </c>
      <c r="U766" s="190">
        <v>5379.9806766139754</v>
      </c>
      <c r="V766" s="221">
        <f t="shared" si="81"/>
        <v>1165.9765105628603</v>
      </c>
      <c r="W766" s="221">
        <f t="shared" si="89"/>
        <v>5157.7692953168862</v>
      </c>
      <c r="X766" s="221">
        <v>0</v>
      </c>
      <c r="Y766" s="222">
        <v>0</v>
      </c>
      <c r="Z766" s="222">
        <v>0</v>
      </c>
      <c r="AA766" s="222">
        <v>0</v>
      </c>
      <c r="AB766" s="222">
        <v>0</v>
      </c>
      <c r="AC766" s="222">
        <v>0</v>
      </c>
      <c r="AD766" s="222">
        <v>0</v>
      </c>
      <c r="AE766" s="222">
        <v>559.6</v>
      </c>
      <c r="AF766" s="221">
        <f t="shared" si="90"/>
        <v>5157.7692953168862</v>
      </c>
      <c r="AG766" s="222">
        <v>0</v>
      </c>
      <c r="AH766" s="221">
        <v>0</v>
      </c>
      <c r="AI766" s="222">
        <v>0</v>
      </c>
      <c r="AJ766" s="221">
        <v>0</v>
      </c>
      <c r="AK766" s="222">
        <v>0</v>
      </c>
      <c r="AL766" s="222">
        <v>0</v>
      </c>
      <c r="AM766" s="222">
        <v>0</v>
      </c>
      <c r="AN766" s="222"/>
      <c r="AO766" s="222">
        <v>0</v>
      </c>
    </row>
    <row r="767" spans="1:41" s="223" customFormat="1" ht="36" customHeight="1" x14ac:dyDescent="0.25">
      <c r="A767" s="223">
        <v>1</v>
      </c>
      <c r="B767" s="225">
        <f>SUBTOTAL(103,$A$552:A767)</f>
        <v>211</v>
      </c>
      <c r="C767" s="215" t="s">
        <v>621</v>
      </c>
      <c r="D767" s="217">
        <v>1959</v>
      </c>
      <c r="E767" s="217"/>
      <c r="F767" s="226" t="s">
        <v>267</v>
      </c>
      <c r="G767" s="217" t="s">
        <v>312</v>
      </c>
      <c r="H767" s="217" t="s">
        <v>304</v>
      </c>
      <c r="I767" s="218">
        <v>1671.6</v>
      </c>
      <c r="J767" s="218">
        <v>1327.3</v>
      </c>
      <c r="K767" s="218">
        <v>1327.3</v>
      </c>
      <c r="L767" s="219">
        <v>138</v>
      </c>
      <c r="M767" s="217" t="s">
        <v>265</v>
      </c>
      <c r="N767" s="217" t="s">
        <v>283</v>
      </c>
      <c r="O767" s="220" t="s">
        <v>268</v>
      </c>
      <c r="P767" s="190">
        <v>4893264.82</v>
      </c>
      <c r="Q767" s="190">
        <v>0</v>
      </c>
      <c r="R767" s="190">
        <v>0</v>
      </c>
      <c r="S767" s="190">
        <f t="shared" si="88"/>
        <v>4893264.82</v>
      </c>
      <c r="T767" s="190">
        <f t="shared" si="80"/>
        <v>2927.2941014596795</v>
      </c>
      <c r="U767" s="190">
        <v>3671.1899377841587</v>
      </c>
      <c r="V767" s="221">
        <f t="shared" si="81"/>
        <v>743.89583632447921</v>
      </c>
      <c r="W767" s="221">
        <f t="shared" si="89"/>
        <v>3519.557388131132</v>
      </c>
      <c r="X767" s="221">
        <v>0</v>
      </c>
      <c r="Y767" s="222">
        <v>0</v>
      </c>
      <c r="Z767" s="222">
        <v>0</v>
      </c>
      <c r="AA767" s="222">
        <v>0</v>
      </c>
      <c r="AB767" s="222">
        <v>0</v>
      </c>
      <c r="AC767" s="222">
        <v>0</v>
      </c>
      <c r="AD767" s="222">
        <v>0</v>
      </c>
      <c r="AE767" s="222">
        <v>943</v>
      </c>
      <c r="AF767" s="221">
        <f t="shared" si="90"/>
        <v>3519.557388131132</v>
      </c>
      <c r="AG767" s="222">
        <v>0</v>
      </c>
      <c r="AH767" s="221">
        <v>0</v>
      </c>
      <c r="AI767" s="222">
        <v>0</v>
      </c>
      <c r="AJ767" s="221">
        <v>0</v>
      </c>
      <c r="AK767" s="222">
        <v>0</v>
      </c>
      <c r="AL767" s="222">
        <v>0</v>
      </c>
      <c r="AM767" s="222">
        <v>0</v>
      </c>
      <c r="AN767" s="222"/>
      <c r="AO767" s="222">
        <v>0</v>
      </c>
    </row>
    <row r="768" spans="1:41" s="223" customFormat="1" ht="36" customHeight="1" x14ac:dyDescent="0.25">
      <c r="A768" s="223">
        <v>1</v>
      </c>
      <c r="B768" s="225">
        <f>SUBTOTAL(103,$A$552:A768)</f>
        <v>212</v>
      </c>
      <c r="C768" s="215" t="s">
        <v>620</v>
      </c>
      <c r="D768" s="217">
        <v>1956</v>
      </c>
      <c r="E768" s="217"/>
      <c r="F768" s="226" t="s">
        <v>267</v>
      </c>
      <c r="G768" s="217">
        <v>2</v>
      </c>
      <c r="H768" s="217">
        <v>1</v>
      </c>
      <c r="I768" s="218">
        <v>418.2</v>
      </c>
      <c r="J768" s="218">
        <v>378.1</v>
      </c>
      <c r="K768" s="218">
        <v>378.1</v>
      </c>
      <c r="L768" s="219">
        <v>21</v>
      </c>
      <c r="M768" s="217" t="s">
        <v>265</v>
      </c>
      <c r="N768" s="217" t="s">
        <v>266</v>
      </c>
      <c r="O768" s="220" t="s">
        <v>268</v>
      </c>
      <c r="P768" s="190">
        <v>2680854.0299999998</v>
      </c>
      <c r="Q768" s="190">
        <v>0</v>
      </c>
      <c r="R768" s="190">
        <v>0</v>
      </c>
      <c r="S768" s="190">
        <f t="shared" si="88"/>
        <v>2680854.0299999998</v>
      </c>
      <c r="T768" s="190">
        <f t="shared" si="80"/>
        <v>6410.459182209469</v>
      </c>
      <c r="U768" s="190">
        <v>8247.4438067910087</v>
      </c>
      <c r="V768" s="221">
        <f t="shared" si="81"/>
        <v>1836.9846245815397</v>
      </c>
      <c r="W768" s="221">
        <f t="shared" si="89"/>
        <v>7906.7965088474411</v>
      </c>
      <c r="X768" s="221">
        <v>0</v>
      </c>
      <c r="Y768" s="222">
        <v>0</v>
      </c>
      <c r="Z768" s="222">
        <v>0</v>
      </c>
      <c r="AA768" s="222">
        <v>0</v>
      </c>
      <c r="AB768" s="222">
        <v>0</v>
      </c>
      <c r="AC768" s="222">
        <v>0</v>
      </c>
      <c r="AD768" s="222">
        <v>0</v>
      </c>
      <c r="AE768" s="222">
        <v>530</v>
      </c>
      <c r="AF768" s="221">
        <f t="shared" si="90"/>
        <v>7906.7965088474411</v>
      </c>
      <c r="AG768" s="222">
        <v>0</v>
      </c>
      <c r="AH768" s="221">
        <v>0</v>
      </c>
      <c r="AI768" s="222">
        <v>0</v>
      </c>
      <c r="AJ768" s="221">
        <v>0</v>
      </c>
      <c r="AK768" s="222">
        <v>0</v>
      </c>
      <c r="AL768" s="222">
        <v>0</v>
      </c>
      <c r="AM768" s="222">
        <v>0</v>
      </c>
      <c r="AN768" s="222"/>
      <c r="AO768" s="222">
        <v>0</v>
      </c>
    </row>
    <row r="769" spans="1:41" s="223" customFormat="1" ht="36" customHeight="1" x14ac:dyDescent="0.25">
      <c r="A769" s="223">
        <v>1</v>
      </c>
      <c r="B769" s="225">
        <f>SUBTOTAL(103,$A$552:A769)</f>
        <v>213</v>
      </c>
      <c r="C769" s="215" t="s">
        <v>625</v>
      </c>
      <c r="D769" s="217">
        <v>1994</v>
      </c>
      <c r="E769" s="217"/>
      <c r="F769" s="226" t="s">
        <v>267</v>
      </c>
      <c r="G769" s="217">
        <v>9</v>
      </c>
      <c r="H769" s="217" t="s">
        <v>304</v>
      </c>
      <c r="I769" s="218">
        <v>2814.2</v>
      </c>
      <c r="J769" s="218">
        <v>2472.3000000000002</v>
      </c>
      <c r="K769" s="218">
        <v>2197.6999999999998</v>
      </c>
      <c r="L769" s="219">
        <v>95</v>
      </c>
      <c r="M769" s="217" t="s">
        <v>265</v>
      </c>
      <c r="N769" s="217" t="s">
        <v>269</v>
      </c>
      <c r="O769" s="220" t="s">
        <v>704</v>
      </c>
      <c r="P769" s="190">
        <v>1806134.26</v>
      </c>
      <c r="Q769" s="190">
        <v>0</v>
      </c>
      <c r="R769" s="190">
        <v>0</v>
      </c>
      <c r="S769" s="190">
        <f t="shared" si="88"/>
        <v>1806134.26</v>
      </c>
      <c r="T769" s="190">
        <f t="shared" si="80"/>
        <v>641.79314192310426</v>
      </c>
      <c r="U769" s="190">
        <v>873.35654893042431</v>
      </c>
      <c r="V769" s="221">
        <f t="shared" si="81"/>
        <v>231.56340700732005</v>
      </c>
      <c r="W769" s="221">
        <f t="shared" si="89"/>
        <v>873.35654893042431</v>
      </c>
      <c r="X769" s="221">
        <v>0</v>
      </c>
      <c r="Y769" s="222">
        <v>0</v>
      </c>
      <c r="Z769" s="222">
        <v>0</v>
      </c>
      <c r="AA769" s="222">
        <v>0</v>
      </c>
      <c r="AB769" s="222">
        <v>0</v>
      </c>
      <c r="AC769" s="222">
        <v>1</v>
      </c>
      <c r="AD769" s="221">
        <f>2457800*AC769/I769</f>
        <v>873.35654893042431</v>
      </c>
      <c r="AE769" s="222">
        <v>0</v>
      </c>
      <c r="AF769" s="221">
        <v>0</v>
      </c>
      <c r="AG769" s="222">
        <v>0</v>
      </c>
      <c r="AH769" s="221">
        <v>0</v>
      </c>
      <c r="AI769" s="222">
        <v>0</v>
      </c>
      <c r="AJ769" s="221">
        <v>0</v>
      </c>
      <c r="AK769" s="222">
        <v>0</v>
      </c>
      <c r="AL769" s="222">
        <v>0</v>
      </c>
      <c r="AM769" s="222">
        <v>0</v>
      </c>
      <c r="AN769" s="222"/>
      <c r="AO769" s="222">
        <v>0</v>
      </c>
    </row>
    <row r="770" spans="1:41" s="223" customFormat="1" ht="36" customHeight="1" x14ac:dyDescent="0.25">
      <c r="A770" s="223">
        <v>1</v>
      </c>
      <c r="B770" s="225">
        <f>SUBTOTAL(103,$A$552:A770)</f>
        <v>214</v>
      </c>
      <c r="C770" s="215" t="s">
        <v>632</v>
      </c>
      <c r="D770" s="217">
        <v>1972</v>
      </c>
      <c r="E770" s="217"/>
      <c r="F770" s="226" t="s">
        <v>267</v>
      </c>
      <c r="G770" s="217" t="s">
        <v>351</v>
      </c>
      <c r="H770" s="217" t="s">
        <v>308</v>
      </c>
      <c r="I770" s="218">
        <v>2806.29</v>
      </c>
      <c r="J770" s="218">
        <v>2806.29</v>
      </c>
      <c r="K770" s="218">
        <v>2806.29</v>
      </c>
      <c r="L770" s="219">
        <v>150</v>
      </c>
      <c r="M770" s="217" t="s">
        <v>265</v>
      </c>
      <c r="N770" s="217" t="s">
        <v>283</v>
      </c>
      <c r="O770" s="220" t="s">
        <v>268</v>
      </c>
      <c r="P770" s="190">
        <v>5435521.2799999993</v>
      </c>
      <c r="Q770" s="190">
        <v>0</v>
      </c>
      <c r="R770" s="190">
        <v>0</v>
      </c>
      <c r="S770" s="190">
        <f t="shared" si="88"/>
        <v>5435521.2799999993</v>
      </c>
      <c r="T770" s="190">
        <f t="shared" si="80"/>
        <v>1936.9064779477528</v>
      </c>
      <c r="U770" s="190">
        <v>2550.8660901047292</v>
      </c>
      <c r="V770" s="221">
        <f t="shared" si="81"/>
        <v>613.95961215697639</v>
      </c>
      <c r="W770" s="221">
        <f t="shared" si="89"/>
        <v>2445.5067010180701</v>
      </c>
      <c r="X770" s="221">
        <v>0</v>
      </c>
      <c r="Y770" s="222">
        <v>0</v>
      </c>
      <c r="Z770" s="222">
        <v>0</v>
      </c>
      <c r="AA770" s="222">
        <v>0</v>
      </c>
      <c r="AB770" s="222">
        <v>0</v>
      </c>
      <c r="AC770" s="222">
        <v>0</v>
      </c>
      <c r="AD770" s="222">
        <v>0</v>
      </c>
      <c r="AE770" s="222">
        <v>1100</v>
      </c>
      <c r="AF770" s="221">
        <f t="shared" ref="AF770:AF782" si="91">6238.91*AE770/I770</f>
        <v>2445.5067010180701</v>
      </c>
      <c r="AG770" s="222">
        <v>0</v>
      </c>
      <c r="AH770" s="221">
        <v>0</v>
      </c>
      <c r="AI770" s="222">
        <v>0</v>
      </c>
      <c r="AJ770" s="221">
        <v>0</v>
      </c>
      <c r="AK770" s="222">
        <v>0</v>
      </c>
      <c r="AL770" s="222">
        <v>0</v>
      </c>
      <c r="AM770" s="222">
        <v>0</v>
      </c>
      <c r="AN770" s="222"/>
      <c r="AO770" s="222">
        <v>0</v>
      </c>
    </row>
    <row r="771" spans="1:41" s="223" customFormat="1" ht="36" customHeight="1" x14ac:dyDescent="0.25">
      <c r="A771" s="223">
        <v>1</v>
      </c>
      <c r="B771" s="225">
        <f>SUBTOTAL(103,$A$552:A771)</f>
        <v>215</v>
      </c>
      <c r="C771" s="215" t="s">
        <v>623</v>
      </c>
      <c r="D771" s="217">
        <v>1981</v>
      </c>
      <c r="E771" s="217"/>
      <c r="F771" s="226" t="s">
        <v>267</v>
      </c>
      <c r="G771" s="217" t="s">
        <v>308</v>
      </c>
      <c r="H771" s="217" t="s">
        <v>308</v>
      </c>
      <c r="I771" s="218">
        <v>2423.8000000000002</v>
      </c>
      <c r="J771" s="218">
        <v>2218.9</v>
      </c>
      <c r="K771" s="218">
        <v>2218.9</v>
      </c>
      <c r="L771" s="219">
        <v>110</v>
      </c>
      <c r="M771" s="217" t="s">
        <v>265</v>
      </c>
      <c r="N771" s="217" t="s">
        <v>269</v>
      </c>
      <c r="O771" s="220" t="s">
        <v>704</v>
      </c>
      <c r="P771" s="190">
        <v>4333883.8899999997</v>
      </c>
      <c r="Q771" s="190">
        <v>0</v>
      </c>
      <c r="R771" s="190">
        <v>0</v>
      </c>
      <c r="S771" s="190">
        <f t="shared" si="88"/>
        <v>4333883.8899999997</v>
      </c>
      <c r="T771" s="190">
        <f t="shared" si="80"/>
        <v>1788.0534243749482</v>
      </c>
      <c r="U771" s="190">
        <v>2345.2743419424046</v>
      </c>
      <c r="V771" s="221">
        <f t="shared" si="81"/>
        <v>557.22091756745635</v>
      </c>
      <c r="W771" s="221">
        <f t="shared" si="89"/>
        <v>2248.4065867645841</v>
      </c>
      <c r="X771" s="221">
        <v>0</v>
      </c>
      <c r="Y771" s="222">
        <v>0</v>
      </c>
      <c r="Z771" s="222">
        <v>0</v>
      </c>
      <c r="AA771" s="222">
        <v>0</v>
      </c>
      <c r="AB771" s="222">
        <v>0</v>
      </c>
      <c r="AC771" s="222">
        <v>0</v>
      </c>
      <c r="AD771" s="222">
        <v>0</v>
      </c>
      <c r="AE771" s="222">
        <v>873.5</v>
      </c>
      <c r="AF771" s="221">
        <f t="shared" si="91"/>
        <v>2248.4065867645841</v>
      </c>
      <c r="AG771" s="222">
        <v>0</v>
      </c>
      <c r="AH771" s="221">
        <v>0</v>
      </c>
      <c r="AI771" s="222">
        <v>0</v>
      </c>
      <c r="AJ771" s="221">
        <v>0</v>
      </c>
      <c r="AK771" s="222">
        <v>0</v>
      </c>
      <c r="AL771" s="222">
        <v>0</v>
      </c>
      <c r="AM771" s="222">
        <v>0</v>
      </c>
      <c r="AN771" s="222"/>
      <c r="AO771" s="222">
        <v>0</v>
      </c>
    </row>
    <row r="772" spans="1:41" s="223" customFormat="1" ht="36" customHeight="1" x14ac:dyDescent="0.25">
      <c r="A772" s="223">
        <v>1</v>
      </c>
      <c r="B772" s="225">
        <f>SUBTOTAL(103,$A$552:A772)</f>
        <v>216</v>
      </c>
      <c r="C772" s="215" t="s">
        <v>1593</v>
      </c>
      <c r="D772" s="217">
        <v>1969</v>
      </c>
      <c r="E772" s="217"/>
      <c r="F772" s="226" t="s">
        <v>1594</v>
      </c>
      <c r="G772" s="217">
        <v>2</v>
      </c>
      <c r="H772" s="217" t="s">
        <v>303</v>
      </c>
      <c r="I772" s="190">
        <v>783.74</v>
      </c>
      <c r="J772" s="190">
        <v>722.64</v>
      </c>
      <c r="K772" s="190">
        <v>722.64</v>
      </c>
      <c r="L772" s="219">
        <v>28</v>
      </c>
      <c r="M772" s="217" t="s">
        <v>265</v>
      </c>
      <c r="N772" s="217" t="s">
        <v>269</v>
      </c>
      <c r="O772" s="220" t="s">
        <v>707</v>
      </c>
      <c r="P772" s="190">
        <v>3806073.8200000003</v>
      </c>
      <c r="Q772" s="190">
        <v>0</v>
      </c>
      <c r="R772" s="190">
        <v>0</v>
      </c>
      <c r="S772" s="190">
        <f t="shared" si="88"/>
        <v>3806073.8200000003</v>
      </c>
      <c r="T772" s="190">
        <f t="shared" si="80"/>
        <v>4856.2965013907678</v>
      </c>
      <c r="U772" s="190">
        <v>6360.3978360170468</v>
      </c>
      <c r="V772" s="221">
        <f t="shared" si="81"/>
        <v>1504.1013346262789</v>
      </c>
      <c r="W772" s="221">
        <f t="shared" si="89"/>
        <v>6097.6919131344575</v>
      </c>
      <c r="X772" s="221">
        <v>0</v>
      </c>
      <c r="Y772" s="222">
        <v>0</v>
      </c>
      <c r="Z772" s="222">
        <v>0</v>
      </c>
      <c r="AA772" s="222">
        <v>0</v>
      </c>
      <c r="AB772" s="222">
        <v>0</v>
      </c>
      <c r="AC772" s="222">
        <v>0</v>
      </c>
      <c r="AD772" s="222">
        <v>0</v>
      </c>
      <c r="AE772" s="222">
        <v>766</v>
      </c>
      <c r="AF772" s="221">
        <f t="shared" si="91"/>
        <v>6097.6919131344575</v>
      </c>
      <c r="AG772" s="222">
        <v>0</v>
      </c>
      <c r="AH772" s="221">
        <v>0</v>
      </c>
      <c r="AI772" s="222">
        <v>0</v>
      </c>
      <c r="AJ772" s="221">
        <v>0</v>
      </c>
      <c r="AK772" s="222">
        <v>0</v>
      </c>
      <c r="AL772" s="222">
        <v>0</v>
      </c>
      <c r="AM772" s="222">
        <v>0</v>
      </c>
      <c r="AN772" s="222"/>
      <c r="AO772" s="222">
        <v>0</v>
      </c>
    </row>
    <row r="773" spans="1:41" s="223" customFormat="1" ht="36" customHeight="1" x14ac:dyDescent="0.25">
      <c r="A773" s="223">
        <v>1</v>
      </c>
      <c r="B773" s="225">
        <f>SUBTOTAL(103,$A$552:A773)</f>
        <v>217</v>
      </c>
      <c r="C773" s="215" t="s">
        <v>1616</v>
      </c>
      <c r="D773" s="217">
        <v>1978</v>
      </c>
      <c r="E773" s="217"/>
      <c r="F773" s="226" t="s">
        <v>318</v>
      </c>
      <c r="G773" s="217">
        <v>5</v>
      </c>
      <c r="H773" s="217" t="s">
        <v>308</v>
      </c>
      <c r="I773" s="218">
        <v>2991.2</v>
      </c>
      <c r="J773" s="218">
        <v>2708</v>
      </c>
      <c r="K773" s="218">
        <v>2708</v>
      </c>
      <c r="L773" s="219">
        <v>123</v>
      </c>
      <c r="M773" s="217" t="s">
        <v>265</v>
      </c>
      <c r="N773" s="217" t="s">
        <v>269</v>
      </c>
      <c r="O773" s="220" t="s">
        <v>1649</v>
      </c>
      <c r="P773" s="190">
        <v>2693070.98</v>
      </c>
      <c r="Q773" s="190">
        <v>0</v>
      </c>
      <c r="R773" s="190">
        <v>0</v>
      </c>
      <c r="S773" s="190">
        <f t="shared" si="88"/>
        <v>2693070.98</v>
      </c>
      <c r="T773" s="190">
        <f t="shared" si="80"/>
        <v>900.33129847552823</v>
      </c>
      <c r="U773" s="190">
        <v>1587.6116344610859</v>
      </c>
      <c r="V773" s="221">
        <f t="shared" si="81"/>
        <v>687.28033598555771</v>
      </c>
      <c r="W773" s="221">
        <f t="shared" si="89"/>
        <v>1522.0379093006152</v>
      </c>
      <c r="X773" s="221">
        <v>0</v>
      </c>
      <c r="Y773" s="222">
        <v>0</v>
      </c>
      <c r="Z773" s="222">
        <v>0</v>
      </c>
      <c r="AA773" s="222">
        <v>0</v>
      </c>
      <c r="AB773" s="222">
        <v>0</v>
      </c>
      <c r="AC773" s="222">
        <v>0</v>
      </c>
      <c r="AD773" s="222">
        <v>0</v>
      </c>
      <c r="AE773" s="222">
        <v>729.73</v>
      </c>
      <c r="AF773" s="221">
        <f t="shared" si="91"/>
        <v>1522.0379093006152</v>
      </c>
      <c r="AG773" s="222">
        <v>0</v>
      </c>
      <c r="AH773" s="221">
        <v>0</v>
      </c>
      <c r="AI773" s="222">
        <v>0</v>
      </c>
      <c r="AJ773" s="221">
        <v>0</v>
      </c>
      <c r="AK773" s="222">
        <v>0</v>
      </c>
      <c r="AL773" s="222">
        <v>0</v>
      </c>
      <c r="AM773" s="222">
        <v>0</v>
      </c>
      <c r="AN773" s="222"/>
      <c r="AO773" s="222">
        <v>0</v>
      </c>
    </row>
    <row r="774" spans="1:41" s="223" customFormat="1" ht="36" customHeight="1" x14ac:dyDescent="0.25">
      <c r="A774" s="223">
        <v>1</v>
      </c>
      <c r="B774" s="225">
        <f>SUBTOTAL(103,$A$552:A774)</f>
        <v>218</v>
      </c>
      <c r="C774" s="215" t="s">
        <v>1617</v>
      </c>
      <c r="D774" s="217">
        <v>1955</v>
      </c>
      <c r="E774" s="217"/>
      <c r="F774" s="226" t="s">
        <v>1341</v>
      </c>
      <c r="G774" s="217">
        <v>2</v>
      </c>
      <c r="H774" s="217" t="s">
        <v>304</v>
      </c>
      <c r="I774" s="218">
        <v>370.1</v>
      </c>
      <c r="J774" s="218">
        <v>335.1</v>
      </c>
      <c r="K774" s="218">
        <v>335.1</v>
      </c>
      <c r="L774" s="219">
        <v>28</v>
      </c>
      <c r="M774" s="217" t="s">
        <v>265</v>
      </c>
      <c r="N774" s="217" t="s">
        <v>269</v>
      </c>
      <c r="O774" s="220" t="s">
        <v>704</v>
      </c>
      <c r="P774" s="190">
        <v>1966768.51</v>
      </c>
      <c r="Q774" s="190">
        <v>0</v>
      </c>
      <c r="R774" s="190">
        <v>0</v>
      </c>
      <c r="S774" s="190">
        <f t="shared" si="88"/>
        <v>1966768.51</v>
      </c>
      <c r="T774" s="190">
        <f t="shared" si="80"/>
        <v>5314.1543096460409</v>
      </c>
      <c r="U774" s="190">
        <v>6748.068168062684</v>
      </c>
      <c r="V774" s="221">
        <f t="shared" si="81"/>
        <v>1433.9138584166431</v>
      </c>
      <c r="W774" s="221">
        <f t="shared" si="89"/>
        <v>6469.350150499864</v>
      </c>
      <c r="X774" s="221">
        <v>0</v>
      </c>
      <c r="Y774" s="222">
        <v>0</v>
      </c>
      <c r="Z774" s="222">
        <v>0</v>
      </c>
      <c r="AA774" s="222">
        <v>0</v>
      </c>
      <c r="AB774" s="222">
        <v>0</v>
      </c>
      <c r="AC774" s="222">
        <v>0</v>
      </c>
      <c r="AD774" s="222">
        <v>0</v>
      </c>
      <c r="AE774" s="222">
        <v>383.77</v>
      </c>
      <c r="AF774" s="221">
        <f t="shared" si="91"/>
        <v>6469.350150499864</v>
      </c>
      <c r="AG774" s="222">
        <v>0</v>
      </c>
      <c r="AH774" s="221">
        <v>0</v>
      </c>
      <c r="AI774" s="222">
        <v>0</v>
      </c>
      <c r="AJ774" s="221">
        <v>0</v>
      </c>
      <c r="AK774" s="222">
        <v>0</v>
      </c>
      <c r="AL774" s="222">
        <v>0</v>
      </c>
      <c r="AM774" s="222">
        <v>0</v>
      </c>
      <c r="AN774" s="222"/>
      <c r="AO774" s="222">
        <v>0</v>
      </c>
    </row>
    <row r="775" spans="1:41" s="223" customFormat="1" ht="36" customHeight="1" x14ac:dyDescent="0.25">
      <c r="A775" s="223">
        <v>1</v>
      </c>
      <c r="B775" s="225">
        <f>SUBTOTAL(103,$A$552:A775)</f>
        <v>219</v>
      </c>
      <c r="C775" s="215" t="s">
        <v>1618</v>
      </c>
      <c r="D775" s="217">
        <v>1962</v>
      </c>
      <c r="E775" s="217"/>
      <c r="F775" s="226" t="s">
        <v>1341</v>
      </c>
      <c r="G775" s="217">
        <v>2</v>
      </c>
      <c r="H775" s="217" t="s">
        <v>308</v>
      </c>
      <c r="I775" s="218">
        <v>1305.4000000000001</v>
      </c>
      <c r="J775" s="218">
        <v>709.6</v>
      </c>
      <c r="K775" s="218">
        <v>709.6</v>
      </c>
      <c r="L775" s="219">
        <v>27</v>
      </c>
      <c r="M775" s="217" t="s">
        <v>265</v>
      </c>
      <c r="N775" s="217" t="s">
        <v>266</v>
      </c>
      <c r="O775" s="220" t="s">
        <v>268</v>
      </c>
      <c r="P775" s="190">
        <v>3766350.55</v>
      </c>
      <c r="Q775" s="190">
        <v>0</v>
      </c>
      <c r="R775" s="190">
        <v>0</v>
      </c>
      <c r="S775" s="190">
        <f t="shared" si="88"/>
        <v>3766350.55</v>
      </c>
      <c r="T775" s="190">
        <f t="shared" si="80"/>
        <v>2885.2080205301054</v>
      </c>
      <c r="U775" s="190">
        <v>3623.2544507430666</v>
      </c>
      <c r="V775" s="221">
        <f t="shared" si="81"/>
        <v>738.04643021296124</v>
      </c>
      <c r="W775" s="221">
        <f t="shared" si="89"/>
        <v>3473.6017986823958</v>
      </c>
      <c r="X775" s="221">
        <v>0</v>
      </c>
      <c r="Y775" s="222">
        <v>0</v>
      </c>
      <c r="Z775" s="222">
        <v>0</v>
      </c>
      <c r="AA775" s="222">
        <v>0</v>
      </c>
      <c r="AB775" s="222">
        <v>0</v>
      </c>
      <c r="AC775" s="222">
        <v>0</v>
      </c>
      <c r="AD775" s="222">
        <v>0</v>
      </c>
      <c r="AE775" s="222">
        <v>726.8</v>
      </c>
      <c r="AF775" s="221">
        <f t="shared" si="91"/>
        <v>3473.6017986823958</v>
      </c>
      <c r="AG775" s="222">
        <v>0</v>
      </c>
      <c r="AH775" s="221">
        <v>0</v>
      </c>
      <c r="AI775" s="222">
        <v>0</v>
      </c>
      <c r="AJ775" s="221">
        <v>0</v>
      </c>
      <c r="AK775" s="222">
        <v>0</v>
      </c>
      <c r="AL775" s="222">
        <v>0</v>
      </c>
      <c r="AM775" s="222">
        <v>0</v>
      </c>
      <c r="AN775" s="222"/>
      <c r="AO775" s="222">
        <v>0</v>
      </c>
    </row>
    <row r="776" spans="1:41" s="223" customFormat="1" ht="36" customHeight="1" x14ac:dyDescent="0.25">
      <c r="A776" s="223">
        <v>1</v>
      </c>
      <c r="B776" s="225">
        <f>SUBTOTAL(103,$A$552:A776)</f>
        <v>220</v>
      </c>
      <c r="C776" s="215" t="s">
        <v>1619</v>
      </c>
      <c r="D776" s="217">
        <v>1954</v>
      </c>
      <c r="E776" s="217"/>
      <c r="F776" s="226" t="s">
        <v>1341</v>
      </c>
      <c r="G776" s="217">
        <v>2</v>
      </c>
      <c r="H776" s="217" t="s">
        <v>303</v>
      </c>
      <c r="I776" s="218">
        <v>510.78</v>
      </c>
      <c r="J776" s="218">
        <v>472.98</v>
      </c>
      <c r="K776" s="218">
        <v>472.98</v>
      </c>
      <c r="L776" s="219">
        <v>19</v>
      </c>
      <c r="M776" s="217" t="s">
        <v>265</v>
      </c>
      <c r="N776" s="217" t="s">
        <v>269</v>
      </c>
      <c r="O776" s="220" t="s">
        <v>1315</v>
      </c>
      <c r="P776" s="190">
        <v>2195301.44</v>
      </c>
      <c r="Q776" s="190">
        <v>0</v>
      </c>
      <c r="R776" s="190">
        <v>0</v>
      </c>
      <c r="S776" s="190">
        <f t="shared" si="88"/>
        <v>2195301.44</v>
      </c>
      <c r="T776" s="190">
        <f t="shared" si="80"/>
        <v>4297.9393085085558</v>
      </c>
      <c r="U776" s="190">
        <v>5419.6433415560514</v>
      </c>
      <c r="V776" s="221">
        <f t="shared" si="81"/>
        <v>1121.7040330474956</v>
      </c>
      <c r="W776" s="221">
        <f t="shared" si="89"/>
        <v>5195.7937581737733</v>
      </c>
      <c r="X776" s="221">
        <v>0</v>
      </c>
      <c r="Y776" s="222">
        <v>0</v>
      </c>
      <c r="Z776" s="222">
        <v>0</v>
      </c>
      <c r="AA776" s="222">
        <v>0</v>
      </c>
      <c r="AB776" s="222">
        <v>0</v>
      </c>
      <c r="AC776" s="222">
        <v>0</v>
      </c>
      <c r="AD776" s="222">
        <v>0</v>
      </c>
      <c r="AE776" s="222">
        <v>425.38</v>
      </c>
      <c r="AF776" s="221">
        <f t="shared" si="91"/>
        <v>5195.7937581737733</v>
      </c>
      <c r="AG776" s="222">
        <v>0</v>
      </c>
      <c r="AH776" s="221">
        <v>0</v>
      </c>
      <c r="AI776" s="222">
        <v>0</v>
      </c>
      <c r="AJ776" s="221">
        <v>0</v>
      </c>
      <c r="AK776" s="222">
        <v>0</v>
      </c>
      <c r="AL776" s="222">
        <v>0</v>
      </c>
      <c r="AM776" s="222">
        <v>0</v>
      </c>
      <c r="AN776" s="222"/>
      <c r="AO776" s="222">
        <v>0</v>
      </c>
    </row>
    <row r="777" spans="1:41" s="223" customFormat="1" ht="36" customHeight="1" x14ac:dyDescent="0.25">
      <c r="A777" s="223">
        <v>1</v>
      </c>
      <c r="B777" s="225">
        <f>SUBTOTAL(103,$A$552:A777)</f>
        <v>221</v>
      </c>
      <c r="C777" s="215" t="s">
        <v>619</v>
      </c>
      <c r="D777" s="217">
        <v>1965</v>
      </c>
      <c r="E777" s="217"/>
      <c r="F777" s="226" t="s">
        <v>267</v>
      </c>
      <c r="G777" s="217">
        <v>5</v>
      </c>
      <c r="H777" s="217" t="s">
        <v>303</v>
      </c>
      <c r="I777" s="218">
        <v>4985.66</v>
      </c>
      <c r="J777" s="218">
        <v>2392.1999999999998</v>
      </c>
      <c r="K777" s="218">
        <v>2300.6</v>
      </c>
      <c r="L777" s="219">
        <v>185</v>
      </c>
      <c r="M777" s="217" t="s">
        <v>265</v>
      </c>
      <c r="N777" s="217" t="s">
        <v>269</v>
      </c>
      <c r="O777" s="220" t="s">
        <v>705</v>
      </c>
      <c r="P777" s="190">
        <v>16961137.330000002</v>
      </c>
      <c r="Q777" s="190">
        <v>0</v>
      </c>
      <c r="R777" s="190">
        <v>0</v>
      </c>
      <c r="S777" s="190">
        <f t="shared" si="88"/>
        <v>16961137.330000002</v>
      </c>
      <c r="T777" s="190">
        <f t="shared" si="80"/>
        <v>3401.9843571362671</v>
      </c>
      <c r="U777" s="190">
        <v>7178.9769819843314</v>
      </c>
      <c r="V777" s="221">
        <f t="shared" si="81"/>
        <v>3776.9926248480642</v>
      </c>
      <c r="W777" s="221">
        <f t="shared" si="89"/>
        <v>1376.5080250157453</v>
      </c>
      <c r="X777" s="221">
        <v>0</v>
      </c>
      <c r="Y777" s="222">
        <v>0</v>
      </c>
      <c r="Z777" s="222">
        <v>0</v>
      </c>
      <c r="AA777" s="222">
        <v>0</v>
      </c>
      <c r="AB777" s="222">
        <v>0</v>
      </c>
      <c r="AC777" s="222">
        <v>0</v>
      </c>
      <c r="AD777" s="222">
        <v>0</v>
      </c>
      <c r="AE777" s="222">
        <v>1100</v>
      </c>
      <c r="AF777" s="221">
        <f t="shared" si="91"/>
        <v>1376.5080250157453</v>
      </c>
      <c r="AG777" s="222">
        <v>0</v>
      </c>
      <c r="AH777" s="221">
        <v>0</v>
      </c>
      <c r="AI777" s="222">
        <v>0</v>
      </c>
      <c r="AJ777" s="221">
        <v>0</v>
      </c>
      <c r="AK777" s="222">
        <v>0</v>
      </c>
      <c r="AL777" s="222">
        <v>0</v>
      </c>
      <c r="AM777" s="222">
        <v>0</v>
      </c>
      <c r="AN777" s="222"/>
      <c r="AO777" s="222">
        <v>0</v>
      </c>
    </row>
    <row r="778" spans="1:41" s="223" customFormat="1" ht="36" customHeight="1" x14ac:dyDescent="0.25">
      <c r="A778" s="223">
        <v>1</v>
      </c>
      <c r="B778" s="225">
        <f>SUBTOTAL(103,$A$552:A778)</f>
        <v>222</v>
      </c>
      <c r="C778" s="215" t="s">
        <v>1185</v>
      </c>
      <c r="D778" s="217">
        <v>1967</v>
      </c>
      <c r="E778" s="217"/>
      <c r="F778" s="226" t="s">
        <v>330</v>
      </c>
      <c r="G778" s="217">
        <v>2</v>
      </c>
      <c r="H778" s="217" t="s">
        <v>303</v>
      </c>
      <c r="I778" s="218">
        <v>1065.5</v>
      </c>
      <c r="J778" s="218">
        <v>510.7</v>
      </c>
      <c r="K778" s="218">
        <v>510.7</v>
      </c>
      <c r="L778" s="219">
        <v>34</v>
      </c>
      <c r="M778" s="217" t="s">
        <v>265</v>
      </c>
      <c r="N778" s="217" t="s">
        <v>269</v>
      </c>
      <c r="O778" s="220" t="s">
        <v>1313</v>
      </c>
      <c r="P778" s="190">
        <v>1562740.68</v>
      </c>
      <c r="Q778" s="190">
        <v>0</v>
      </c>
      <c r="R778" s="190">
        <v>0</v>
      </c>
      <c r="S778" s="190">
        <f t="shared" si="88"/>
        <v>1562740.68</v>
      </c>
      <c r="T778" s="190">
        <f t="shared" si="80"/>
        <v>1466.6735617081181</v>
      </c>
      <c r="U778" s="190">
        <v>4336.1427311121543</v>
      </c>
      <c r="V778" s="221">
        <f t="shared" si="81"/>
        <v>2869.4691694040362</v>
      </c>
      <c r="W778" s="221">
        <f t="shared" si="89"/>
        <v>5114.6765696855937</v>
      </c>
      <c r="X778" s="221">
        <v>0</v>
      </c>
      <c r="Y778" s="222">
        <v>0</v>
      </c>
      <c r="Z778" s="222">
        <v>0</v>
      </c>
      <c r="AA778" s="222">
        <v>0</v>
      </c>
      <c r="AB778" s="222">
        <v>0</v>
      </c>
      <c r="AC778" s="222">
        <v>0</v>
      </c>
      <c r="AD778" s="222">
        <v>0</v>
      </c>
      <c r="AE778" s="222">
        <v>873.5</v>
      </c>
      <c r="AF778" s="221">
        <f t="shared" si="91"/>
        <v>5114.6765696855937</v>
      </c>
      <c r="AG778" s="222">
        <v>0</v>
      </c>
      <c r="AH778" s="221">
        <v>0</v>
      </c>
      <c r="AI778" s="222">
        <v>0</v>
      </c>
      <c r="AJ778" s="221">
        <v>0</v>
      </c>
      <c r="AK778" s="222">
        <v>0</v>
      </c>
      <c r="AL778" s="222">
        <v>0</v>
      </c>
      <c r="AM778" s="222">
        <v>0</v>
      </c>
      <c r="AN778" s="222"/>
      <c r="AO778" s="222">
        <v>0</v>
      </c>
    </row>
    <row r="779" spans="1:41" s="223" customFormat="1" ht="36" customHeight="1" x14ac:dyDescent="0.25">
      <c r="A779" s="223">
        <v>1</v>
      </c>
      <c r="B779" s="225">
        <f>SUBTOTAL(103,$A$552:A779)</f>
        <v>223</v>
      </c>
      <c r="C779" s="215" t="s">
        <v>618</v>
      </c>
      <c r="D779" s="217">
        <v>1967</v>
      </c>
      <c r="E779" s="217"/>
      <c r="F779" s="226" t="s">
        <v>267</v>
      </c>
      <c r="G779" s="217">
        <v>5</v>
      </c>
      <c r="H779" s="217" t="s">
        <v>308</v>
      </c>
      <c r="I779" s="190">
        <v>3578.24</v>
      </c>
      <c r="J779" s="190">
        <v>3300</v>
      </c>
      <c r="K779" s="190">
        <v>3012.01</v>
      </c>
      <c r="L779" s="219">
        <v>117</v>
      </c>
      <c r="M779" s="217" t="s">
        <v>265</v>
      </c>
      <c r="N779" s="217" t="s">
        <v>269</v>
      </c>
      <c r="O779" s="220" t="s">
        <v>704</v>
      </c>
      <c r="P779" s="190">
        <v>8139534.3700000001</v>
      </c>
      <c r="Q779" s="190">
        <v>0</v>
      </c>
      <c r="R779" s="190">
        <v>0</v>
      </c>
      <c r="S779" s="190">
        <f t="shared" si="88"/>
        <v>8139534.3700000001</v>
      </c>
      <c r="T779" s="190">
        <f t="shared" si="80"/>
        <v>2274.731256148274</v>
      </c>
      <c r="U779" s="190">
        <v>2274.731256148274</v>
      </c>
      <c r="V779" s="221">
        <f t="shared" si="81"/>
        <v>0</v>
      </c>
      <c r="W779" s="221">
        <f t="shared" si="89"/>
        <v>1335.5742096673225</v>
      </c>
      <c r="X779" s="221">
        <v>0</v>
      </c>
      <c r="Y779" s="222">
        <v>0</v>
      </c>
      <c r="Z779" s="222">
        <v>0</v>
      </c>
      <c r="AA779" s="222">
        <v>0</v>
      </c>
      <c r="AB779" s="222">
        <v>0</v>
      </c>
      <c r="AC779" s="222">
        <v>0</v>
      </c>
      <c r="AD779" s="222">
        <v>0</v>
      </c>
      <c r="AE779" s="222">
        <v>766</v>
      </c>
      <c r="AF779" s="221">
        <f t="shared" si="91"/>
        <v>1335.5742096673225</v>
      </c>
      <c r="AG779" s="222">
        <v>0</v>
      </c>
      <c r="AH779" s="221">
        <v>0</v>
      </c>
      <c r="AI779" s="222">
        <v>0</v>
      </c>
      <c r="AJ779" s="221">
        <v>0</v>
      </c>
      <c r="AK779" s="222">
        <v>0</v>
      </c>
      <c r="AL779" s="222">
        <v>0</v>
      </c>
      <c r="AM779" s="222">
        <v>0</v>
      </c>
      <c r="AN779" s="222"/>
      <c r="AO779" s="222">
        <v>0</v>
      </c>
    </row>
    <row r="780" spans="1:41" s="223" customFormat="1" ht="36" customHeight="1" x14ac:dyDescent="0.25">
      <c r="A780" s="223">
        <v>1</v>
      </c>
      <c r="B780" s="225">
        <f>SUBTOTAL(103,$A$552:A780)</f>
        <v>224</v>
      </c>
      <c r="C780" s="215" t="s">
        <v>1188</v>
      </c>
      <c r="D780" s="217">
        <v>1957</v>
      </c>
      <c r="E780" s="217"/>
      <c r="F780" s="226" t="s">
        <v>267</v>
      </c>
      <c r="G780" s="217">
        <v>2</v>
      </c>
      <c r="H780" s="217" t="s">
        <v>303</v>
      </c>
      <c r="I780" s="218">
        <v>821.4</v>
      </c>
      <c r="J780" s="218">
        <v>442.9</v>
      </c>
      <c r="K780" s="218">
        <v>442.9</v>
      </c>
      <c r="L780" s="219">
        <v>17</v>
      </c>
      <c r="M780" s="217" t="s">
        <v>265</v>
      </c>
      <c r="N780" s="217" t="s">
        <v>269</v>
      </c>
      <c r="O780" s="220" t="s">
        <v>1313</v>
      </c>
      <c r="P780" s="190">
        <v>833522.04</v>
      </c>
      <c r="Q780" s="190">
        <v>0</v>
      </c>
      <c r="R780" s="190">
        <v>0</v>
      </c>
      <c r="S780" s="190">
        <f t="shared" si="88"/>
        <v>833522.04</v>
      </c>
      <c r="T780" s="190">
        <f t="shared" si="80"/>
        <v>1014.7577794010227</v>
      </c>
      <c r="U780" s="190">
        <v>3811.95</v>
      </c>
      <c r="V780" s="221">
        <f t="shared" ref="V780:V828" si="92">U780-T780</f>
        <v>2797.1922205989772</v>
      </c>
      <c r="W780" s="221">
        <f t="shared" si="89"/>
        <v>2914.9092898709519</v>
      </c>
      <c r="X780" s="221">
        <v>0</v>
      </c>
      <c r="Y780" s="222">
        <v>0</v>
      </c>
      <c r="Z780" s="222">
        <v>0</v>
      </c>
      <c r="AA780" s="222">
        <v>0</v>
      </c>
      <c r="AB780" s="222">
        <v>0</v>
      </c>
      <c r="AC780" s="222">
        <v>0</v>
      </c>
      <c r="AD780" s="222">
        <v>0</v>
      </c>
      <c r="AE780" s="222">
        <v>383.77</v>
      </c>
      <c r="AF780" s="221">
        <f t="shared" si="91"/>
        <v>2914.9092898709519</v>
      </c>
      <c r="AG780" s="222">
        <v>0</v>
      </c>
      <c r="AH780" s="221">
        <v>0</v>
      </c>
      <c r="AI780" s="222">
        <v>0</v>
      </c>
      <c r="AJ780" s="221">
        <v>0</v>
      </c>
      <c r="AK780" s="222">
        <v>0</v>
      </c>
      <c r="AL780" s="222">
        <v>0</v>
      </c>
      <c r="AM780" s="222">
        <v>0</v>
      </c>
      <c r="AN780" s="222"/>
      <c r="AO780" s="222">
        <v>0</v>
      </c>
    </row>
    <row r="781" spans="1:41" s="223" customFormat="1" ht="36" customHeight="1" x14ac:dyDescent="0.25">
      <c r="A781" s="223">
        <v>1</v>
      </c>
      <c r="B781" s="225">
        <f>SUBTOTAL(103,$A$552:A781)</f>
        <v>225</v>
      </c>
      <c r="C781" s="215" t="s">
        <v>1552</v>
      </c>
      <c r="D781" s="217">
        <v>1965</v>
      </c>
      <c r="E781" s="217"/>
      <c r="F781" s="226" t="s">
        <v>1571</v>
      </c>
      <c r="G781" s="217">
        <v>5</v>
      </c>
      <c r="H781" s="217" t="s">
        <v>312</v>
      </c>
      <c r="I781" s="218">
        <v>4032.79</v>
      </c>
      <c r="J781" s="218">
        <v>2461.4</v>
      </c>
      <c r="K781" s="218">
        <v>2461.4</v>
      </c>
      <c r="L781" s="219">
        <v>120</v>
      </c>
      <c r="M781" s="217" t="s">
        <v>265</v>
      </c>
      <c r="N781" s="217" t="s">
        <v>269</v>
      </c>
      <c r="O781" s="220" t="s">
        <v>706</v>
      </c>
      <c r="P781" s="190">
        <v>3900454.54</v>
      </c>
      <c r="Q781" s="190">
        <v>0</v>
      </c>
      <c r="R781" s="190">
        <v>0</v>
      </c>
      <c r="S781" s="190">
        <f t="shared" si="88"/>
        <v>3900454.54</v>
      </c>
      <c r="T781" s="190">
        <f t="shared" ref="T781:T844" si="93">P781/I781</f>
        <v>967.18513485700964</v>
      </c>
      <c r="U781" s="190">
        <v>1338.2386908319054</v>
      </c>
      <c r="V781" s="221">
        <f t="shared" si="92"/>
        <v>371.05355597489574</v>
      </c>
      <c r="W781" s="221">
        <f t="shared" si="89"/>
        <v>1124.3927375340645</v>
      </c>
      <c r="X781" s="221">
        <v>0</v>
      </c>
      <c r="Y781" s="222">
        <v>0</v>
      </c>
      <c r="Z781" s="222">
        <v>0</v>
      </c>
      <c r="AA781" s="222">
        <v>0</v>
      </c>
      <c r="AB781" s="222">
        <v>0</v>
      </c>
      <c r="AC781" s="222">
        <v>0</v>
      </c>
      <c r="AD781" s="222">
        <v>0</v>
      </c>
      <c r="AE781" s="222">
        <v>726.8</v>
      </c>
      <c r="AF781" s="221">
        <f t="shared" si="91"/>
        <v>1124.3927375340645</v>
      </c>
      <c r="AG781" s="222">
        <v>0</v>
      </c>
      <c r="AH781" s="221">
        <v>0</v>
      </c>
      <c r="AI781" s="222">
        <v>0</v>
      </c>
      <c r="AJ781" s="221">
        <v>0</v>
      </c>
      <c r="AK781" s="222">
        <v>0</v>
      </c>
      <c r="AL781" s="222">
        <v>0</v>
      </c>
      <c r="AM781" s="222">
        <v>0</v>
      </c>
      <c r="AN781" s="222"/>
      <c r="AO781" s="222">
        <v>0</v>
      </c>
    </row>
    <row r="782" spans="1:41" s="223" customFormat="1" ht="36" customHeight="1" x14ac:dyDescent="0.25">
      <c r="A782" s="223">
        <v>1</v>
      </c>
      <c r="B782" s="225">
        <f>SUBTOTAL(103,$A$552:A782)</f>
        <v>226</v>
      </c>
      <c r="C782" s="215" t="s">
        <v>1935</v>
      </c>
      <c r="D782" s="217">
        <v>1963</v>
      </c>
      <c r="E782" s="217"/>
      <c r="F782" s="226" t="s">
        <v>1571</v>
      </c>
      <c r="G782" s="217" t="s">
        <v>303</v>
      </c>
      <c r="H782" s="217" t="s">
        <v>303</v>
      </c>
      <c r="I782" s="218">
        <v>695.5</v>
      </c>
      <c r="J782" s="218">
        <v>647.5</v>
      </c>
      <c r="K782" s="218">
        <v>647.5</v>
      </c>
      <c r="L782" s="219">
        <v>31</v>
      </c>
      <c r="M782" s="217" t="s">
        <v>265</v>
      </c>
      <c r="N782" s="217" t="s">
        <v>266</v>
      </c>
      <c r="O782" s="220" t="s">
        <v>268</v>
      </c>
      <c r="P782" s="190">
        <v>3646987.83</v>
      </c>
      <c r="Q782" s="190">
        <v>0</v>
      </c>
      <c r="R782" s="190">
        <v>0</v>
      </c>
      <c r="S782" s="190">
        <f t="shared" si="88"/>
        <v>3646987.83</v>
      </c>
      <c r="T782" s="190">
        <f t="shared" si="93"/>
        <v>5243.6920632638394</v>
      </c>
      <c r="U782" s="190">
        <v>5614.1193386053201</v>
      </c>
      <c r="V782" s="221">
        <f t="shared" si="92"/>
        <v>370.42727534148071</v>
      </c>
      <c r="W782" s="221">
        <f t="shared" si="89"/>
        <v>3815.8267948238672</v>
      </c>
      <c r="X782" s="221">
        <v>0</v>
      </c>
      <c r="Y782" s="222">
        <v>0</v>
      </c>
      <c r="Z782" s="222">
        <v>0</v>
      </c>
      <c r="AA782" s="222">
        <v>0</v>
      </c>
      <c r="AB782" s="222">
        <v>0</v>
      </c>
      <c r="AC782" s="222">
        <v>0</v>
      </c>
      <c r="AD782" s="222">
        <v>0</v>
      </c>
      <c r="AE782" s="222">
        <v>425.38</v>
      </c>
      <c r="AF782" s="221">
        <f t="shared" si="91"/>
        <v>3815.8267948238672</v>
      </c>
      <c r="AG782" s="222">
        <v>0</v>
      </c>
      <c r="AH782" s="221">
        <v>0</v>
      </c>
      <c r="AI782" s="222">
        <v>0</v>
      </c>
      <c r="AJ782" s="221">
        <v>0</v>
      </c>
      <c r="AK782" s="222">
        <v>0</v>
      </c>
      <c r="AL782" s="222">
        <v>0</v>
      </c>
      <c r="AM782" s="222">
        <v>0</v>
      </c>
      <c r="AN782" s="222"/>
      <c r="AO782" s="222">
        <v>0</v>
      </c>
    </row>
    <row r="783" spans="1:41" s="223" customFormat="1" ht="36" customHeight="1" x14ac:dyDescent="0.25">
      <c r="A783" s="223">
        <v>1</v>
      </c>
      <c r="B783" s="225">
        <f>SUBTOTAL(103,$A$552:A783)</f>
        <v>227</v>
      </c>
      <c r="C783" s="215" t="s">
        <v>1936</v>
      </c>
      <c r="D783" s="217">
        <v>1955</v>
      </c>
      <c r="E783" s="217"/>
      <c r="F783" s="226" t="s">
        <v>1571</v>
      </c>
      <c r="G783" s="217" t="s">
        <v>303</v>
      </c>
      <c r="H783" s="217" t="s">
        <v>304</v>
      </c>
      <c r="I783" s="218">
        <v>349</v>
      </c>
      <c r="J783" s="218">
        <v>310.60000000000002</v>
      </c>
      <c r="K783" s="218">
        <v>310.60000000000002</v>
      </c>
      <c r="L783" s="219">
        <v>17</v>
      </c>
      <c r="M783" s="217" t="s">
        <v>265</v>
      </c>
      <c r="N783" s="217" t="s">
        <v>269</v>
      </c>
      <c r="O783" s="220" t="s">
        <v>1315</v>
      </c>
      <c r="P783" s="190">
        <v>2017991.4400000002</v>
      </c>
      <c r="Q783" s="190">
        <v>0</v>
      </c>
      <c r="R783" s="190">
        <v>0</v>
      </c>
      <c r="S783" s="190">
        <f t="shared" si="88"/>
        <v>2017991.4400000002</v>
      </c>
      <c r="T783" s="190">
        <f t="shared" si="93"/>
        <v>5782.2104297994274</v>
      </c>
      <c r="U783" s="190">
        <v>5847.6066475644702</v>
      </c>
      <c r="V783" s="221">
        <f t="shared" si="92"/>
        <v>65.39621776504282</v>
      </c>
      <c r="W783" s="221">
        <f t="shared" si="89"/>
        <v>102555.69736389685</v>
      </c>
      <c r="X783" s="221">
        <v>0</v>
      </c>
      <c r="Y783" s="222">
        <v>0</v>
      </c>
      <c r="Z783" s="222">
        <v>0</v>
      </c>
      <c r="AA783" s="222">
        <v>0</v>
      </c>
      <c r="AB783" s="222">
        <v>0</v>
      </c>
      <c r="AC783" s="222">
        <v>0</v>
      </c>
      <c r="AD783" s="222">
        <v>0</v>
      </c>
      <c r="AE783" s="222">
        <v>0</v>
      </c>
      <c r="AF783" s="221">
        <v>0</v>
      </c>
      <c r="AG783" s="222">
        <v>0</v>
      </c>
      <c r="AH783" s="221">
        <v>0</v>
      </c>
      <c r="AI783" s="222">
        <v>2448</v>
      </c>
      <c r="AJ783" s="221">
        <f>7439.1*AI783/I783</f>
        <v>52180.27736389685</v>
      </c>
      <c r="AK783" s="222">
        <v>229</v>
      </c>
      <c r="AL783" s="221">
        <f>76773.02*AK783/I783</f>
        <v>50375.420000000006</v>
      </c>
      <c r="AM783" s="222">
        <v>0</v>
      </c>
      <c r="AN783" s="222"/>
      <c r="AO783" s="222">
        <v>0</v>
      </c>
    </row>
    <row r="784" spans="1:41" s="223" customFormat="1" ht="36" customHeight="1" x14ac:dyDescent="0.25">
      <c r="A784" s="223">
        <v>1</v>
      </c>
      <c r="B784" s="225">
        <f>SUBTOTAL(103,$A$552:A784)</f>
        <v>228</v>
      </c>
      <c r="C784" s="215" t="s">
        <v>1937</v>
      </c>
      <c r="D784" s="217">
        <v>1957</v>
      </c>
      <c r="E784" s="217"/>
      <c r="F784" s="226" t="s">
        <v>1571</v>
      </c>
      <c r="G784" s="217" t="s">
        <v>303</v>
      </c>
      <c r="H784" s="217" t="s">
        <v>303</v>
      </c>
      <c r="I784" s="190">
        <v>832.6</v>
      </c>
      <c r="J784" s="190">
        <v>448</v>
      </c>
      <c r="K784" s="190">
        <v>448</v>
      </c>
      <c r="L784" s="219">
        <v>22</v>
      </c>
      <c r="M784" s="217" t="s">
        <v>265</v>
      </c>
      <c r="N784" s="217" t="s">
        <v>269</v>
      </c>
      <c r="O784" s="220" t="s">
        <v>704</v>
      </c>
      <c r="P784" s="190">
        <v>2478736.48</v>
      </c>
      <c r="Q784" s="190">
        <v>0</v>
      </c>
      <c r="R784" s="190">
        <v>0</v>
      </c>
      <c r="S784" s="190">
        <f t="shared" si="88"/>
        <v>2478736.48</v>
      </c>
      <c r="T784" s="190">
        <f t="shared" si="93"/>
        <v>2977.1036271919288</v>
      </c>
      <c r="U784" s="190">
        <v>3295.90071582993</v>
      </c>
      <c r="V784" s="221">
        <f t="shared" si="92"/>
        <v>318.79708863800124</v>
      </c>
      <c r="W784" s="221">
        <f t="shared" si="89"/>
        <v>12614.159423492676</v>
      </c>
      <c r="X784" s="221">
        <v>0</v>
      </c>
      <c r="Y784" s="222">
        <v>0</v>
      </c>
      <c r="Z784" s="222">
        <v>0</v>
      </c>
      <c r="AA784" s="222">
        <v>0</v>
      </c>
      <c r="AB784" s="222">
        <v>0</v>
      </c>
      <c r="AC784" s="222">
        <v>0</v>
      </c>
      <c r="AD784" s="222">
        <v>0</v>
      </c>
      <c r="AE784" s="222">
        <v>0</v>
      </c>
      <c r="AF784" s="221">
        <v>0</v>
      </c>
      <c r="AG784" s="222">
        <v>0</v>
      </c>
      <c r="AH784" s="221">
        <v>0</v>
      </c>
      <c r="AI784" s="222">
        <v>0</v>
      </c>
      <c r="AJ784" s="221">
        <v>0</v>
      </c>
      <c r="AK784" s="222">
        <v>136.80000000000001</v>
      </c>
      <c r="AL784" s="221">
        <f>76773.02*AK784/I784</f>
        <v>12614.159423492676</v>
      </c>
      <c r="AM784" s="222">
        <v>0</v>
      </c>
      <c r="AN784" s="222"/>
      <c r="AO784" s="222">
        <v>0</v>
      </c>
    </row>
    <row r="785" spans="1:41" s="223" customFormat="1" ht="36" customHeight="1" x14ac:dyDescent="0.25">
      <c r="A785" s="223">
        <v>1</v>
      </c>
      <c r="B785" s="225">
        <f>SUBTOTAL(103,$A$552:A785)</f>
        <v>229</v>
      </c>
      <c r="C785" s="215" t="s">
        <v>2308</v>
      </c>
      <c r="D785" s="217">
        <v>1959</v>
      </c>
      <c r="E785" s="217"/>
      <c r="F785" s="226" t="s">
        <v>1571</v>
      </c>
      <c r="G785" s="217" t="s">
        <v>303</v>
      </c>
      <c r="H785" s="217" t="s">
        <v>303</v>
      </c>
      <c r="I785" s="190">
        <v>575.79999999999995</v>
      </c>
      <c r="J785" s="190">
        <v>533.29999999999995</v>
      </c>
      <c r="K785" s="190">
        <v>533.29999999999995</v>
      </c>
      <c r="L785" s="219">
        <v>42</v>
      </c>
      <c r="M785" s="217" t="s">
        <v>265</v>
      </c>
      <c r="N785" s="217" t="s">
        <v>269</v>
      </c>
      <c r="O785" s="220" t="s">
        <v>707</v>
      </c>
      <c r="P785" s="190">
        <v>2882260.0700000003</v>
      </c>
      <c r="Q785" s="190">
        <v>0</v>
      </c>
      <c r="R785" s="190">
        <v>0</v>
      </c>
      <c r="S785" s="190">
        <f t="shared" si="88"/>
        <v>2882260.0700000003</v>
      </c>
      <c r="T785" s="190">
        <f t="shared" si="93"/>
        <v>5005.6618096561315</v>
      </c>
      <c r="U785" s="190">
        <v>6555.1684612712752</v>
      </c>
      <c r="V785" s="221">
        <f t="shared" si="92"/>
        <v>1549.5066516151437</v>
      </c>
      <c r="W785" s="221">
        <f t="shared" si="89"/>
        <v>18239.925557485243</v>
      </c>
      <c r="X785" s="221">
        <v>0</v>
      </c>
      <c r="Y785" s="222">
        <v>0</v>
      </c>
      <c r="Z785" s="222">
        <v>0</v>
      </c>
      <c r="AA785" s="222">
        <v>0</v>
      </c>
      <c r="AB785" s="222">
        <v>0</v>
      </c>
      <c r="AC785" s="222">
        <v>0</v>
      </c>
      <c r="AD785" s="222">
        <v>0</v>
      </c>
      <c r="AE785" s="222">
        <v>0</v>
      </c>
      <c r="AF785" s="221">
        <v>0</v>
      </c>
      <c r="AG785" s="222">
        <v>0</v>
      </c>
      <c r="AH785" s="221">
        <v>0</v>
      </c>
      <c r="AI785" s="222">
        <v>0</v>
      </c>
      <c r="AJ785" s="221">
        <v>0</v>
      </c>
      <c r="AK785" s="222">
        <v>136.80000000000001</v>
      </c>
      <c r="AL785" s="221">
        <f>76773.02*AK785/I785</f>
        <v>18239.925557485243</v>
      </c>
      <c r="AM785" s="222">
        <v>0</v>
      </c>
      <c r="AN785" s="222"/>
      <c r="AO785" s="222">
        <v>0</v>
      </c>
    </row>
    <row r="786" spans="1:41" s="223" customFormat="1" ht="36" customHeight="1" x14ac:dyDescent="0.25">
      <c r="B786" s="215" t="s">
        <v>816</v>
      </c>
      <c r="C786" s="215"/>
      <c r="D786" s="217" t="s">
        <v>890</v>
      </c>
      <c r="E786" s="217" t="s">
        <v>890</v>
      </c>
      <c r="F786" s="217" t="s">
        <v>890</v>
      </c>
      <c r="G786" s="217" t="s">
        <v>890</v>
      </c>
      <c r="H786" s="217" t="s">
        <v>890</v>
      </c>
      <c r="I786" s="218">
        <f>SUM(I787:I793)</f>
        <v>35250.9</v>
      </c>
      <c r="J786" s="218">
        <f>SUM(J787:J793)</f>
        <v>20149</v>
      </c>
      <c r="K786" s="218">
        <f>SUM(K787:K793)</f>
        <v>19981.8</v>
      </c>
      <c r="L786" s="219">
        <f>SUM(L787:L793)</f>
        <v>902</v>
      </c>
      <c r="M786" s="217" t="s">
        <v>890</v>
      </c>
      <c r="N786" s="217" t="s">
        <v>890</v>
      </c>
      <c r="O786" s="220" t="s">
        <v>890</v>
      </c>
      <c r="P786" s="218">
        <v>31580337.110000003</v>
      </c>
      <c r="Q786" s="218">
        <f>SUM(Q787:Q793)</f>
        <v>0</v>
      </c>
      <c r="R786" s="218">
        <f>SUM(R787:R793)</f>
        <v>0</v>
      </c>
      <c r="S786" s="218">
        <f>SUM(S787:S793)</f>
        <v>31580337.110000003</v>
      </c>
      <c r="T786" s="190">
        <f t="shared" si="93"/>
        <v>895.87321486827295</v>
      </c>
      <c r="U786" s="190">
        <f>MAX(U787:U793)</f>
        <v>5089.8212290502788</v>
      </c>
      <c r="V786" s="221">
        <f t="shared" si="92"/>
        <v>4193.9480141820059</v>
      </c>
      <c r="W786" s="221"/>
      <c r="X786" s="221"/>
      <c r="Y786" s="222"/>
      <c r="Z786" s="222"/>
      <c r="AA786" s="222"/>
      <c r="AB786" s="222"/>
      <c r="AC786" s="222"/>
      <c r="AD786" s="222"/>
      <c r="AE786" s="222"/>
      <c r="AF786" s="222"/>
      <c r="AG786" s="222"/>
      <c r="AH786" s="222"/>
      <c r="AI786" s="222"/>
      <c r="AJ786" s="222"/>
      <c r="AK786" s="222"/>
      <c r="AL786" s="222"/>
      <c r="AM786" s="222"/>
      <c r="AN786" s="222"/>
      <c r="AO786" s="222"/>
    </row>
    <row r="787" spans="1:41" s="223" customFormat="1" ht="36" customHeight="1" x14ac:dyDescent="0.25">
      <c r="A787" s="223">
        <v>1</v>
      </c>
      <c r="B787" s="225">
        <f>SUBTOTAL(103,$A$552:A787)</f>
        <v>230</v>
      </c>
      <c r="C787" s="215" t="s">
        <v>641</v>
      </c>
      <c r="D787" s="217">
        <v>1986</v>
      </c>
      <c r="E787" s="217"/>
      <c r="F787" s="226" t="s">
        <v>311</v>
      </c>
      <c r="G787" s="217">
        <v>5</v>
      </c>
      <c r="H787" s="217" t="s">
        <v>371</v>
      </c>
      <c r="I787" s="218">
        <v>7160.5</v>
      </c>
      <c r="J787" s="218">
        <v>3872.4</v>
      </c>
      <c r="K787" s="218">
        <v>3872.4</v>
      </c>
      <c r="L787" s="219">
        <v>185</v>
      </c>
      <c r="M787" s="217" t="s">
        <v>265</v>
      </c>
      <c r="N787" s="217" t="s">
        <v>269</v>
      </c>
      <c r="O787" s="220" t="s">
        <v>709</v>
      </c>
      <c r="P787" s="190">
        <v>5608010</v>
      </c>
      <c r="Q787" s="190">
        <v>0</v>
      </c>
      <c r="R787" s="190">
        <v>0</v>
      </c>
      <c r="S787" s="190">
        <f t="shared" ref="S787:S793" si="94">P787-Q787-R787</f>
        <v>5608010</v>
      </c>
      <c r="T787" s="190">
        <f t="shared" si="93"/>
        <v>783.18692828713074</v>
      </c>
      <c r="U787" s="190">
        <v>1020.1652468403045</v>
      </c>
      <c r="V787" s="221">
        <f t="shared" si="92"/>
        <v>236.97831855317372</v>
      </c>
      <c r="W787" s="221">
        <f t="shared" ref="W787:W793" si="95">X787+Y787+Z787+AA787+AB787+AD787+AF787+AH787+AJ787+AL787+AN787+AO787</f>
        <v>978.02897493191813</v>
      </c>
      <c r="X787" s="221">
        <v>0</v>
      </c>
      <c r="Y787" s="222">
        <v>0</v>
      </c>
      <c r="Z787" s="222">
        <v>0</v>
      </c>
      <c r="AA787" s="222">
        <v>0</v>
      </c>
      <c r="AB787" s="222">
        <v>0</v>
      </c>
      <c r="AC787" s="222">
        <v>0</v>
      </c>
      <c r="AD787" s="222">
        <v>0</v>
      </c>
      <c r="AE787" s="222">
        <v>1122.5</v>
      </c>
      <c r="AF787" s="221">
        <f>6238.91*AE787/I787</f>
        <v>978.02897493191813</v>
      </c>
      <c r="AG787" s="222">
        <v>0</v>
      </c>
      <c r="AH787" s="221">
        <v>0</v>
      </c>
      <c r="AI787" s="222">
        <v>0</v>
      </c>
      <c r="AJ787" s="221">
        <v>0</v>
      </c>
      <c r="AK787" s="222">
        <v>0</v>
      </c>
      <c r="AL787" s="222">
        <v>0</v>
      </c>
      <c r="AM787" s="222">
        <v>0</v>
      </c>
      <c r="AN787" s="222"/>
      <c r="AO787" s="222">
        <v>0</v>
      </c>
    </row>
    <row r="788" spans="1:41" s="223" customFormat="1" ht="36" customHeight="1" x14ac:dyDescent="0.25">
      <c r="A788" s="223">
        <v>1</v>
      </c>
      <c r="B788" s="225">
        <f>SUBTOTAL(103,$A$552:A788)</f>
        <v>231</v>
      </c>
      <c r="C788" s="215" t="s">
        <v>638</v>
      </c>
      <c r="D788" s="217">
        <v>2002</v>
      </c>
      <c r="E788" s="217"/>
      <c r="F788" s="226" t="s">
        <v>267</v>
      </c>
      <c r="G788" s="217">
        <v>5</v>
      </c>
      <c r="H788" s="217" t="s">
        <v>312</v>
      </c>
      <c r="I788" s="218">
        <v>5019</v>
      </c>
      <c r="J788" s="218">
        <v>2368</v>
      </c>
      <c r="K788" s="218">
        <v>2368</v>
      </c>
      <c r="L788" s="219">
        <v>93</v>
      </c>
      <c r="M788" s="217" t="s">
        <v>265</v>
      </c>
      <c r="N788" s="217" t="s">
        <v>269</v>
      </c>
      <c r="O788" s="220" t="s">
        <v>709</v>
      </c>
      <c r="P788" s="190">
        <v>4467087.6000000006</v>
      </c>
      <c r="Q788" s="190">
        <v>0</v>
      </c>
      <c r="R788" s="190">
        <v>0</v>
      </c>
      <c r="S788" s="190">
        <f t="shared" si="94"/>
        <v>4467087.6000000006</v>
      </c>
      <c r="T788" s="190">
        <f t="shared" si="93"/>
        <v>890.03538553496719</v>
      </c>
      <c r="U788" s="190">
        <v>1109.381972504483</v>
      </c>
      <c r="V788" s="221">
        <f t="shared" si="92"/>
        <v>219.34658696951578</v>
      </c>
      <c r="W788" s="221">
        <f t="shared" si="95"/>
        <v>1063.5607483562462</v>
      </c>
      <c r="X788" s="221">
        <v>0</v>
      </c>
      <c r="Y788" s="222">
        <v>0</v>
      </c>
      <c r="Z788" s="222">
        <v>0</v>
      </c>
      <c r="AA788" s="222">
        <v>0</v>
      </c>
      <c r="AB788" s="222">
        <v>0</v>
      </c>
      <c r="AC788" s="222">
        <v>0</v>
      </c>
      <c r="AD788" s="222">
        <v>0</v>
      </c>
      <c r="AE788" s="222">
        <v>855.6</v>
      </c>
      <c r="AF788" s="221">
        <f>6238.91*AE788/I788</f>
        <v>1063.5607483562462</v>
      </c>
      <c r="AG788" s="222">
        <v>0</v>
      </c>
      <c r="AH788" s="221">
        <v>0</v>
      </c>
      <c r="AI788" s="222">
        <v>0</v>
      </c>
      <c r="AJ788" s="221">
        <v>0</v>
      </c>
      <c r="AK788" s="222">
        <v>0</v>
      </c>
      <c r="AL788" s="222">
        <v>0</v>
      </c>
      <c r="AM788" s="222">
        <v>0</v>
      </c>
      <c r="AN788" s="222"/>
      <c r="AO788" s="222">
        <v>0</v>
      </c>
    </row>
    <row r="789" spans="1:41" s="223" customFormat="1" ht="36" customHeight="1" x14ac:dyDescent="0.25">
      <c r="A789" s="223">
        <v>1</v>
      </c>
      <c r="B789" s="225">
        <f>SUBTOTAL(103,$A$552:A789)</f>
        <v>232</v>
      </c>
      <c r="C789" s="215" t="s">
        <v>1192</v>
      </c>
      <c r="D789" s="217">
        <v>1989</v>
      </c>
      <c r="E789" s="217">
        <v>2015</v>
      </c>
      <c r="F789" s="226" t="s">
        <v>267</v>
      </c>
      <c r="G789" s="217">
        <v>9</v>
      </c>
      <c r="H789" s="217" t="s">
        <v>303</v>
      </c>
      <c r="I789" s="190">
        <v>6378.7</v>
      </c>
      <c r="J789" s="190">
        <v>3794.9</v>
      </c>
      <c r="K789" s="190">
        <v>3627.7</v>
      </c>
      <c r="L789" s="219">
        <v>187</v>
      </c>
      <c r="M789" s="217" t="s">
        <v>265</v>
      </c>
      <c r="N789" s="217" t="s">
        <v>269</v>
      </c>
      <c r="O789" s="220" t="s">
        <v>709</v>
      </c>
      <c r="P789" s="190">
        <v>2483706.87</v>
      </c>
      <c r="Q789" s="190">
        <v>0</v>
      </c>
      <c r="R789" s="190">
        <v>0</v>
      </c>
      <c r="S789" s="190">
        <f t="shared" si="94"/>
        <v>2483706.87</v>
      </c>
      <c r="T789" s="190">
        <f t="shared" si="93"/>
        <v>389.37508740025402</v>
      </c>
      <c r="U789" s="190">
        <v>4187.79</v>
      </c>
      <c r="V789" s="221">
        <f>U789-T789</f>
        <v>3798.414912599746</v>
      </c>
      <c r="W789" s="221">
        <f>X789+Y789+Z789+AA789+AB789+AD789+AF789+AH789+AJ789+AL789+AN789+AO789</f>
        <v>3791.6299999999997</v>
      </c>
      <c r="X789" s="221">
        <v>101.55</v>
      </c>
      <c r="Y789" s="222">
        <v>245.44</v>
      </c>
      <c r="Z789" s="222">
        <v>3259.66</v>
      </c>
      <c r="AA789" s="222">
        <v>184.98</v>
      </c>
      <c r="AB789" s="222">
        <v>0</v>
      </c>
      <c r="AC789" s="222">
        <v>0</v>
      </c>
      <c r="AD789" s="222">
        <v>0</v>
      </c>
      <c r="AE789" s="222">
        <v>0</v>
      </c>
      <c r="AF789" s="221">
        <v>0</v>
      </c>
      <c r="AG789" s="222">
        <v>0</v>
      </c>
      <c r="AH789" s="221">
        <v>0</v>
      </c>
      <c r="AI789" s="222">
        <v>0</v>
      </c>
      <c r="AJ789" s="221">
        <v>0</v>
      </c>
      <c r="AK789" s="222">
        <v>0</v>
      </c>
      <c r="AL789" s="222">
        <v>0</v>
      </c>
      <c r="AM789" s="222">
        <v>0</v>
      </c>
      <c r="AN789" s="222"/>
      <c r="AO789" s="222">
        <v>0</v>
      </c>
    </row>
    <row r="790" spans="1:41" s="223" customFormat="1" ht="36" customHeight="1" x14ac:dyDescent="0.25">
      <c r="A790" s="223">
        <v>1</v>
      </c>
      <c r="B790" s="225">
        <f>SUBTOTAL(103,$A$552:A790)</f>
        <v>233</v>
      </c>
      <c r="C790" s="215" t="s">
        <v>1905</v>
      </c>
      <c r="D790" s="217">
        <v>1964</v>
      </c>
      <c r="E790" s="217"/>
      <c r="F790" s="226" t="s">
        <v>267</v>
      </c>
      <c r="G790" s="217">
        <v>2</v>
      </c>
      <c r="H790" s="217" t="s">
        <v>303</v>
      </c>
      <c r="I790" s="218">
        <v>680.2</v>
      </c>
      <c r="J790" s="218">
        <v>356</v>
      </c>
      <c r="K790" s="218">
        <v>356</v>
      </c>
      <c r="L790" s="219">
        <v>22</v>
      </c>
      <c r="M790" s="217" t="s">
        <v>265</v>
      </c>
      <c r="N790" s="217" t="s">
        <v>269</v>
      </c>
      <c r="O790" s="220" t="s">
        <v>709</v>
      </c>
      <c r="P790" s="190">
        <v>2819900</v>
      </c>
      <c r="Q790" s="190">
        <v>0</v>
      </c>
      <c r="R790" s="190">
        <v>0</v>
      </c>
      <c r="S790" s="190">
        <f t="shared" si="94"/>
        <v>2819900</v>
      </c>
      <c r="T790" s="190">
        <f t="shared" si="93"/>
        <v>4145.6924433989998</v>
      </c>
      <c r="U790" s="190">
        <v>5089.8212290502788</v>
      </c>
      <c r="V790" s="221">
        <f>U790-T790</f>
        <v>944.12878565127903</v>
      </c>
      <c r="W790" s="221">
        <f>X790+Y790+Z790+AA790+AB790+AD790+AF790+AH790+AJ790+AL790+AN790+AO790</f>
        <v>4879.5944134078209</v>
      </c>
      <c r="X790" s="221">
        <v>0</v>
      </c>
      <c r="Y790" s="222">
        <v>0</v>
      </c>
      <c r="Z790" s="222">
        <v>0</v>
      </c>
      <c r="AA790" s="222">
        <v>0</v>
      </c>
      <c r="AB790" s="222">
        <v>0</v>
      </c>
      <c r="AC790" s="222">
        <v>0</v>
      </c>
      <c r="AD790" s="222">
        <v>0</v>
      </c>
      <c r="AE790" s="222">
        <v>532</v>
      </c>
      <c r="AF790" s="221">
        <f>6238.91*AE790/I790</f>
        <v>4879.5944134078209</v>
      </c>
      <c r="AG790" s="222">
        <v>0</v>
      </c>
      <c r="AH790" s="221">
        <v>0</v>
      </c>
      <c r="AI790" s="222">
        <v>0</v>
      </c>
      <c r="AJ790" s="221">
        <v>0</v>
      </c>
      <c r="AK790" s="222">
        <v>0</v>
      </c>
      <c r="AL790" s="222">
        <v>0</v>
      </c>
      <c r="AM790" s="222">
        <v>0</v>
      </c>
      <c r="AN790" s="222"/>
      <c r="AO790" s="222">
        <v>0</v>
      </c>
    </row>
    <row r="791" spans="1:41" s="223" customFormat="1" ht="36" customHeight="1" x14ac:dyDescent="0.25">
      <c r="A791" s="223">
        <v>1</v>
      </c>
      <c r="B791" s="225">
        <f>SUBTOTAL(103,$A$552:A791)</f>
        <v>234</v>
      </c>
      <c r="C791" s="215" t="s">
        <v>1090</v>
      </c>
      <c r="D791" s="217">
        <v>1983</v>
      </c>
      <c r="E791" s="217"/>
      <c r="F791" s="226" t="s">
        <v>267</v>
      </c>
      <c r="G791" s="217">
        <v>5</v>
      </c>
      <c r="H791" s="217" t="s">
        <v>308</v>
      </c>
      <c r="I791" s="190">
        <v>4169.3</v>
      </c>
      <c r="J791" s="190">
        <v>2760.1</v>
      </c>
      <c r="K791" s="190">
        <v>2760.1</v>
      </c>
      <c r="L791" s="219">
        <v>121</v>
      </c>
      <c r="M791" s="217" t="s">
        <v>265</v>
      </c>
      <c r="N791" s="217" t="s">
        <v>269</v>
      </c>
      <c r="O791" s="220" t="s">
        <v>1356</v>
      </c>
      <c r="P791" s="190">
        <v>4226815.84</v>
      </c>
      <c r="Q791" s="190">
        <v>0</v>
      </c>
      <c r="R791" s="190">
        <v>0</v>
      </c>
      <c r="S791" s="190">
        <f t="shared" si="94"/>
        <v>4226815.84</v>
      </c>
      <c r="T791" s="190">
        <f t="shared" si="93"/>
        <v>1013.795083107476</v>
      </c>
      <c r="U791" s="190">
        <v>1338.2826805458949</v>
      </c>
      <c r="V791" s="221">
        <f t="shared" si="92"/>
        <v>324.4875974384189</v>
      </c>
      <c r="W791" s="221">
        <f t="shared" si="95"/>
        <v>3791.6299999999997</v>
      </c>
      <c r="X791" s="221">
        <v>101.55</v>
      </c>
      <c r="Y791" s="222">
        <v>245.44</v>
      </c>
      <c r="Z791" s="222">
        <v>3259.66</v>
      </c>
      <c r="AA791" s="222">
        <v>184.98</v>
      </c>
      <c r="AB791" s="222">
        <v>0</v>
      </c>
      <c r="AC791" s="222">
        <v>0</v>
      </c>
      <c r="AD791" s="222">
        <v>0</v>
      </c>
      <c r="AE791" s="222">
        <v>0</v>
      </c>
      <c r="AF791" s="221">
        <v>0</v>
      </c>
      <c r="AG791" s="222">
        <v>0</v>
      </c>
      <c r="AH791" s="221">
        <v>0</v>
      </c>
      <c r="AI791" s="222">
        <v>0</v>
      </c>
      <c r="AJ791" s="221">
        <v>0</v>
      </c>
      <c r="AK791" s="222">
        <v>0</v>
      </c>
      <c r="AL791" s="222">
        <v>0</v>
      </c>
      <c r="AM791" s="222">
        <v>0</v>
      </c>
      <c r="AN791" s="222"/>
      <c r="AO791" s="222">
        <v>0</v>
      </c>
    </row>
    <row r="792" spans="1:41" s="223" customFormat="1" ht="36" customHeight="1" x14ac:dyDescent="0.25">
      <c r="A792" s="223">
        <v>1</v>
      </c>
      <c r="B792" s="225">
        <f>SUBTOTAL(103,$A$552:A792)</f>
        <v>235</v>
      </c>
      <c r="C792" s="215" t="s">
        <v>1191</v>
      </c>
      <c r="D792" s="217">
        <v>2001</v>
      </c>
      <c r="E792" s="217"/>
      <c r="F792" s="226" t="s">
        <v>267</v>
      </c>
      <c r="G792" s="217">
        <v>5</v>
      </c>
      <c r="H792" s="217" t="s">
        <v>351</v>
      </c>
      <c r="I792" s="218">
        <v>6330.6</v>
      </c>
      <c r="J792" s="218">
        <v>3627.4</v>
      </c>
      <c r="K792" s="218">
        <v>3627.4</v>
      </c>
      <c r="L792" s="219">
        <v>157</v>
      </c>
      <c r="M792" s="217" t="s">
        <v>265</v>
      </c>
      <c r="N792" s="217" t="s">
        <v>269</v>
      </c>
      <c r="O792" s="220" t="s">
        <v>709</v>
      </c>
      <c r="P792" s="190">
        <v>5003194.3900000006</v>
      </c>
      <c r="Q792" s="190">
        <v>0</v>
      </c>
      <c r="R792" s="190">
        <v>0</v>
      </c>
      <c r="S792" s="190">
        <f t="shared" si="94"/>
        <v>5003194.3900000006</v>
      </c>
      <c r="T792" s="190">
        <f t="shared" si="93"/>
        <v>790.31914668435854</v>
      </c>
      <c r="U792" s="190">
        <v>1193.4792436735854</v>
      </c>
      <c r="V792" s="221">
        <f t="shared" si="92"/>
        <v>403.16009698922687</v>
      </c>
      <c r="W792" s="221">
        <f t="shared" si="95"/>
        <v>524.29471456102101</v>
      </c>
      <c r="X792" s="221">
        <v>0</v>
      </c>
      <c r="Y792" s="222">
        <v>0</v>
      </c>
      <c r="Z792" s="222">
        <v>0</v>
      </c>
      <c r="AA792" s="222">
        <v>0</v>
      </c>
      <c r="AB792" s="222">
        <v>0</v>
      </c>
      <c r="AC792" s="222">
        <v>0</v>
      </c>
      <c r="AD792" s="222">
        <v>0</v>
      </c>
      <c r="AE792" s="222">
        <v>532</v>
      </c>
      <c r="AF792" s="221">
        <f>6238.91*AE792/I792</f>
        <v>524.29471456102101</v>
      </c>
      <c r="AG792" s="222">
        <v>0</v>
      </c>
      <c r="AH792" s="221">
        <v>0</v>
      </c>
      <c r="AI792" s="222">
        <v>0</v>
      </c>
      <c r="AJ792" s="221">
        <v>0</v>
      </c>
      <c r="AK792" s="222">
        <v>0</v>
      </c>
      <c r="AL792" s="222">
        <v>0</v>
      </c>
      <c r="AM792" s="222">
        <v>0</v>
      </c>
      <c r="AN792" s="222"/>
      <c r="AO792" s="222">
        <v>0</v>
      </c>
    </row>
    <row r="793" spans="1:41" s="223" customFormat="1" ht="36" customHeight="1" x14ac:dyDescent="0.25">
      <c r="A793" s="223">
        <v>1</v>
      </c>
      <c r="B793" s="225">
        <f>SUBTOTAL(103,$A$552:A793)</f>
        <v>236</v>
      </c>
      <c r="C793" s="215" t="s">
        <v>1938</v>
      </c>
      <c r="D793" s="217">
        <v>1994</v>
      </c>
      <c r="E793" s="217"/>
      <c r="F793" s="226" t="s">
        <v>318</v>
      </c>
      <c r="G793" s="217" t="s">
        <v>351</v>
      </c>
      <c r="H793" s="217" t="s">
        <v>312</v>
      </c>
      <c r="I793" s="218">
        <v>5512.6</v>
      </c>
      <c r="J793" s="218">
        <v>3370.2</v>
      </c>
      <c r="K793" s="218">
        <v>3370.2</v>
      </c>
      <c r="L793" s="219">
        <v>137</v>
      </c>
      <c r="M793" s="217" t="s">
        <v>265</v>
      </c>
      <c r="N793" s="217" t="s">
        <v>269</v>
      </c>
      <c r="O793" s="220" t="s">
        <v>709</v>
      </c>
      <c r="P793" s="190">
        <v>6971622.4100000001</v>
      </c>
      <c r="Q793" s="190">
        <v>0</v>
      </c>
      <c r="R793" s="190">
        <v>0</v>
      </c>
      <c r="S793" s="190">
        <f t="shared" si="94"/>
        <v>6971622.4100000001</v>
      </c>
      <c r="T793" s="190">
        <f t="shared" si="93"/>
        <v>1264.6704658418894</v>
      </c>
      <c r="U793" s="190">
        <v>1923.7651779559553</v>
      </c>
      <c r="V793" s="221">
        <f t="shared" si="92"/>
        <v>659.09471211406594</v>
      </c>
      <c r="W793" s="221">
        <f t="shared" si="95"/>
        <v>970.36633058810708</v>
      </c>
      <c r="X793" s="221">
        <v>0</v>
      </c>
      <c r="Y793" s="222">
        <v>0</v>
      </c>
      <c r="Z793" s="222">
        <v>0</v>
      </c>
      <c r="AA793" s="222">
        <v>0</v>
      </c>
      <c r="AB793" s="222">
        <v>0</v>
      </c>
      <c r="AC793" s="222">
        <v>0</v>
      </c>
      <c r="AD793" s="222">
        <v>0</v>
      </c>
      <c r="AE793" s="222">
        <v>857.4</v>
      </c>
      <c r="AF793" s="221">
        <f>6238.91*AE793/I793</f>
        <v>970.36633058810708</v>
      </c>
      <c r="AG793" s="222">
        <v>0</v>
      </c>
      <c r="AH793" s="221">
        <v>0</v>
      </c>
      <c r="AI793" s="222">
        <v>0</v>
      </c>
      <c r="AJ793" s="221">
        <v>0</v>
      </c>
      <c r="AK793" s="222">
        <v>0</v>
      </c>
      <c r="AL793" s="222">
        <v>0</v>
      </c>
      <c r="AM793" s="222">
        <v>0</v>
      </c>
      <c r="AN793" s="222"/>
      <c r="AO793" s="222">
        <v>0</v>
      </c>
    </row>
    <row r="794" spans="1:41" s="223" customFormat="1" ht="36" customHeight="1" x14ac:dyDescent="0.25">
      <c r="B794" s="215" t="s">
        <v>817</v>
      </c>
      <c r="C794" s="215"/>
      <c r="D794" s="217" t="s">
        <v>890</v>
      </c>
      <c r="E794" s="217" t="s">
        <v>890</v>
      </c>
      <c r="F794" s="217" t="s">
        <v>890</v>
      </c>
      <c r="G794" s="217" t="s">
        <v>890</v>
      </c>
      <c r="H794" s="217" t="s">
        <v>890</v>
      </c>
      <c r="I794" s="218">
        <f>SUM(I795:I800)</f>
        <v>11928.599999999999</v>
      </c>
      <c r="J794" s="218">
        <f>SUM(J795:J800)</f>
        <v>9002.2999999999993</v>
      </c>
      <c r="K794" s="218">
        <f>SUM(K795:K800)</f>
        <v>8843.4</v>
      </c>
      <c r="L794" s="219">
        <f>SUM(L795:L800)</f>
        <v>416</v>
      </c>
      <c r="M794" s="217" t="s">
        <v>890</v>
      </c>
      <c r="N794" s="217" t="s">
        <v>890</v>
      </c>
      <c r="O794" s="220" t="s">
        <v>890</v>
      </c>
      <c r="P794" s="218">
        <v>22006421.640000001</v>
      </c>
      <c r="Q794" s="218">
        <f>SUM(Q795:Q800)</f>
        <v>0</v>
      </c>
      <c r="R794" s="218">
        <f>SUM(R795:R800)</f>
        <v>0</v>
      </c>
      <c r="S794" s="218">
        <f>SUM(S795:S800)</f>
        <v>22006421.640000001</v>
      </c>
      <c r="T794" s="190">
        <f t="shared" si="93"/>
        <v>1844.845299532217</v>
      </c>
      <c r="U794" s="190">
        <f>MAX(U795:U800)</f>
        <v>5941.959893603218</v>
      </c>
      <c r="V794" s="221">
        <f t="shared" si="92"/>
        <v>4097.1145940710012</v>
      </c>
      <c r="W794" s="221"/>
      <c r="X794" s="221"/>
      <c r="Y794" s="222"/>
      <c r="Z794" s="222"/>
      <c r="AA794" s="222"/>
      <c r="AB794" s="222"/>
      <c r="AC794" s="222"/>
      <c r="AD794" s="222"/>
      <c r="AE794" s="222"/>
      <c r="AF794" s="222"/>
      <c r="AG794" s="222"/>
      <c r="AH794" s="222"/>
      <c r="AI794" s="222"/>
      <c r="AJ794" s="222"/>
      <c r="AK794" s="222"/>
      <c r="AL794" s="222"/>
      <c r="AM794" s="222"/>
      <c r="AN794" s="222"/>
      <c r="AO794" s="222"/>
    </row>
    <row r="795" spans="1:41" s="223" customFormat="1" ht="36" customHeight="1" x14ac:dyDescent="0.25">
      <c r="A795" s="223">
        <v>1</v>
      </c>
      <c r="B795" s="225">
        <f>SUBTOTAL(103,$A$552:A795)</f>
        <v>237</v>
      </c>
      <c r="C795" s="215" t="s">
        <v>646</v>
      </c>
      <c r="D795" s="217">
        <v>1937</v>
      </c>
      <c r="E795" s="217"/>
      <c r="F795" s="226" t="s">
        <v>330</v>
      </c>
      <c r="G795" s="217">
        <v>2</v>
      </c>
      <c r="H795" s="217" t="s">
        <v>303</v>
      </c>
      <c r="I795" s="218">
        <v>423.5</v>
      </c>
      <c r="J795" s="218">
        <v>301.89999999999998</v>
      </c>
      <c r="K795" s="218">
        <v>301.89999999999998</v>
      </c>
      <c r="L795" s="219">
        <v>26</v>
      </c>
      <c r="M795" s="217" t="s">
        <v>265</v>
      </c>
      <c r="N795" s="217" t="s">
        <v>283</v>
      </c>
      <c r="O795" s="220" t="s">
        <v>268</v>
      </c>
      <c r="P795" s="190">
        <v>2308745</v>
      </c>
      <c r="Q795" s="190">
        <v>0</v>
      </c>
      <c r="R795" s="190">
        <v>0</v>
      </c>
      <c r="S795" s="190">
        <f t="shared" ref="S795:S799" si="96">P795-Q795-R795</f>
        <v>2308745</v>
      </c>
      <c r="T795" s="190">
        <f t="shared" si="93"/>
        <v>5451.5820543093268</v>
      </c>
      <c r="U795" s="190">
        <v>5451.5820543093268</v>
      </c>
      <c r="V795" s="221">
        <f t="shared" si="92"/>
        <v>0</v>
      </c>
      <c r="W795" s="221">
        <f t="shared" ref="W795:W799" si="97">X795+Y795+Z795+AA795+AB795+AD795+AF795+AH795+AJ795+AL795+AN795+AO795</f>
        <v>5082.4650531286889</v>
      </c>
      <c r="X795" s="221">
        <v>0</v>
      </c>
      <c r="Y795" s="222">
        <v>0</v>
      </c>
      <c r="Z795" s="222">
        <v>0</v>
      </c>
      <c r="AA795" s="222">
        <v>0</v>
      </c>
      <c r="AB795" s="222">
        <v>0</v>
      </c>
      <c r="AC795" s="222">
        <v>0</v>
      </c>
      <c r="AD795" s="222">
        <v>0</v>
      </c>
      <c r="AE795" s="222">
        <v>345</v>
      </c>
      <c r="AF795" s="221">
        <f t="shared" ref="AF795:AF799" si="98">6238.91*AE795/I795</f>
        <v>5082.4650531286889</v>
      </c>
      <c r="AG795" s="222">
        <v>0</v>
      </c>
      <c r="AH795" s="221">
        <v>0</v>
      </c>
      <c r="AI795" s="222">
        <v>0</v>
      </c>
      <c r="AJ795" s="221">
        <v>0</v>
      </c>
      <c r="AK795" s="222">
        <v>0</v>
      </c>
      <c r="AL795" s="222">
        <v>0</v>
      </c>
      <c r="AM795" s="222">
        <v>0</v>
      </c>
      <c r="AN795" s="222"/>
      <c r="AO795" s="222">
        <v>0</v>
      </c>
    </row>
    <row r="796" spans="1:41" s="223" customFormat="1" ht="36" customHeight="1" x14ac:dyDescent="0.25">
      <c r="A796" s="223">
        <v>1</v>
      </c>
      <c r="B796" s="225">
        <f>SUBTOTAL(103,$A$552:A796)</f>
        <v>238</v>
      </c>
      <c r="C796" s="215" t="s">
        <v>647</v>
      </c>
      <c r="D796" s="217">
        <v>1975</v>
      </c>
      <c r="E796" s="217"/>
      <c r="F796" s="226" t="s">
        <v>267</v>
      </c>
      <c r="G796" s="217">
        <v>3</v>
      </c>
      <c r="H796" s="217" t="s">
        <v>303</v>
      </c>
      <c r="I796" s="218">
        <v>1248.5999999999999</v>
      </c>
      <c r="J796" s="218">
        <v>1155.9000000000001</v>
      </c>
      <c r="K796" s="218">
        <v>1155.9000000000001</v>
      </c>
      <c r="L796" s="219">
        <v>53</v>
      </c>
      <c r="M796" s="217" t="s">
        <v>265</v>
      </c>
      <c r="N796" s="217" t="s">
        <v>269</v>
      </c>
      <c r="O796" s="220" t="s">
        <v>704</v>
      </c>
      <c r="P796" s="190">
        <v>4232403.2300000004</v>
      </c>
      <c r="Q796" s="190">
        <v>0</v>
      </c>
      <c r="R796" s="190">
        <v>0</v>
      </c>
      <c r="S796" s="190">
        <f t="shared" si="96"/>
        <v>4232403.2300000004</v>
      </c>
      <c r="T796" s="190">
        <f t="shared" si="93"/>
        <v>3389.7190693576813</v>
      </c>
      <c r="U796" s="190">
        <v>3898.5740829729298</v>
      </c>
      <c r="V796" s="221">
        <f>U796-T796</f>
        <v>508.85501361524848</v>
      </c>
      <c r="W796" s="221">
        <f>X796+Y796+Z796+AA796+AB796+AD796+AF796+AH796+AJ796+AL796+AN796+AO796</f>
        <v>3737.5497997757489</v>
      </c>
      <c r="X796" s="221">
        <v>0</v>
      </c>
      <c r="Y796" s="222">
        <v>0</v>
      </c>
      <c r="Z796" s="222">
        <v>0</v>
      </c>
      <c r="AA796" s="222">
        <v>0</v>
      </c>
      <c r="AB796" s="222">
        <v>0</v>
      </c>
      <c r="AC796" s="222">
        <v>0</v>
      </c>
      <c r="AD796" s="222">
        <v>0</v>
      </c>
      <c r="AE796" s="222">
        <v>748</v>
      </c>
      <c r="AF796" s="221">
        <f t="shared" si="98"/>
        <v>3737.5497997757489</v>
      </c>
      <c r="AG796" s="222">
        <v>0</v>
      </c>
      <c r="AH796" s="221">
        <v>0</v>
      </c>
      <c r="AI796" s="222">
        <v>0</v>
      </c>
      <c r="AJ796" s="221">
        <v>0</v>
      </c>
      <c r="AK796" s="222">
        <v>0</v>
      </c>
      <c r="AL796" s="222">
        <v>0</v>
      </c>
      <c r="AM796" s="222">
        <v>0</v>
      </c>
      <c r="AN796" s="222"/>
      <c r="AO796" s="222">
        <v>0</v>
      </c>
    </row>
    <row r="797" spans="1:41" s="223" customFormat="1" ht="36" customHeight="1" x14ac:dyDescent="0.25">
      <c r="A797" s="223">
        <v>1</v>
      </c>
      <c r="B797" s="225">
        <f>SUBTOTAL(103,$A$552:A797)</f>
        <v>239</v>
      </c>
      <c r="C797" s="215" t="s">
        <v>645</v>
      </c>
      <c r="D797" s="217">
        <v>1959</v>
      </c>
      <c r="E797" s="217"/>
      <c r="F797" s="226" t="s">
        <v>267</v>
      </c>
      <c r="G797" s="217">
        <v>3</v>
      </c>
      <c r="H797" s="217" t="s">
        <v>312</v>
      </c>
      <c r="I797" s="218">
        <v>1163.0999999999999</v>
      </c>
      <c r="J797" s="218">
        <v>1058.9000000000001</v>
      </c>
      <c r="K797" s="218">
        <v>996.7</v>
      </c>
      <c r="L797" s="219">
        <v>42</v>
      </c>
      <c r="M797" s="217" t="s">
        <v>265</v>
      </c>
      <c r="N797" s="217" t="s">
        <v>269</v>
      </c>
      <c r="O797" s="220" t="s">
        <v>710</v>
      </c>
      <c r="P797" s="190">
        <v>3341865.1999999997</v>
      </c>
      <c r="Q797" s="190">
        <v>0</v>
      </c>
      <c r="R797" s="190">
        <v>0</v>
      </c>
      <c r="S797" s="190">
        <f t="shared" si="96"/>
        <v>3341865.1999999997</v>
      </c>
      <c r="T797" s="190">
        <f t="shared" si="93"/>
        <v>2873.2397902158027</v>
      </c>
      <c r="U797" s="190">
        <v>3363.7943770956931</v>
      </c>
      <c r="V797" s="221">
        <f>U797-T797</f>
        <v>490.55458687989039</v>
      </c>
      <c r="W797" s="221">
        <f>X797+Y797+Z797+AA797+AB797+AD797+AF797+AH797+AJ797+AL797+AN797+AO797</f>
        <v>3224.8583028114526</v>
      </c>
      <c r="X797" s="221">
        <v>0</v>
      </c>
      <c r="Y797" s="222">
        <v>0</v>
      </c>
      <c r="Z797" s="222">
        <v>0</v>
      </c>
      <c r="AA797" s="222">
        <v>0</v>
      </c>
      <c r="AB797" s="222">
        <v>0</v>
      </c>
      <c r="AC797" s="222">
        <v>0</v>
      </c>
      <c r="AD797" s="222">
        <v>0</v>
      </c>
      <c r="AE797" s="222">
        <v>601.20000000000005</v>
      </c>
      <c r="AF797" s="221">
        <f t="shared" si="98"/>
        <v>3224.8583028114526</v>
      </c>
      <c r="AG797" s="222">
        <v>0</v>
      </c>
      <c r="AH797" s="221">
        <v>0</v>
      </c>
      <c r="AI797" s="222">
        <v>0</v>
      </c>
      <c r="AJ797" s="221">
        <v>0</v>
      </c>
      <c r="AK797" s="222">
        <v>0</v>
      </c>
      <c r="AL797" s="222">
        <v>0</v>
      </c>
      <c r="AM797" s="222">
        <v>0</v>
      </c>
      <c r="AN797" s="222"/>
      <c r="AO797" s="222">
        <v>0</v>
      </c>
    </row>
    <row r="798" spans="1:41" s="223" customFormat="1" ht="36" customHeight="1" x14ac:dyDescent="0.25">
      <c r="A798" s="223">
        <v>1</v>
      </c>
      <c r="B798" s="225">
        <f>SUBTOTAL(103,$A$552:A798)</f>
        <v>240</v>
      </c>
      <c r="C798" s="215" t="s">
        <v>1952</v>
      </c>
      <c r="D798" s="217">
        <v>1972</v>
      </c>
      <c r="E798" s="217"/>
      <c r="F798" s="226" t="s">
        <v>1571</v>
      </c>
      <c r="G798" s="217" t="s">
        <v>303</v>
      </c>
      <c r="H798" s="217" t="s">
        <v>303</v>
      </c>
      <c r="I798" s="218">
        <v>770.7</v>
      </c>
      <c r="J798" s="218">
        <v>710.1</v>
      </c>
      <c r="K798" s="218">
        <v>710.1</v>
      </c>
      <c r="L798" s="219">
        <v>29</v>
      </c>
      <c r="M798" s="217" t="s">
        <v>265</v>
      </c>
      <c r="N798" s="217" t="s">
        <v>269</v>
      </c>
      <c r="O798" s="220" t="s">
        <v>710</v>
      </c>
      <c r="P798" s="190">
        <v>3823671.0300000003</v>
      </c>
      <c r="Q798" s="190">
        <v>0</v>
      </c>
      <c r="R798" s="190">
        <v>0</v>
      </c>
      <c r="S798" s="190">
        <f t="shared" si="96"/>
        <v>3823671.0300000003</v>
      </c>
      <c r="T798" s="190">
        <f t="shared" si="93"/>
        <v>4961.2962631374075</v>
      </c>
      <c r="U798" s="190">
        <v>5941.959893603218</v>
      </c>
      <c r="V798" s="221">
        <f t="shared" si="92"/>
        <v>980.66363046581046</v>
      </c>
      <c r="W798" s="221">
        <f t="shared" si="97"/>
        <v>6549.1960001297512</v>
      </c>
      <c r="X798" s="221">
        <v>0</v>
      </c>
      <c r="Y798" s="222">
        <v>0</v>
      </c>
      <c r="Z798" s="222">
        <v>0</v>
      </c>
      <c r="AA798" s="222">
        <v>0</v>
      </c>
      <c r="AB798" s="222">
        <v>0</v>
      </c>
      <c r="AC798" s="222">
        <v>0</v>
      </c>
      <c r="AD798" s="222">
        <v>0</v>
      </c>
      <c r="AE798" s="222">
        <v>809.03</v>
      </c>
      <c r="AF798" s="221">
        <f t="shared" si="98"/>
        <v>6549.1960001297512</v>
      </c>
      <c r="AG798" s="222">
        <v>0</v>
      </c>
      <c r="AH798" s="221">
        <v>0</v>
      </c>
      <c r="AI798" s="222">
        <v>0</v>
      </c>
      <c r="AJ798" s="221">
        <v>0</v>
      </c>
      <c r="AK798" s="222">
        <v>0</v>
      </c>
      <c r="AL798" s="222">
        <v>0</v>
      </c>
      <c r="AM798" s="222">
        <v>0</v>
      </c>
      <c r="AN798" s="222"/>
      <c r="AO798" s="222">
        <v>0</v>
      </c>
    </row>
    <row r="799" spans="1:41" s="223" customFormat="1" ht="36" customHeight="1" x14ac:dyDescent="0.25">
      <c r="A799" s="223">
        <v>1</v>
      </c>
      <c r="B799" s="225">
        <f>SUBTOTAL(103,$A$552:A799)</f>
        <v>241</v>
      </c>
      <c r="C799" s="215" t="s">
        <v>1953</v>
      </c>
      <c r="D799" s="217">
        <v>1959</v>
      </c>
      <c r="E799" s="217"/>
      <c r="F799" s="226" t="s">
        <v>1571</v>
      </c>
      <c r="G799" s="217" t="s">
        <v>312</v>
      </c>
      <c r="H799" s="217" t="s">
        <v>312</v>
      </c>
      <c r="I799" s="218">
        <v>1662.7</v>
      </c>
      <c r="J799" s="218">
        <v>1046.8</v>
      </c>
      <c r="K799" s="218">
        <v>950.1</v>
      </c>
      <c r="L799" s="219">
        <v>59</v>
      </c>
      <c r="M799" s="217" t="s">
        <v>265</v>
      </c>
      <c r="N799" s="217" t="s">
        <v>269</v>
      </c>
      <c r="O799" s="220" t="s">
        <v>710</v>
      </c>
      <c r="P799" s="190">
        <v>3256927.5100000002</v>
      </c>
      <c r="Q799" s="190">
        <v>0</v>
      </c>
      <c r="R799" s="190">
        <v>0</v>
      </c>
      <c r="S799" s="190">
        <f t="shared" si="96"/>
        <v>3256927.5100000002</v>
      </c>
      <c r="T799" s="190">
        <f t="shared" si="93"/>
        <v>1958.8184940157576</v>
      </c>
      <c r="U799" s="190">
        <v>2779.4810579178438</v>
      </c>
      <c r="V799" s="221">
        <f t="shared" si="92"/>
        <v>820.66256390208628</v>
      </c>
      <c r="W799" s="221">
        <f t="shared" si="97"/>
        <v>2806.7027605701569</v>
      </c>
      <c r="X799" s="221">
        <v>0</v>
      </c>
      <c r="Y799" s="222">
        <v>0</v>
      </c>
      <c r="Z799" s="222">
        <v>0</v>
      </c>
      <c r="AA799" s="222">
        <v>0</v>
      </c>
      <c r="AB799" s="222">
        <v>0</v>
      </c>
      <c r="AC799" s="222">
        <v>0</v>
      </c>
      <c r="AD799" s="222">
        <v>0</v>
      </c>
      <c r="AE799" s="222">
        <v>748</v>
      </c>
      <c r="AF799" s="221">
        <f t="shared" si="98"/>
        <v>2806.7027605701569</v>
      </c>
      <c r="AG799" s="222">
        <v>0</v>
      </c>
      <c r="AH799" s="221">
        <v>0</v>
      </c>
      <c r="AI799" s="222">
        <v>0</v>
      </c>
      <c r="AJ799" s="221">
        <v>0</v>
      </c>
      <c r="AK799" s="222">
        <v>0</v>
      </c>
      <c r="AL799" s="222">
        <v>0</v>
      </c>
      <c r="AM799" s="222">
        <v>0</v>
      </c>
      <c r="AN799" s="222"/>
      <c r="AO799" s="222">
        <v>0</v>
      </c>
    </row>
    <row r="800" spans="1:41" s="223" customFormat="1" ht="36" customHeight="1" x14ac:dyDescent="0.25">
      <c r="A800" s="223">
        <v>1</v>
      </c>
      <c r="B800" s="225">
        <f>SUBTOTAL(103,$A$552:A800)</f>
        <v>242</v>
      </c>
      <c r="C800" s="215" t="s">
        <v>1951</v>
      </c>
      <c r="D800" s="217">
        <v>1990</v>
      </c>
      <c r="E800" s="217"/>
      <c r="F800" s="226" t="s">
        <v>318</v>
      </c>
      <c r="G800" s="217" t="s">
        <v>351</v>
      </c>
      <c r="H800" s="217" t="s">
        <v>371</v>
      </c>
      <c r="I800" s="218">
        <v>6660</v>
      </c>
      <c r="J800" s="218">
        <v>4728.7</v>
      </c>
      <c r="K800" s="218">
        <v>4728.7</v>
      </c>
      <c r="L800" s="219">
        <v>207</v>
      </c>
      <c r="M800" s="217" t="s">
        <v>265</v>
      </c>
      <c r="N800" s="217" t="s">
        <v>269</v>
      </c>
      <c r="O800" s="220" t="s">
        <v>710</v>
      </c>
      <c r="P800" s="190">
        <v>5042809.67</v>
      </c>
      <c r="Q800" s="190">
        <v>0</v>
      </c>
      <c r="R800" s="190">
        <v>0</v>
      </c>
      <c r="S800" s="190">
        <f>P800-Q800-R800</f>
        <v>5042809.67</v>
      </c>
      <c r="T800" s="190">
        <f t="shared" si="93"/>
        <v>757.17862912912915</v>
      </c>
      <c r="U800" s="190">
        <v>1616.9387096096095</v>
      </c>
      <c r="V800" s="221">
        <f>U800-T800</f>
        <v>859.76008048048038</v>
      </c>
      <c r="W800" s="221">
        <f>X800+Y800+Z800+AA800+AB800+AD800+AF800+AH800+AJ800+AL800+AN800+AO800</f>
        <v>2534.1072882882886</v>
      </c>
      <c r="X800" s="221">
        <v>0</v>
      </c>
      <c r="Y800" s="222">
        <v>0</v>
      </c>
      <c r="Z800" s="222">
        <v>0</v>
      </c>
      <c r="AA800" s="222">
        <v>0</v>
      </c>
      <c r="AB800" s="222">
        <v>0</v>
      </c>
      <c r="AC800" s="222">
        <v>0</v>
      </c>
      <c r="AD800" s="222">
        <v>0</v>
      </c>
      <c r="AE800" s="222">
        <v>0</v>
      </c>
      <c r="AF800" s="221">
        <v>0</v>
      </c>
      <c r="AG800" s="222">
        <v>0</v>
      </c>
      <c r="AH800" s="221">
        <v>0</v>
      </c>
      <c r="AI800" s="222">
        <v>782.6</v>
      </c>
      <c r="AJ800" s="221">
        <f>7439.1*AI800/I800</f>
        <v>874.15009909909907</v>
      </c>
      <c r="AK800" s="222">
        <v>144</v>
      </c>
      <c r="AL800" s="221">
        <f>76773.02*AK800/I800</f>
        <v>1659.9571891891894</v>
      </c>
      <c r="AM800" s="222">
        <v>0</v>
      </c>
      <c r="AN800" s="222"/>
      <c r="AO800" s="222">
        <v>0</v>
      </c>
    </row>
    <row r="801" spans="1:191" s="223" customFormat="1" ht="36" customHeight="1" x14ac:dyDescent="0.25">
      <c r="B801" s="215" t="s">
        <v>818</v>
      </c>
      <c r="C801" s="215"/>
      <c r="D801" s="217" t="s">
        <v>890</v>
      </c>
      <c r="E801" s="217" t="s">
        <v>890</v>
      </c>
      <c r="F801" s="217" t="s">
        <v>890</v>
      </c>
      <c r="G801" s="217" t="s">
        <v>890</v>
      </c>
      <c r="H801" s="217" t="s">
        <v>890</v>
      </c>
      <c r="I801" s="218">
        <f>SUM(I802:I805)</f>
        <v>11803.32</v>
      </c>
      <c r="J801" s="218">
        <f>SUM(J802:J805)</f>
        <v>8101.62</v>
      </c>
      <c r="K801" s="218">
        <f>SUM(K802:K805)</f>
        <v>8101.62</v>
      </c>
      <c r="L801" s="219">
        <f>SUM(L802:L805)</f>
        <v>483</v>
      </c>
      <c r="M801" s="217" t="s">
        <v>890</v>
      </c>
      <c r="N801" s="217" t="s">
        <v>890</v>
      </c>
      <c r="O801" s="220" t="s">
        <v>890</v>
      </c>
      <c r="P801" s="218">
        <v>13606335.93</v>
      </c>
      <c r="Q801" s="218">
        <f>SUM(Q802:Q805)</f>
        <v>0</v>
      </c>
      <c r="R801" s="218">
        <f>SUM(R802:R805)</f>
        <v>0</v>
      </c>
      <c r="S801" s="218">
        <f>SUM(S802:S805)</f>
        <v>13606335.93</v>
      </c>
      <c r="T801" s="190">
        <f t="shared" si="93"/>
        <v>1152.7549816492308</v>
      </c>
      <c r="U801" s="190">
        <f>MAX(U802:U805)</f>
        <v>4735.5</v>
      </c>
      <c r="V801" s="221">
        <f t="shared" si="92"/>
        <v>3582.745018350769</v>
      </c>
      <c r="W801" s="221"/>
      <c r="X801" s="221"/>
      <c r="Y801" s="222"/>
      <c r="Z801" s="222"/>
      <c r="AA801" s="222"/>
      <c r="AB801" s="222"/>
      <c r="AC801" s="222"/>
      <c r="AD801" s="222"/>
      <c r="AE801" s="222"/>
      <c r="AF801" s="222"/>
      <c r="AG801" s="222"/>
      <c r="AH801" s="222"/>
      <c r="AI801" s="222"/>
      <c r="AJ801" s="222"/>
      <c r="AK801" s="222"/>
      <c r="AL801" s="222"/>
      <c r="AM801" s="222"/>
      <c r="AN801" s="222"/>
      <c r="AO801" s="222"/>
    </row>
    <row r="802" spans="1:191" s="223" customFormat="1" ht="36" customHeight="1" x14ac:dyDescent="0.25">
      <c r="A802" s="223">
        <v>1</v>
      </c>
      <c r="B802" s="225">
        <f>SUBTOTAL(103,$A$552:A802)</f>
        <v>243</v>
      </c>
      <c r="C802" s="215" t="s">
        <v>652</v>
      </c>
      <c r="D802" s="217">
        <v>1978</v>
      </c>
      <c r="E802" s="217"/>
      <c r="F802" s="226" t="s">
        <v>267</v>
      </c>
      <c r="G802" s="217">
        <v>3</v>
      </c>
      <c r="H802" s="217" t="s">
        <v>303</v>
      </c>
      <c r="I802" s="218">
        <v>1608.4</v>
      </c>
      <c r="J802" s="218">
        <v>1122.9000000000001</v>
      </c>
      <c r="K802" s="218">
        <v>1122.9000000000001</v>
      </c>
      <c r="L802" s="219">
        <v>53</v>
      </c>
      <c r="M802" s="217" t="s">
        <v>265</v>
      </c>
      <c r="N802" s="217" t="s">
        <v>269</v>
      </c>
      <c r="O802" s="220" t="s">
        <v>991</v>
      </c>
      <c r="P802" s="190">
        <v>3550280</v>
      </c>
      <c r="Q802" s="190">
        <v>0</v>
      </c>
      <c r="R802" s="190">
        <v>0</v>
      </c>
      <c r="S802" s="190">
        <f>P802-Q802-R802</f>
        <v>3550280</v>
      </c>
      <c r="T802" s="190">
        <f t="shared" si="93"/>
        <v>2207.3364834618251</v>
      </c>
      <c r="U802" s="190">
        <v>2751.3280278537677</v>
      </c>
      <c r="V802" s="221">
        <f t="shared" si="92"/>
        <v>543.99154439194263</v>
      </c>
      <c r="W802" s="221">
        <f>X802+Y802+Z802+AA802+AB802+AD802+AF802+AH802+AJ802+AL802+AN802+AO802</f>
        <v>2637.6888833623475</v>
      </c>
      <c r="X802" s="221">
        <v>0</v>
      </c>
      <c r="Y802" s="222">
        <v>0</v>
      </c>
      <c r="Z802" s="222">
        <v>0</v>
      </c>
      <c r="AA802" s="222">
        <v>0</v>
      </c>
      <c r="AB802" s="222">
        <v>0</v>
      </c>
      <c r="AC802" s="222">
        <v>0</v>
      </c>
      <c r="AD802" s="222">
        <v>0</v>
      </c>
      <c r="AE802" s="222">
        <v>680</v>
      </c>
      <c r="AF802" s="221">
        <f>6238.91*AE802/I802</f>
        <v>2637.6888833623475</v>
      </c>
      <c r="AG802" s="222">
        <v>0</v>
      </c>
      <c r="AH802" s="221">
        <v>0</v>
      </c>
      <c r="AI802" s="222">
        <v>0</v>
      </c>
      <c r="AJ802" s="221">
        <v>0</v>
      </c>
      <c r="AK802" s="222">
        <v>0</v>
      </c>
      <c r="AL802" s="222">
        <v>0</v>
      </c>
      <c r="AM802" s="222">
        <v>0</v>
      </c>
      <c r="AN802" s="222"/>
      <c r="AO802" s="222">
        <v>0</v>
      </c>
    </row>
    <row r="803" spans="1:191" s="223" customFormat="1" ht="36" customHeight="1" x14ac:dyDescent="0.25">
      <c r="A803" s="223">
        <v>1</v>
      </c>
      <c r="B803" s="225">
        <f>SUBTOTAL(103,$A$552:A803)</f>
        <v>244</v>
      </c>
      <c r="C803" s="215" t="s">
        <v>655</v>
      </c>
      <c r="D803" s="217">
        <v>1986</v>
      </c>
      <c r="E803" s="217"/>
      <c r="F803" s="226" t="s">
        <v>267</v>
      </c>
      <c r="G803" s="217">
        <v>5</v>
      </c>
      <c r="H803" s="217" t="s">
        <v>371</v>
      </c>
      <c r="I803" s="218">
        <v>5164.1000000000004</v>
      </c>
      <c r="J803" s="218">
        <v>3835.7</v>
      </c>
      <c r="K803" s="218">
        <v>3835.7</v>
      </c>
      <c r="L803" s="219">
        <v>196</v>
      </c>
      <c r="M803" s="217" t="s">
        <v>265</v>
      </c>
      <c r="N803" s="217" t="s">
        <v>269</v>
      </c>
      <c r="O803" s="220" t="s">
        <v>714</v>
      </c>
      <c r="P803" s="190">
        <v>5495600.0099999998</v>
      </c>
      <c r="Q803" s="190">
        <v>0</v>
      </c>
      <c r="R803" s="190">
        <v>0</v>
      </c>
      <c r="S803" s="190">
        <f>P803-Q803-R803</f>
        <v>5495600.0099999998</v>
      </c>
      <c r="T803" s="190">
        <f t="shared" si="93"/>
        <v>1064.1931817741715</v>
      </c>
      <c r="U803" s="190">
        <v>1386.1989504463506</v>
      </c>
      <c r="V803" s="221">
        <f>U803-T803</f>
        <v>322.0057686721791</v>
      </c>
      <c r="W803" s="221">
        <f>X803+Y803+Z803+AA803+AB803+AD803+AF803+AH803+AJ803+AL803+AN803+AO803</f>
        <v>1328.9442497240564</v>
      </c>
      <c r="X803" s="221">
        <v>0</v>
      </c>
      <c r="Y803" s="222">
        <v>0</v>
      </c>
      <c r="Z803" s="222">
        <v>0</v>
      </c>
      <c r="AA803" s="222">
        <v>0</v>
      </c>
      <c r="AB803" s="222">
        <v>0</v>
      </c>
      <c r="AC803" s="222">
        <v>0</v>
      </c>
      <c r="AD803" s="222">
        <v>0</v>
      </c>
      <c r="AE803" s="222">
        <v>1100</v>
      </c>
      <c r="AF803" s="221">
        <f>6238.91*AE803/I803</f>
        <v>1328.9442497240564</v>
      </c>
      <c r="AG803" s="222">
        <v>0</v>
      </c>
      <c r="AH803" s="221">
        <v>0</v>
      </c>
      <c r="AI803" s="222">
        <v>0</v>
      </c>
      <c r="AJ803" s="221">
        <v>0</v>
      </c>
      <c r="AK803" s="222">
        <v>0</v>
      </c>
      <c r="AL803" s="222">
        <v>0</v>
      </c>
      <c r="AM803" s="222">
        <v>0</v>
      </c>
      <c r="AN803" s="222"/>
      <c r="AO803" s="222">
        <v>0</v>
      </c>
    </row>
    <row r="804" spans="1:191" s="223" customFormat="1" ht="36" customHeight="1" x14ac:dyDescent="0.25">
      <c r="A804" s="223">
        <v>1</v>
      </c>
      <c r="B804" s="225">
        <f>SUBTOTAL(103,$A$552:A804)</f>
        <v>245</v>
      </c>
      <c r="C804" s="215" t="s">
        <v>1910</v>
      </c>
      <c r="D804" s="217">
        <v>1965</v>
      </c>
      <c r="E804" s="217"/>
      <c r="F804" s="226" t="s">
        <v>267</v>
      </c>
      <c r="G804" s="217">
        <v>4</v>
      </c>
      <c r="H804" s="217" t="s">
        <v>312</v>
      </c>
      <c r="I804" s="218">
        <v>3674.31</v>
      </c>
      <c r="J804" s="218">
        <v>2209.41</v>
      </c>
      <c r="K804" s="218">
        <v>2209.41</v>
      </c>
      <c r="L804" s="219">
        <v>170</v>
      </c>
      <c r="M804" s="217" t="s">
        <v>265</v>
      </c>
      <c r="N804" s="217" t="s">
        <v>269</v>
      </c>
      <c r="O804" s="220" t="s">
        <v>1911</v>
      </c>
      <c r="P804" s="190">
        <v>3582812.32</v>
      </c>
      <c r="Q804" s="190">
        <v>0</v>
      </c>
      <c r="R804" s="190">
        <v>0</v>
      </c>
      <c r="S804" s="190">
        <f>P804-Q804-R804</f>
        <v>3582812.32</v>
      </c>
      <c r="T804" s="190">
        <f t="shared" si="93"/>
        <v>975.09799663065985</v>
      </c>
      <c r="U804" s="190">
        <v>4735.5</v>
      </c>
      <c r="V804" s="221">
        <f t="shared" si="92"/>
        <v>3760.40200336934</v>
      </c>
      <c r="W804" s="221">
        <f>X804+Y804+Z804+AA804+AB804+AD804+AF804+AH804+AJ804+AL804+AN804+AO804</f>
        <v>1867.7795286734108</v>
      </c>
      <c r="X804" s="221">
        <v>0</v>
      </c>
      <c r="Y804" s="222">
        <v>0</v>
      </c>
      <c r="Z804" s="222">
        <v>0</v>
      </c>
      <c r="AA804" s="222">
        <v>0</v>
      </c>
      <c r="AB804" s="222">
        <v>0</v>
      </c>
      <c r="AC804" s="222">
        <v>0</v>
      </c>
      <c r="AD804" s="222">
        <v>0</v>
      </c>
      <c r="AE804" s="222">
        <v>1100</v>
      </c>
      <c r="AF804" s="221">
        <f>6238.91*AE804/I804</f>
        <v>1867.7795286734108</v>
      </c>
      <c r="AG804" s="222">
        <v>0</v>
      </c>
      <c r="AH804" s="221">
        <v>0</v>
      </c>
      <c r="AI804" s="222">
        <v>0</v>
      </c>
      <c r="AJ804" s="221">
        <v>0</v>
      </c>
      <c r="AK804" s="222">
        <v>0</v>
      </c>
      <c r="AL804" s="222">
        <v>0</v>
      </c>
      <c r="AM804" s="222">
        <v>0</v>
      </c>
      <c r="AN804" s="222"/>
      <c r="AO804" s="222">
        <v>0</v>
      </c>
    </row>
    <row r="805" spans="1:191" s="223" customFormat="1" ht="36" customHeight="1" x14ac:dyDescent="0.25">
      <c r="A805" s="223">
        <v>1</v>
      </c>
      <c r="B805" s="225">
        <f>SUBTOTAL(103,$A$552:A805)</f>
        <v>246</v>
      </c>
      <c r="C805" s="215" t="s">
        <v>1939</v>
      </c>
      <c r="D805" s="217">
        <v>1962</v>
      </c>
      <c r="E805" s="217"/>
      <c r="F805" s="226" t="s">
        <v>1571</v>
      </c>
      <c r="G805" s="217" t="s">
        <v>312</v>
      </c>
      <c r="H805" s="217" t="s">
        <v>303</v>
      </c>
      <c r="I805" s="218">
        <v>1356.51</v>
      </c>
      <c r="J805" s="218">
        <v>933.61</v>
      </c>
      <c r="K805" s="218">
        <v>933.61</v>
      </c>
      <c r="L805" s="219">
        <v>64</v>
      </c>
      <c r="M805" s="217" t="s">
        <v>265</v>
      </c>
      <c r="N805" s="217" t="s">
        <v>269</v>
      </c>
      <c r="O805" s="220" t="s">
        <v>1316</v>
      </c>
      <c r="P805" s="190">
        <v>977643.6</v>
      </c>
      <c r="Q805" s="190">
        <v>0</v>
      </c>
      <c r="R805" s="190">
        <v>0</v>
      </c>
      <c r="S805" s="190">
        <f>P805-Q805-R805</f>
        <v>977643.6</v>
      </c>
      <c r="T805" s="190">
        <f t="shared" si="93"/>
        <v>720.70504456288563</v>
      </c>
      <c r="U805" s="190">
        <v>810.46</v>
      </c>
      <c r="V805" s="221">
        <f t="shared" si="92"/>
        <v>89.754955437114404</v>
      </c>
      <c r="W805" s="221">
        <f>X805+Y805+Z805+AA805+AB805+AD805+AF805+AH805+AJ805+AL805+AN805+AO805</f>
        <v>4341.5</v>
      </c>
      <c r="X805" s="221">
        <v>101.55</v>
      </c>
      <c r="Y805" s="222">
        <v>0</v>
      </c>
      <c r="Z805" s="222">
        <v>3259.66</v>
      </c>
      <c r="AA805" s="222">
        <v>184.98</v>
      </c>
      <c r="AB805" s="222">
        <v>795.31</v>
      </c>
      <c r="AC805" s="222">
        <v>0</v>
      </c>
      <c r="AD805" s="222">
        <v>0</v>
      </c>
      <c r="AE805" s="222">
        <v>0</v>
      </c>
      <c r="AF805" s="221">
        <v>0</v>
      </c>
      <c r="AG805" s="222">
        <v>0</v>
      </c>
      <c r="AH805" s="221">
        <v>0</v>
      </c>
      <c r="AI805" s="222">
        <v>0</v>
      </c>
      <c r="AJ805" s="221">
        <v>0</v>
      </c>
      <c r="AK805" s="222">
        <v>0</v>
      </c>
      <c r="AL805" s="222">
        <v>0</v>
      </c>
      <c r="AM805" s="222">
        <v>0</v>
      </c>
      <c r="AN805" s="222"/>
      <c r="AO805" s="222">
        <v>0</v>
      </c>
    </row>
    <row r="806" spans="1:191" s="223" customFormat="1" ht="36" customHeight="1" x14ac:dyDescent="0.25">
      <c r="B806" s="215" t="s">
        <v>819</v>
      </c>
      <c r="C806" s="227"/>
      <c r="D806" s="217" t="s">
        <v>890</v>
      </c>
      <c r="E806" s="217" t="s">
        <v>890</v>
      </c>
      <c r="F806" s="217" t="s">
        <v>890</v>
      </c>
      <c r="G806" s="217" t="s">
        <v>890</v>
      </c>
      <c r="H806" s="217" t="s">
        <v>890</v>
      </c>
      <c r="I806" s="218">
        <f>SUM(I807:I807)</f>
        <v>2782.7</v>
      </c>
      <c r="J806" s="218">
        <f>SUM(J807:J807)</f>
        <v>2782.7</v>
      </c>
      <c r="K806" s="218">
        <f>SUM(K807:K807)</f>
        <v>2782.7</v>
      </c>
      <c r="L806" s="219">
        <f>SUM(L807:L807)</f>
        <v>103</v>
      </c>
      <c r="M806" s="217" t="s">
        <v>890</v>
      </c>
      <c r="N806" s="217" t="s">
        <v>890</v>
      </c>
      <c r="O806" s="220" t="s">
        <v>890</v>
      </c>
      <c r="P806" s="218">
        <v>2579501.7000000002</v>
      </c>
      <c r="Q806" s="218">
        <f>SUM(Q807:Q807)</f>
        <v>0</v>
      </c>
      <c r="R806" s="218">
        <f>SUM(R807:R807)</f>
        <v>0</v>
      </c>
      <c r="S806" s="218">
        <f>SUM(S807:S807)</f>
        <v>2579501.7000000002</v>
      </c>
      <c r="T806" s="190">
        <f t="shared" si="93"/>
        <v>926.97800697164632</v>
      </c>
      <c r="U806" s="190">
        <f>MAX(U807:U807)</f>
        <v>2432.173069321163</v>
      </c>
      <c r="V806" s="221">
        <f t="shared" si="92"/>
        <v>1505.1950623495168</v>
      </c>
      <c r="W806" s="221"/>
      <c r="X806" s="221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</row>
    <row r="807" spans="1:191" s="223" customFormat="1" ht="36" customHeight="1" x14ac:dyDescent="0.25">
      <c r="A807" s="223">
        <v>1</v>
      </c>
      <c r="B807" s="225">
        <f>SUBTOTAL(103,$A$552:A807)</f>
        <v>247</v>
      </c>
      <c r="C807" s="215" t="s">
        <v>759</v>
      </c>
      <c r="D807" s="217">
        <v>1985</v>
      </c>
      <c r="E807" s="217"/>
      <c r="F807" s="226" t="s">
        <v>267</v>
      </c>
      <c r="G807" s="217">
        <v>5</v>
      </c>
      <c r="H807" s="217" t="s">
        <v>308</v>
      </c>
      <c r="I807" s="218">
        <v>2782.7</v>
      </c>
      <c r="J807" s="218">
        <v>2782.7</v>
      </c>
      <c r="K807" s="218">
        <v>2782.7</v>
      </c>
      <c r="L807" s="219">
        <v>103</v>
      </c>
      <c r="M807" s="217" t="s">
        <v>265</v>
      </c>
      <c r="N807" s="217" t="s">
        <v>341</v>
      </c>
      <c r="O807" s="220" t="s">
        <v>719</v>
      </c>
      <c r="P807" s="190">
        <v>2579501.7000000002</v>
      </c>
      <c r="Q807" s="190">
        <v>0</v>
      </c>
      <c r="R807" s="190">
        <v>0</v>
      </c>
      <c r="S807" s="190">
        <f>P807-Q807-R807</f>
        <v>2579501.7000000002</v>
      </c>
      <c r="T807" s="190">
        <f t="shared" si="93"/>
        <v>926.97800697164632</v>
      </c>
      <c r="U807" s="190">
        <v>2432.173069321163</v>
      </c>
      <c r="V807" s="221">
        <f>U807-T807</f>
        <v>1505.1950623495168</v>
      </c>
      <c r="W807" s="221">
        <f>X807+Y807+Z807+AA807+AB807+AD807+AF807+AH807+AJ807+AL807+AN807+AO807</f>
        <v>2331.7161030653683</v>
      </c>
      <c r="X807" s="221">
        <v>0</v>
      </c>
      <c r="Y807" s="222">
        <v>0</v>
      </c>
      <c r="Z807" s="222">
        <v>0</v>
      </c>
      <c r="AA807" s="222">
        <v>0</v>
      </c>
      <c r="AB807" s="222">
        <v>0</v>
      </c>
      <c r="AC807" s="222">
        <v>0</v>
      </c>
      <c r="AD807" s="222">
        <v>0</v>
      </c>
      <c r="AE807" s="222">
        <v>1040</v>
      </c>
      <c r="AF807" s="221">
        <f>6238.91*AE807/I807</f>
        <v>2331.7161030653683</v>
      </c>
      <c r="AG807" s="222">
        <v>0</v>
      </c>
      <c r="AH807" s="221">
        <v>0</v>
      </c>
      <c r="AI807" s="222">
        <v>0</v>
      </c>
      <c r="AJ807" s="221">
        <v>0</v>
      </c>
      <c r="AK807" s="222">
        <v>0</v>
      </c>
      <c r="AL807" s="222">
        <v>0</v>
      </c>
      <c r="AM807" s="222">
        <v>0</v>
      </c>
      <c r="AN807" s="222"/>
      <c r="AO807" s="222">
        <v>0</v>
      </c>
    </row>
    <row r="808" spans="1:191" s="223" customFormat="1" ht="36" customHeight="1" x14ac:dyDescent="0.25">
      <c r="B808" s="215" t="s">
        <v>821</v>
      </c>
      <c r="C808" s="215"/>
      <c r="D808" s="217" t="s">
        <v>890</v>
      </c>
      <c r="E808" s="217" t="s">
        <v>890</v>
      </c>
      <c r="F808" s="217" t="s">
        <v>890</v>
      </c>
      <c r="G808" s="217" t="s">
        <v>890</v>
      </c>
      <c r="H808" s="217" t="s">
        <v>890</v>
      </c>
      <c r="I808" s="218">
        <f>SUM(I809:I810)</f>
        <v>1151.5</v>
      </c>
      <c r="J808" s="218">
        <f>SUM(J809:J810)</f>
        <v>984.9</v>
      </c>
      <c r="K808" s="218">
        <f>SUM(K809:K810)</f>
        <v>984.9</v>
      </c>
      <c r="L808" s="219">
        <f>SUM(L809:L810)</f>
        <v>39</v>
      </c>
      <c r="M808" s="217" t="s">
        <v>890</v>
      </c>
      <c r="N808" s="217" t="s">
        <v>890</v>
      </c>
      <c r="O808" s="220" t="s">
        <v>890</v>
      </c>
      <c r="P808" s="218">
        <v>3008567.42</v>
      </c>
      <c r="Q808" s="218">
        <f>SUM(Q809:Q810)</f>
        <v>0</v>
      </c>
      <c r="R808" s="218">
        <f>SUM(R809:R810)</f>
        <v>0</v>
      </c>
      <c r="S808" s="218">
        <f>SUM(S809:S810)</f>
        <v>3008567.42</v>
      </c>
      <c r="T808" s="190">
        <f t="shared" si="93"/>
        <v>2612.7376639166305</v>
      </c>
      <c r="U808" s="190">
        <f>MAX(U809:U810)</f>
        <v>4941.7822969319386</v>
      </c>
      <c r="V808" s="221">
        <f t="shared" si="92"/>
        <v>2329.0446330153081</v>
      </c>
      <c r="W808" s="221"/>
      <c r="X808" s="221"/>
      <c r="Y808" s="222"/>
      <c r="Z808" s="222"/>
      <c r="AA808" s="222"/>
      <c r="AB808" s="222"/>
      <c r="AC808" s="222"/>
      <c r="AD808" s="222"/>
      <c r="AE808" s="222"/>
      <c r="AF808" s="222"/>
      <c r="AG808" s="222"/>
      <c r="AH808" s="222"/>
      <c r="AI808" s="222"/>
      <c r="AJ808" s="222"/>
      <c r="AK808" s="222"/>
      <c r="AL808" s="222"/>
      <c r="AM808" s="222"/>
      <c r="AN808" s="222"/>
      <c r="AO808" s="222"/>
    </row>
    <row r="809" spans="1:191" s="223" customFormat="1" ht="36" customHeight="1" x14ac:dyDescent="0.25">
      <c r="A809" s="223">
        <v>1</v>
      </c>
      <c r="B809" s="225">
        <f>SUBTOTAL(103,$A$552:A809)</f>
        <v>248</v>
      </c>
      <c r="C809" s="215" t="s">
        <v>686</v>
      </c>
      <c r="D809" s="217">
        <v>1975</v>
      </c>
      <c r="E809" s="217"/>
      <c r="F809" s="226" t="s">
        <v>267</v>
      </c>
      <c r="G809" s="217">
        <v>2</v>
      </c>
      <c r="H809" s="217" t="s">
        <v>303</v>
      </c>
      <c r="I809" s="218">
        <v>850.7</v>
      </c>
      <c r="J809" s="218">
        <v>705.9</v>
      </c>
      <c r="K809" s="218">
        <v>705.9</v>
      </c>
      <c r="L809" s="219">
        <v>22</v>
      </c>
      <c r="M809" s="217" t="s">
        <v>265</v>
      </c>
      <c r="N809" s="217" t="s">
        <v>266</v>
      </c>
      <c r="O809" s="220" t="s">
        <v>268</v>
      </c>
      <c r="P809" s="190">
        <v>2605803.73</v>
      </c>
      <c r="Q809" s="190">
        <v>0</v>
      </c>
      <c r="R809" s="190">
        <v>0</v>
      </c>
      <c r="S809" s="190">
        <f>P809-Q809-R809</f>
        <v>2605803.73</v>
      </c>
      <c r="T809" s="190">
        <f t="shared" si="93"/>
        <v>3063.128870342071</v>
      </c>
      <c r="U809" s="190">
        <v>4941.7822969319386</v>
      </c>
      <c r="V809" s="221">
        <f t="shared" si="92"/>
        <v>1878.6534265898676</v>
      </c>
      <c r="W809" s="221">
        <f>X809+Y809+Z809+AA809+AB809+AD809+AF809+AH809+AJ809+AL809+AN809+AO809</f>
        <v>4737.6699894204767</v>
      </c>
      <c r="X809" s="221">
        <v>0</v>
      </c>
      <c r="Y809" s="222">
        <v>0</v>
      </c>
      <c r="Z809" s="222">
        <v>0</v>
      </c>
      <c r="AA809" s="222">
        <v>0</v>
      </c>
      <c r="AB809" s="222">
        <v>0</v>
      </c>
      <c r="AC809" s="222">
        <v>0</v>
      </c>
      <c r="AD809" s="222">
        <v>0</v>
      </c>
      <c r="AE809" s="222">
        <v>646</v>
      </c>
      <c r="AF809" s="221">
        <f>6238.91*AE809/I809</f>
        <v>4737.6699894204767</v>
      </c>
      <c r="AG809" s="222">
        <v>0</v>
      </c>
      <c r="AH809" s="221">
        <v>0</v>
      </c>
      <c r="AI809" s="222">
        <v>0</v>
      </c>
      <c r="AJ809" s="221">
        <v>0</v>
      </c>
      <c r="AK809" s="222">
        <v>0</v>
      </c>
      <c r="AL809" s="222">
        <v>0</v>
      </c>
      <c r="AM809" s="222">
        <v>0</v>
      </c>
      <c r="AN809" s="222"/>
      <c r="AO809" s="222">
        <v>0</v>
      </c>
    </row>
    <row r="810" spans="1:191" s="223" customFormat="1" ht="36" customHeight="1" x14ac:dyDescent="0.25">
      <c r="A810" s="223">
        <v>1</v>
      </c>
      <c r="B810" s="225">
        <f>SUBTOTAL(103,$A$552:A810)</f>
        <v>249</v>
      </c>
      <c r="C810" s="215" t="s">
        <v>678</v>
      </c>
      <c r="D810" s="217">
        <v>1961</v>
      </c>
      <c r="E810" s="217"/>
      <c r="F810" s="226" t="s">
        <v>267</v>
      </c>
      <c r="G810" s="217">
        <v>2</v>
      </c>
      <c r="H810" s="217" t="s">
        <v>304</v>
      </c>
      <c r="I810" s="218">
        <v>300.8</v>
      </c>
      <c r="J810" s="218">
        <v>279</v>
      </c>
      <c r="K810" s="218">
        <v>279</v>
      </c>
      <c r="L810" s="219">
        <v>17</v>
      </c>
      <c r="M810" s="217" t="s">
        <v>265</v>
      </c>
      <c r="N810" s="217" t="s">
        <v>266</v>
      </c>
      <c r="O810" s="220" t="s">
        <v>268</v>
      </c>
      <c r="P810" s="190">
        <v>402763.69</v>
      </c>
      <c r="Q810" s="190">
        <v>0</v>
      </c>
      <c r="R810" s="190">
        <v>0</v>
      </c>
      <c r="S810" s="190">
        <f>P810-Q810-R810</f>
        <v>402763.69</v>
      </c>
      <c r="T810" s="190">
        <f t="shared" si="93"/>
        <v>1338.9750332446808</v>
      </c>
      <c r="U810" s="190">
        <v>1338.9750332446808</v>
      </c>
      <c r="V810" s="221">
        <f>U810-T810</f>
        <v>0</v>
      </c>
      <c r="W810" s="221">
        <f>T810</f>
        <v>1338.9750332446808</v>
      </c>
      <c r="X810" s="221">
        <v>0</v>
      </c>
      <c r="Y810" s="222">
        <v>0</v>
      </c>
      <c r="Z810" s="222">
        <v>0</v>
      </c>
      <c r="AA810" s="222">
        <v>0</v>
      </c>
      <c r="AB810" s="222">
        <v>810.46</v>
      </c>
      <c r="AC810" s="222">
        <v>0</v>
      </c>
      <c r="AD810" s="222">
        <v>0</v>
      </c>
      <c r="AE810" s="222">
        <v>0</v>
      </c>
      <c r="AF810" s="221">
        <v>0</v>
      </c>
      <c r="AG810" s="222">
        <v>0</v>
      </c>
      <c r="AH810" s="221">
        <v>0</v>
      </c>
      <c r="AI810" s="222">
        <v>0</v>
      </c>
      <c r="AJ810" s="221">
        <v>0</v>
      </c>
      <c r="AK810" s="222">
        <v>0</v>
      </c>
      <c r="AL810" s="222">
        <v>0</v>
      </c>
      <c r="AM810" s="222">
        <v>0</v>
      </c>
      <c r="AN810" s="222"/>
      <c r="AO810" s="222">
        <v>0</v>
      </c>
    </row>
    <row r="811" spans="1:191" s="223" customFormat="1" ht="36" customHeight="1" x14ac:dyDescent="0.25">
      <c r="B811" s="215" t="s">
        <v>866</v>
      </c>
      <c r="C811" s="215"/>
      <c r="D811" s="217" t="s">
        <v>890</v>
      </c>
      <c r="E811" s="217" t="s">
        <v>890</v>
      </c>
      <c r="F811" s="217" t="s">
        <v>890</v>
      </c>
      <c r="G811" s="217" t="s">
        <v>890</v>
      </c>
      <c r="H811" s="217" t="s">
        <v>890</v>
      </c>
      <c r="I811" s="218">
        <f>I812</f>
        <v>618.29999999999995</v>
      </c>
      <c r="J811" s="218">
        <f>J812</f>
        <v>561.1</v>
      </c>
      <c r="K811" s="218">
        <f>K812</f>
        <v>561.1</v>
      </c>
      <c r="L811" s="219">
        <f>L812</f>
        <v>24</v>
      </c>
      <c r="M811" s="217" t="s">
        <v>890</v>
      </c>
      <c r="N811" s="217" t="s">
        <v>890</v>
      </c>
      <c r="O811" s="220" t="s">
        <v>890</v>
      </c>
      <c r="P811" s="218">
        <v>3080948</v>
      </c>
      <c r="Q811" s="218">
        <f>Q812</f>
        <v>0</v>
      </c>
      <c r="R811" s="218">
        <f>R812</f>
        <v>0</v>
      </c>
      <c r="S811" s="218">
        <f>S812</f>
        <v>3080948</v>
      </c>
      <c r="T811" s="190">
        <f t="shared" si="93"/>
        <v>4982.9338508814499</v>
      </c>
      <c r="U811" s="190">
        <f>U812</f>
        <v>5473.0777939511572</v>
      </c>
      <c r="V811" s="221">
        <f t="shared" si="92"/>
        <v>490.14394306970735</v>
      </c>
      <c r="W811" s="221"/>
      <c r="X811" s="221"/>
      <c r="Y811" s="222"/>
      <c r="Z811" s="222"/>
      <c r="AA811" s="222"/>
      <c r="AB811" s="222"/>
      <c r="AC811" s="222"/>
      <c r="AD811" s="222"/>
      <c r="AE811" s="222"/>
      <c r="AF811" s="222"/>
      <c r="AG811" s="222"/>
      <c r="AH811" s="222"/>
      <c r="AI811" s="222"/>
      <c r="AJ811" s="222"/>
      <c r="AK811" s="222"/>
      <c r="AL811" s="222"/>
      <c r="AM811" s="222"/>
      <c r="AN811" s="222"/>
      <c r="AO811" s="222"/>
    </row>
    <row r="812" spans="1:191" s="223" customFormat="1" ht="36" customHeight="1" x14ac:dyDescent="0.25">
      <c r="A812" s="223">
        <v>1</v>
      </c>
      <c r="B812" s="225">
        <f>SUBTOTAL(103,$A$552:A812)</f>
        <v>250</v>
      </c>
      <c r="C812" s="215" t="s">
        <v>672</v>
      </c>
      <c r="D812" s="217">
        <v>1984</v>
      </c>
      <c r="E812" s="217"/>
      <c r="F812" s="226" t="s">
        <v>318</v>
      </c>
      <c r="G812" s="217">
        <v>2</v>
      </c>
      <c r="H812" s="217" t="s">
        <v>303</v>
      </c>
      <c r="I812" s="218">
        <v>618.29999999999995</v>
      </c>
      <c r="J812" s="218">
        <v>561.1</v>
      </c>
      <c r="K812" s="218">
        <v>561.1</v>
      </c>
      <c r="L812" s="219">
        <v>24</v>
      </c>
      <c r="M812" s="217" t="s">
        <v>265</v>
      </c>
      <c r="N812" s="217" t="s">
        <v>266</v>
      </c>
      <c r="O812" s="220" t="s">
        <v>268</v>
      </c>
      <c r="P812" s="190">
        <v>3080948</v>
      </c>
      <c r="Q812" s="190">
        <v>0</v>
      </c>
      <c r="R812" s="190">
        <v>0</v>
      </c>
      <c r="S812" s="190">
        <f>P812-Q812-R812</f>
        <v>3080948</v>
      </c>
      <c r="T812" s="190">
        <f t="shared" si="93"/>
        <v>4982.9338508814499</v>
      </c>
      <c r="U812" s="190">
        <v>5473.0777939511572</v>
      </c>
      <c r="V812" s="221">
        <f>U812-T812</f>
        <v>490.14394306970735</v>
      </c>
      <c r="W812" s="221">
        <f>X812+Y812+Z812+AA812+AB812+AD812+AF812+AH812+AJ812+AL812+AN812+AO812</f>
        <v>5247.0211871259908</v>
      </c>
      <c r="X812" s="221">
        <v>0</v>
      </c>
      <c r="Y812" s="222">
        <v>0</v>
      </c>
      <c r="Z812" s="222">
        <v>0</v>
      </c>
      <c r="AA812" s="222">
        <v>0</v>
      </c>
      <c r="AB812" s="222">
        <v>0</v>
      </c>
      <c r="AC812" s="222">
        <v>0</v>
      </c>
      <c r="AD812" s="222">
        <v>0</v>
      </c>
      <c r="AE812" s="222">
        <v>520</v>
      </c>
      <c r="AF812" s="221">
        <f>6238.91*AE812/I812</f>
        <v>5247.0211871259908</v>
      </c>
      <c r="AG812" s="222">
        <v>0</v>
      </c>
      <c r="AH812" s="221">
        <v>0</v>
      </c>
      <c r="AI812" s="222">
        <v>0</v>
      </c>
      <c r="AJ812" s="221">
        <v>0</v>
      </c>
      <c r="AK812" s="222">
        <v>0</v>
      </c>
      <c r="AL812" s="222">
        <v>0</v>
      </c>
      <c r="AM812" s="222">
        <v>0</v>
      </c>
      <c r="AN812" s="222"/>
      <c r="AO812" s="222">
        <v>0</v>
      </c>
    </row>
    <row r="813" spans="1:191" s="223" customFormat="1" ht="36" customHeight="1" x14ac:dyDescent="0.25">
      <c r="B813" s="215" t="s">
        <v>822</v>
      </c>
      <c r="C813" s="215"/>
      <c r="D813" s="217" t="s">
        <v>890</v>
      </c>
      <c r="E813" s="217" t="s">
        <v>890</v>
      </c>
      <c r="F813" s="217" t="s">
        <v>890</v>
      </c>
      <c r="G813" s="217" t="s">
        <v>890</v>
      </c>
      <c r="H813" s="217" t="s">
        <v>890</v>
      </c>
      <c r="I813" s="218">
        <f>I814</f>
        <v>4097</v>
      </c>
      <c r="J813" s="218">
        <f>J814</f>
        <v>3097</v>
      </c>
      <c r="K813" s="218">
        <f>K814</f>
        <v>3097</v>
      </c>
      <c r="L813" s="219">
        <f>L814</f>
        <v>158</v>
      </c>
      <c r="M813" s="217" t="s">
        <v>890</v>
      </c>
      <c r="N813" s="217" t="s">
        <v>890</v>
      </c>
      <c r="O813" s="220" t="s">
        <v>890</v>
      </c>
      <c r="P813" s="218">
        <v>2008998.15</v>
      </c>
      <c r="Q813" s="218">
        <f>Q814</f>
        <v>0</v>
      </c>
      <c r="R813" s="218">
        <f>R814</f>
        <v>0</v>
      </c>
      <c r="S813" s="218">
        <f>S814</f>
        <v>2008998.15</v>
      </c>
      <c r="T813" s="190">
        <f t="shared" si="93"/>
        <v>490.35834757139367</v>
      </c>
      <c r="U813" s="190">
        <f>U814</f>
        <v>1289.7857944837685</v>
      </c>
      <c r="V813" s="221">
        <f t="shared" si="92"/>
        <v>799.42744691237488</v>
      </c>
      <c r="W813" s="221"/>
      <c r="X813" s="221"/>
      <c r="Y813" s="222"/>
      <c r="Z813" s="222"/>
      <c r="AA813" s="222"/>
      <c r="AB813" s="222"/>
      <c r="AC813" s="222"/>
      <c r="AD813" s="222"/>
      <c r="AE813" s="222"/>
      <c r="AF813" s="222"/>
      <c r="AG813" s="222"/>
      <c r="AH813" s="222"/>
      <c r="AI813" s="222"/>
      <c r="AJ813" s="222"/>
      <c r="AK813" s="222"/>
      <c r="AL813" s="222"/>
      <c r="AM813" s="222"/>
      <c r="AN813" s="222"/>
      <c r="AO813" s="222"/>
    </row>
    <row r="814" spans="1:191" s="154" customFormat="1" ht="36" customHeight="1" x14ac:dyDescent="0.25">
      <c r="A814" s="223">
        <v>1</v>
      </c>
      <c r="B814" s="225">
        <f>SUBTOTAL(103,$A$552:A814)</f>
        <v>251</v>
      </c>
      <c r="C814" s="232" t="s">
        <v>679</v>
      </c>
      <c r="D814" s="217">
        <v>1979</v>
      </c>
      <c r="E814" s="217"/>
      <c r="F814" s="233" t="s">
        <v>723</v>
      </c>
      <c r="G814" s="217">
        <v>5</v>
      </c>
      <c r="H814" s="217" t="s">
        <v>308</v>
      </c>
      <c r="I814" s="218">
        <v>4097</v>
      </c>
      <c r="J814" s="218">
        <v>3097</v>
      </c>
      <c r="K814" s="218">
        <v>3097</v>
      </c>
      <c r="L814" s="231">
        <v>158</v>
      </c>
      <c r="M814" s="217" t="s">
        <v>265</v>
      </c>
      <c r="N814" s="217" t="s">
        <v>269</v>
      </c>
      <c r="O814" s="217" t="s">
        <v>720</v>
      </c>
      <c r="P814" s="218">
        <v>2008998.15</v>
      </c>
      <c r="Q814" s="218">
        <v>0</v>
      </c>
      <c r="R814" s="218">
        <v>0</v>
      </c>
      <c r="S814" s="218">
        <f>P814-Q814-R814</f>
        <v>2008998.15</v>
      </c>
      <c r="T814" s="190">
        <f t="shared" si="93"/>
        <v>490.35834757139367</v>
      </c>
      <c r="U814" s="190">
        <v>1289.7857944837685</v>
      </c>
      <c r="V814" s="221">
        <f>U814-T814</f>
        <v>799.42744691237488</v>
      </c>
      <c r="W814" s="221">
        <f>X814+Y814+Z814+AA814+AB814+AD814+AF814+AH814+AJ814+AL814+AN814+AO814</f>
        <v>1236.5132828899195</v>
      </c>
      <c r="X814" s="221">
        <v>0</v>
      </c>
      <c r="Y814" s="222">
        <v>0</v>
      </c>
      <c r="Z814" s="222">
        <v>0</v>
      </c>
      <c r="AA814" s="222">
        <v>0</v>
      </c>
      <c r="AB814" s="222">
        <v>0</v>
      </c>
      <c r="AC814" s="222">
        <v>0</v>
      </c>
      <c r="AD814" s="222">
        <v>0</v>
      </c>
      <c r="AE814" s="222">
        <v>812</v>
      </c>
      <c r="AF814" s="221">
        <f>6238.91*AE814/I814</f>
        <v>1236.5132828899195</v>
      </c>
      <c r="AG814" s="222">
        <v>0</v>
      </c>
      <c r="AH814" s="221">
        <v>0</v>
      </c>
      <c r="AI814" s="222">
        <v>0</v>
      </c>
      <c r="AJ814" s="221">
        <v>0</v>
      </c>
      <c r="AK814" s="222">
        <v>0</v>
      </c>
      <c r="AL814" s="222">
        <v>0</v>
      </c>
      <c r="AM814" s="222">
        <v>0</v>
      </c>
      <c r="AN814" s="222"/>
      <c r="AO814" s="222">
        <v>0</v>
      </c>
      <c r="AP814" s="223"/>
      <c r="DQ814" s="234"/>
      <c r="DR814" s="234"/>
      <c r="DS814" s="234"/>
      <c r="EP814" s="235"/>
      <c r="FS814" s="236"/>
      <c r="GI814" s="237"/>
    </row>
    <row r="815" spans="1:191" s="223" customFormat="1" ht="36" customHeight="1" x14ac:dyDescent="0.25">
      <c r="B815" s="215" t="s">
        <v>823</v>
      </c>
      <c r="C815" s="215"/>
      <c r="D815" s="217" t="s">
        <v>890</v>
      </c>
      <c r="E815" s="217" t="s">
        <v>890</v>
      </c>
      <c r="F815" s="217" t="s">
        <v>890</v>
      </c>
      <c r="G815" s="217" t="s">
        <v>890</v>
      </c>
      <c r="H815" s="217" t="s">
        <v>890</v>
      </c>
      <c r="I815" s="218">
        <f>SUM(I816:I831)</f>
        <v>25999.699999999997</v>
      </c>
      <c r="J815" s="218">
        <f>SUM(J816:J831)</f>
        <v>24044.699999999993</v>
      </c>
      <c r="K815" s="218">
        <f>SUM(K816:K831)</f>
        <v>23704.6</v>
      </c>
      <c r="L815" s="219">
        <f>SUM(L816:L831)</f>
        <v>1189</v>
      </c>
      <c r="M815" s="217" t="s">
        <v>890</v>
      </c>
      <c r="N815" s="217" t="s">
        <v>890</v>
      </c>
      <c r="O815" s="220" t="s">
        <v>890</v>
      </c>
      <c r="P815" s="218">
        <v>57805232.260000005</v>
      </c>
      <c r="Q815" s="218">
        <f>SUM(Q816:Q831)</f>
        <v>0</v>
      </c>
      <c r="R815" s="218">
        <f>SUM(R816:R831)</f>
        <v>0</v>
      </c>
      <c r="S815" s="218">
        <f>SUM(S816:S831)</f>
        <v>57805232.260000005</v>
      </c>
      <c r="T815" s="190">
        <f t="shared" si="93"/>
        <v>2223.3038173517393</v>
      </c>
      <c r="U815" s="190">
        <f>MAX(U816:U831)</f>
        <v>18806.533031088082</v>
      </c>
      <c r="V815" s="221">
        <f t="shared" si="92"/>
        <v>16583.229213736344</v>
      </c>
      <c r="W815" s="221"/>
      <c r="X815" s="221"/>
      <c r="Y815" s="222"/>
      <c r="Z815" s="222"/>
      <c r="AA815" s="222"/>
      <c r="AB815" s="222"/>
      <c r="AC815" s="222"/>
      <c r="AD815" s="222"/>
      <c r="AE815" s="222"/>
      <c r="AF815" s="222"/>
      <c r="AG815" s="222"/>
      <c r="AH815" s="222"/>
      <c r="AI815" s="222"/>
      <c r="AJ815" s="222"/>
      <c r="AK815" s="222"/>
      <c r="AL815" s="222"/>
      <c r="AM815" s="222"/>
      <c r="AN815" s="222"/>
      <c r="AO815" s="222"/>
    </row>
    <row r="816" spans="1:191" s="223" customFormat="1" ht="36" customHeight="1" x14ac:dyDescent="0.25">
      <c r="A816" s="223">
        <v>1</v>
      </c>
      <c r="B816" s="225">
        <f>SUBTOTAL(103,$A$552:A816)</f>
        <v>252</v>
      </c>
      <c r="C816" s="215" t="s">
        <v>669</v>
      </c>
      <c r="D816" s="217">
        <v>1993</v>
      </c>
      <c r="E816" s="217"/>
      <c r="F816" s="226" t="s">
        <v>311</v>
      </c>
      <c r="G816" s="217">
        <v>5</v>
      </c>
      <c r="H816" s="217" t="s">
        <v>312</v>
      </c>
      <c r="I816" s="218">
        <v>3247.3</v>
      </c>
      <c r="J816" s="218">
        <v>3247.3</v>
      </c>
      <c r="K816" s="218">
        <v>3247.3</v>
      </c>
      <c r="L816" s="219">
        <v>133</v>
      </c>
      <c r="M816" s="217" t="s">
        <v>265</v>
      </c>
      <c r="N816" s="217" t="s">
        <v>341</v>
      </c>
      <c r="O816" s="220" t="s">
        <v>721</v>
      </c>
      <c r="P816" s="190">
        <v>2492137.06</v>
      </c>
      <c r="Q816" s="190">
        <v>0</v>
      </c>
      <c r="R816" s="190">
        <v>0</v>
      </c>
      <c r="S816" s="190">
        <f t="shared" ref="S816:S831" si="99">P816-Q816-R816</f>
        <v>2492137.06</v>
      </c>
      <c r="T816" s="190">
        <f t="shared" si="93"/>
        <v>767.44897607242933</v>
      </c>
      <c r="U816" s="190">
        <v>6652.1497197671906</v>
      </c>
      <c r="V816" s="221">
        <f t="shared" si="92"/>
        <v>5884.7007436947615</v>
      </c>
      <c r="W816" s="221">
        <f t="shared" ref="W816:W831" si="100">X816+Y816+Z816+AA816+AB816+AD816+AF816+AH816+AJ816+AL816+AN816+AO816</f>
        <v>6652.1497197671906</v>
      </c>
      <c r="X816" s="221">
        <v>0</v>
      </c>
      <c r="Y816" s="222">
        <v>0</v>
      </c>
      <c r="Z816" s="222">
        <v>0</v>
      </c>
      <c r="AA816" s="222">
        <v>0</v>
      </c>
      <c r="AB816" s="222">
        <v>0</v>
      </c>
      <c r="AC816" s="222">
        <v>0</v>
      </c>
      <c r="AD816" s="222">
        <v>0</v>
      </c>
      <c r="AE816" s="222">
        <v>0</v>
      </c>
      <c r="AF816" s="221">
        <v>0</v>
      </c>
      <c r="AG816" s="222">
        <v>0</v>
      </c>
      <c r="AH816" s="221">
        <v>0</v>
      </c>
      <c r="AI816" s="222">
        <v>2768.5</v>
      </c>
      <c r="AJ816" s="221">
        <f>7802.61*AI816/I816</f>
        <v>6652.1497197671906</v>
      </c>
      <c r="AK816" s="222">
        <v>0</v>
      </c>
      <c r="AL816" s="222">
        <v>0</v>
      </c>
      <c r="AM816" s="222">
        <v>0</v>
      </c>
      <c r="AN816" s="222"/>
      <c r="AO816" s="222">
        <v>0</v>
      </c>
    </row>
    <row r="817" spans="1:41" s="223" customFormat="1" ht="36" customHeight="1" x14ac:dyDescent="0.25">
      <c r="A817" s="223">
        <v>1</v>
      </c>
      <c r="B817" s="225">
        <f>SUBTOTAL(103,$A$552:A817)</f>
        <v>253</v>
      </c>
      <c r="C817" s="215" t="s">
        <v>657</v>
      </c>
      <c r="D817" s="217">
        <v>1972</v>
      </c>
      <c r="E817" s="217"/>
      <c r="F817" s="226" t="s">
        <v>267</v>
      </c>
      <c r="G817" s="217">
        <v>5</v>
      </c>
      <c r="H817" s="217" t="s">
        <v>371</v>
      </c>
      <c r="I817" s="218">
        <v>4860.8999999999996</v>
      </c>
      <c r="J817" s="218">
        <v>4466.5</v>
      </c>
      <c r="K817" s="218">
        <v>4344.3</v>
      </c>
      <c r="L817" s="219">
        <v>257</v>
      </c>
      <c r="M817" s="217" t="s">
        <v>265</v>
      </c>
      <c r="N817" s="217" t="s">
        <v>269</v>
      </c>
      <c r="O817" s="220" t="s">
        <v>1082</v>
      </c>
      <c r="P817" s="190">
        <v>5311274.96</v>
      </c>
      <c r="Q817" s="190">
        <v>0</v>
      </c>
      <c r="R817" s="190">
        <v>0</v>
      </c>
      <c r="S817" s="190">
        <f t="shared" si="99"/>
        <v>5311274.96</v>
      </c>
      <c r="T817" s="190">
        <f t="shared" si="93"/>
        <v>1092.6525869694913</v>
      </c>
      <c r="U817" s="190">
        <v>1771.2125532308833</v>
      </c>
      <c r="V817" s="221">
        <f t="shared" si="92"/>
        <v>678.55996626139199</v>
      </c>
      <c r="W817" s="221">
        <f t="shared" si="100"/>
        <v>1698.0554897241252</v>
      </c>
      <c r="X817" s="221">
        <v>0</v>
      </c>
      <c r="Y817" s="222">
        <v>0</v>
      </c>
      <c r="Z817" s="222">
        <v>0</v>
      </c>
      <c r="AA817" s="222">
        <v>0</v>
      </c>
      <c r="AB817" s="222">
        <v>0</v>
      </c>
      <c r="AC817" s="222">
        <v>0</v>
      </c>
      <c r="AD817" s="222">
        <v>0</v>
      </c>
      <c r="AE817" s="222">
        <v>1323</v>
      </c>
      <c r="AF817" s="221">
        <f t="shared" ref="AF817:AF831" si="101">6238.91*AE817/I817</f>
        <v>1698.0554897241252</v>
      </c>
      <c r="AG817" s="222">
        <v>0</v>
      </c>
      <c r="AH817" s="221">
        <v>0</v>
      </c>
      <c r="AI817" s="222">
        <v>0</v>
      </c>
      <c r="AJ817" s="221">
        <v>0</v>
      </c>
      <c r="AK817" s="222">
        <v>0</v>
      </c>
      <c r="AL817" s="222">
        <v>0</v>
      </c>
      <c r="AM817" s="222">
        <v>0</v>
      </c>
      <c r="AN817" s="222"/>
      <c r="AO817" s="222">
        <v>0</v>
      </c>
    </row>
    <row r="818" spans="1:41" s="223" customFormat="1" ht="36" customHeight="1" x14ac:dyDescent="0.25">
      <c r="A818" s="223">
        <v>1</v>
      </c>
      <c r="B818" s="225">
        <f>SUBTOTAL(103,$A$552:A818)</f>
        <v>254</v>
      </c>
      <c r="C818" s="215" t="s">
        <v>685</v>
      </c>
      <c r="D818" s="217">
        <v>1981</v>
      </c>
      <c r="E818" s="217"/>
      <c r="F818" s="226" t="s">
        <v>267</v>
      </c>
      <c r="G818" s="217">
        <v>2</v>
      </c>
      <c r="H818" s="217">
        <v>3</v>
      </c>
      <c r="I818" s="218">
        <v>843.1</v>
      </c>
      <c r="J818" s="218">
        <v>843.1</v>
      </c>
      <c r="K818" s="218">
        <v>843.1</v>
      </c>
      <c r="L818" s="219">
        <v>47</v>
      </c>
      <c r="M818" s="217" t="s">
        <v>265</v>
      </c>
      <c r="N818" s="217" t="s">
        <v>266</v>
      </c>
      <c r="O818" s="220" t="s">
        <v>268</v>
      </c>
      <c r="P818" s="190">
        <v>4042067.3</v>
      </c>
      <c r="Q818" s="190">
        <v>0</v>
      </c>
      <c r="R818" s="190">
        <v>0</v>
      </c>
      <c r="S818" s="190">
        <f t="shared" si="99"/>
        <v>4042067.3</v>
      </c>
      <c r="T818" s="190">
        <f t="shared" si="93"/>
        <v>4794.2916617245874</v>
      </c>
      <c r="U818" s="190">
        <v>6607.2722097022888</v>
      </c>
      <c r="V818" s="221">
        <f t="shared" si="92"/>
        <v>1812.9805479777015</v>
      </c>
      <c r="W818" s="221">
        <f t="shared" si="100"/>
        <v>6334.3695409797174</v>
      </c>
      <c r="X818" s="221">
        <v>0</v>
      </c>
      <c r="Y818" s="222">
        <v>0</v>
      </c>
      <c r="Z818" s="222">
        <v>0</v>
      </c>
      <c r="AA818" s="222">
        <v>0</v>
      </c>
      <c r="AB818" s="222">
        <v>0</v>
      </c>
      <c r="AC818" s="222">
        <v>0</v>
      </c>
      <c r="AD818" s="222">
        <v>0</v>
      </c>
      <c r="AE818" s="222">
        <v>856</v>
      </c>
      <c r="AF818" s="221">
        <f t="shared" si="101"/>
        <v>6334.3695409797174</v>
      </c>
      <c r="AG818" s="222">
        <v>0</v>
      </c>
      <c r="AH818" s="221">
        <v>0</v>
      </c>
      <c r="AI818" s="222">
        <v>0</v>
      </c>
      <c r="AJ818" s="221">
        <v>0</v>
      </c>
      <c r="AK818" s="222">
        <v>0</v>
      </c>
      <c r="AL818" s="222">
        <v>0</v>
      </c>
      <c r="AM818" s="222">
        <v>0</v>
      </c>
      <c r="AN818" s="222"/>
      <c r="AO818" s="222">
        <v>0</v>
      </c>
    </row>
    <row r="819" spans="1:41" s="223" customFormat="1" ht="36" customHeight="1" x14ac:dyDescent="0.25">
      <c r="A819" s="223">
        <v>1</v>
      </c>
      <c r="B819" s="225">
        <f>SUBTOTAL(103,$A$552:A819)</f>
        <v>255</v>
      </c>
      <c r="C819" s="215" t="s">
        <v>662</v>
      </c>
      <c r="D819" s="217">
        <v>1940</v>
      </c>
      <c r="E819" s="217"/>
      <c r="F819" s="226" t="s">
        <v>267</v>
      </c>
      <c r="G819" s="217" t="s">
        <v>308</v>
      </c>
      <c r="H819" s="217">
        <v>3</v>
      </c>
      <c r="I819" s="218">
        <v>2521.1999999999998</v>
      </c>
      <c r="J819" s="218">
        <v>2421.1999999999998</v>
      </c>
      <c r="K819" s="218">
        <v>2421.1999999999998</v>
      </c>
      <c r="L819" s="219">
        <v>94</v>
      </c>
      <c r="M819" s="217" t="s">
        <v>265</v>
      </c>
      <c r="N819" s="217" t="s">
        <v>341</v>
      </c>
      <c r="O819" s="220" t="s">
        <v>722</v>
      </c>
      <c r="P819" s="190">
        <v>4517254.16</v>
      </c>
      <c r="Q819" s="190">
        <v>0</v>
      </c>
      <c r="R819" s="190">
        <v>0</v>
      </c>
      <c r="S819" s="190">
        <f t="shared" si="99"/>
        <v>4517254.16</v>
      </c>
      <c r="T819" s="190">
        <f t="shared" si="93"/>
        <v>1791.7079803268286</v>
      </c>
      <c r="U819" s="190">
        <v>3190.3526891956212</v>
      </c>
      <c r="V819" s="221">
        <f t="shared" si="92"/>
        <v>1398.6447088687926</v>
      </c>
      <c r="W819" s="221">
        <f t="shared" si="100"/>
        <v>3058.5803426939556</v>
      </c>
      <c r="X819" s="221">
        <v>0</v>
      </c>
      <c r="Y819" s="222">
        <v>0</v>
      </c>
      <c r="Z819" s="222">
        <v>0</v>
      </c>
      <c r="AA819" s="222">
        <v>0</v>
      </c>
      <c r="AB819" s="222">
        <v>0</v>
      </c>
      <c r="AC819" s="222">
        <v>0</v>
      </c>
      <c r="AD819" s="222">
        <v>0</v>
      </c>
      <c r="AE819" s="222">
        <v>1236</v>
      </c>
      <c r="AF819" s="221">
        <f t="shared" si="101"/>
        <v>3058.5803426939556</v>
      </c>
      <c r="AG819" s="222">
        <v>0</v>
      </c>
      <c r="AH819" s="221">
        <v>0</v>
      </c>
      <c r="AI819" s="222">
        <v>0</v>
      </c>
      <c r="AJ819" s="221">
        <v>0</v>
      </c>
      <c r="AK819" s="222">
        <v>0</v>
      </c>
      <c r="AL819" s="222">
        <v>0</v>
      </c>
      <c r="AM819" s="222">
        <v>0</v>
      </c>
      <c r="AN819" s="222"/>
      <c r="AO819" s="222">
        <v>0</v>
      </c>
    </row>
    <row r="820" spans="1:41" s="223" customFormat="1" ht="36" customHeight="1" x14ac:dyDescent="0.25">
      <c r="A820" s="223">
        <v>1</v>
      </c>
      <c r="B820" s="225">
        <f>SUBTOTAL(103,$A$552:A820)</f>
        <v>256</v>
      </c>
      <c r="C820" s="215" t="s">
        <v>667</v>
      </c>
      <c r="D820" s="217">
        <v>1979</v>
      </c>
      <c r="E820" s="217"/>
      <c r="F820" s="226" t="s">
        <v>267</v>
      </c>
      <c r="G820" s="217">
        <v>2</v>
      </c>
      <c r="H820" s="217" t="s">
        <v>312</v>
      </c>
      <c r="I820" s="218">
        <v>1052.4000000000001</v>
      </c>
      <c r="J820" s="218">
        <v>934.4</v>
      </c>
      <c r="K820" s="218">
        <v>934.4</v>
      </c>
      <c r="L820" s="219">
        <v>57</v>
      </c>
      <c r="M820" s="217" t="s">
        <v>265</v>
      </c>
      <c r="N820" s="217" t="s">
        <v>297</v>
      </c>
      <c r="O820" s="220" t="s">
        <v>1079</v>
      </c>
      <c r="P820" s="190">
        <v>4706174.9700000007</v>
      </c>
      <c r="Q820" s="190">
        <v>0</v>
      </c>
      <c r="R820" s="190">
        <v>0</v>
      </c>
      <c r="S820" s="190">
        <f t="shared" si="99"/>
        <v>4706174.9700000007</v>
      </c>
      <c r="T820" s="190">
        <f t="shared" si="93"/>
        <v>4471.8500285062719</v>
      </c>
      <c r="U820" s="190">
        <v>5868.3079627518046</v>
      </c>
      <c r="V820" s="221">
        <f t="shared" si="92"/>
        <v>1396.4579342455327</v>
      </c>
      <c r="W820" s="221">
        <f t="shared" si="100"/>
        <v>5625.9270144431766</v>
      </c>
      <c r="X820" s="221">
        <v>0</v>
      </c>
      <c r="Y820" s="222">
        <v>0</v>
      </c>
      <c r="Z820" s="222">
        <v>0</v>
      </c>
      <c r="AA820" s="222">
        <v>0</v>
      </c>
      <c r="AB820" s="222">
        <v>0</v>
      </c>
      <c r="AC820" s="222">
        <v>0</v>
      </c>
      <c r="AD820" s="222">
        <v>0</v>
      </c>
      <c r="AE820" s="222">
        <v>949</v>
      </c>
      <c r="AF820" s="221">
        <f t="shared" si="101"/>
        <v>5625.9270144431766</v>
      </c>
      <c r="AG820" s="222">
        <v>0</v>
      </c>
      <c r="AH820" s="221">
        <v>0</v>
      </c>
      <c r="AI820" s="222">
        <v>0</v>
      </c>
      <c r="AJ820" s="221">
        <v>0</v>
      </c>
      <c r="AK820" s="222">
        <v>0</v>
      </c>
      <c r="AL820" s="222">
        <v>0</v>
      </c>
      <c r="AM820" s="222">
        <v>0</v>
      </c>
      <c r="AN820" s="222"/>
      <c r="AO820" s="222">
        <v>0</v>
      </c>
    </row>
    <row r="821" spans="1:41" s="223" customFormat="1" ht="36" customHeight="1" x14ac:dyDescent="0.25">
      <c r="A821" s="223">
        <v>1</v>
      </c>
      <c r="B821" s="225">
        <f>SUBTOTAL(103,$A$552:A821)</f>
        <v>257</v>
      </c>
      <c r="C821" s="215" t="s">
        <v>666</v>
      </c>
      <c r="D821" s="217">
        <v>1977</v>
      </c>
      <c r="E821" s="217"/>
      <c r="F821" s="226" t="s">
        <v>267</v>
      </c>
      <c r="G821" s="217">
        <v>5</v>
      </c>
      <c r="H821" s="217" t="s">
        <v>308</v>
      </c>
      <c r="I821" s="218">
        <v>2827.6</v>
      </c>
      <c r="J821" s="218">
        <v>2827.6</v>
      </c>
      <c r="K821" s="218">
        <v>2827.6</v>
      </c>
      <c r="L821" s="219">
        <v>156</v>
      </c>
      <c r="M821" s="217" t="s">
        <v>265</v>
      </c>
      <c r="N821" s="217" t="s">
        <v>269</v>
      </c>
      <c r="O821" s="220" t="s">
        <v>718</v>
      </c>
      <c r="P821" s="190">
        <v>3103798.52</v>
      </c>
      <c r="Q821" s="190">
        <v>0</v>
      </c>
      <c r="R821" s="190">
        <v>0</v>
      </c>
      <c r="S821" s="190">
        <f t="shared" si="99"/>
        <v>3103798.52</v>
      </c>
      <c r="T821" s="190">
        <f t="shared" si="93"/>
        <v>1097.6794879049371</v>
      </c>
      <c r="U821" s="190">
        <v>1933.2536426651577</v>
      </c>
      <c r="V821" s="221">
        <f t="shared" si="92"/>
        <v>835.57415476022061</v>
      </c>
      <c r="W821" s="221">
        <f t="shared" si="100"/>
        <v>1853.4037346159287</v>
      </c>
      <c r="X821" s="221">
        <v>0</v>
      </c>
      <c r="Y821" s="222">
        <v>0</v>
      </c>
      <c r="Z821" s="222">
        <v>0</v>
      </c>
      <c r="AA821" s="222">
        <v>0</v>
      </c>
      <c r="AB821" s="222">
        <v>0</v>
      </c>
      <c r="AC821" s="222">
        <v>0</v>
      </c>
      <c r="AD821" s="222">
        <v>0</v>
      </c>
      <c r="AE821" s="222">
        <v>840</v>
      </c>
      <c r="AF821" s="221">
        <f t="shared" si="101"/>
        <v>1853.4037346159287</v>
      </c>
      <c r="AG821" s="222">
        <v>0</v>
      </c>
      <c r="AH821" s="221">
        <v>0</v>
      </c>
      <c r="AI821" s="222">
        <v>0</v>
      </c>
      <c r="AJ821" s="221">
        <v>0</v>
      </c>
      <c r="AK821" s="222">
        <v>0</v>
      </c>
      <c r="AL821" s="222">
        <v>0</v>
      </c>
      <c r="AM821" s="222">
        <v>0</v>
      </c>
      <c r="AN821" s="222"/>
      <c r="AO821" s="222">
        <v>0</v>
      </c>
    </row>
    <row r="822" spans="1:41" s="223" customFormat="1" ht="36" customHeight="1" x14ac:dyDescent="0.25">
      <c r="A822" s="223">
        <v>1</v>
      </c>
      <c r="B822" s="225">
        <f>SUBTOTAL(103,$A$552:A822)</f>
        <v>258</v>
      </c>
      <c r="C822" s="215" t="s">
        <v>1197</v>
      </c>
      <c r="D822" s="217">
        <v>1927</v>
      </c>
      <c r="E822" s="217"/>
      <c r="F822" s="226" t="s">
        <v>267</v>
      </c>
      <c r="G822" s="217">
        <v>2</v>
      </c>
      <c r="H822" s="217" t="s">
        <v>303</v>
      </c>
      <c r="I822" s="190">
        <v>462</v>
      </c>
      <c r="J822" s="190">
        <v>344</v>
      </c>
      <c r="K822" s="190">
        <v>344</v>
      </c>
      <c r="L822" s="219">
        <v>25</v>
      </c>
      <c r="M822" s="217" t="s">
        <v>265</v>
      </c>
      <c r="N822" s="217" t="s">
        <v>269</v>
      </c>
      <c r="O822" s="220" t="s">
        <v>1305</v>
      </c>
      <c r="P822" s="190">
        <v>1859292.57</v>
      </c>
      <c r="Q822" s="190">
        <v>0</v>
      </c>
      <c r="R822" s="190">
        <v>0</v>
      </c>
      <c r="S822" s="190">
        <f t="shared" si="99"/>
        <v>1859292.57</v>
      </c>
      <c r="T822" s="190">
        <f t="shared" si="93"/>
        <v>4024.4427922077925</v>
      </c>
      <c r="U822" s="190">
        <v>5744.242554112554</v>
      </c>
      <c r="V822" s="221">
        <f t="shared" si="92"/>
        <v>1719.7997619047615</v>
      </c>
      <c r="W822" s="221">
        <f t="shared" si="100"/>
        <v>5506.9859264069264</v>
      </c>
      <c r="X822" s="221">
        <v>0</v>
      </c>
      <c r="Y822" s="222">
        <v>0</v>
      </c>
      <c r="Z822" s="222">
        <v>0</v>
      </c>
      <c r="AA822" s="222">
        <v>0</v>
      </c>
      <c r="AB822" s="222">
        <v>0</v>
      </c>
      <c r="AC822" s="222">
        <v>0</v>
      </c>
      <c r="AD822" s="222">
        <v>0</v>
      </c>
      <c r="AE822" s="222">
        <v>407.8</v>
      </c>
      <c r="AF822" s="221">
        <f t="shared" si="101"/>
        <v>5506.9859264069264</v>
      </c>
      <c r="AG822" s="222">
        <v>0</v>
      </c>
      <c r="AH822" s="221">
        <v>0</v>
      </c>
      <c r="AI822" s="222">
        <v>0</v>
      </c>
      <c r="AJ822" s="221">
        <v>0</v>
      </c>
      <c r="AK822" s="222">
        <v>0</v>
      </c>
      <c r="AL822" s="222">
        <v>0</v>
      </c>
      <c r="AM822" s="222">
        <v>0</v>
      </c>
      <c r="AN822" s="222"/>
      <c r="AO822" s="222">
        <v>0</v>
      </c>
    </row>
    <row r="823" spans="1:41" s="223" customFormat="1" ht="36" customHeight="1" x14ac:dyDescent="0.25">
      <c r="A823" s="223">
        <v>1</v>
      </c>
      <c r="B823" s="225">
        <f>SUBTOTAL(103,$A$552:A823)</f>
        <v>259</v>
      </c>
      <c r="C823" s="215" t="s">
        <v>671</v>
      </c>
      <c r="D823" s="217">
        <v>1917</v>
      </c>
      <c r="E823" s="217"/>
      <c r="F823" s="226" t="s">
        <v>267</v>
      </c>
      <c r="G823" s="217">
        <v>2</v>
      </c>
      <c r="H823" s="217" t="s">
        <v>303</v>
      </c>
      <c r="I823" s="190">
        <v>722.2</v>
      </c>
      <c r="J823" s="190">
        <v>514</v>
      </c>
      <c r="K823" s="190">
        <v>514</v>
      </c>
      <c r="L823" s="219">
        <v>21</v>
      </c>
      <c r="M823" s="217" t="s">
        <v>265</v>
      </c>
      <c r="N823" s="217" t="s">
        <v>266</v>
      </c>
      <c r="O823" s="220" t="s">
        <v>268</v>
      </c>
      <c r="P823" s="190">
        <v>2567424.7199999997</v>
      </c>
      <c r="Q823" s="190">
        <v>0</v>
      </c>
      <c r="R823" s="190">
        <v>0</v>
      </c>
      <c r="S823" s="190">
        <f t="shared" si="99"/>
        <v>2567424.7199999997</v>
      </c>
      <c r="T823" s="190">
        <f t="shared" si="93"/>
        <v>3555.0051509277205</v>
      </c>
      <c r="U823" s="190">
        <v>4689.2925505400153</v>
      </c>
      <c r="V823" s="221">
        <f t="shared" si="92"/>
        <v>1134.2873996122948</v>
      </c>
      <c r="W823" s="221">
        <f t="shared" si="100"/>
        <v>4495.6089227360835</v>
      </c>
      <c r="X823" s="221">
        <v>0</v>
      </c>
      <c r="Y823" s="222">
        <v>0</v>
      </c>
      <c r="Z823" s="222">
        <v>0</v>
      </c>
      <c r="AA823" s="222">
        <v>0</v>
      </c>
      <c r="AB823" s="222">
        <v>0</v>
      </c>
      <c r="AC823" s="222">
        <v>0</v>
      </c>
      <c r="AD823" s="222">
        <v>0</v>
      </c>
      <c r="AE823" s="222">
        <v>520.4</v>
      </c>
      <c r="AF823" s="221">
        <f t="shared" si="101"/>
        <v>4495.6089227360835</v>
      </c>
      <c r="AG823" s="222">
        <v>0</v>
      </c>
      <c r="AH823" s="221">
        <v>0</v>
      </c>
      <c r="AI823" s="222">
        <v>0</v>
      </c>
      <c r="AJ823" s="221">
        <v>0</v>
      </c>
      <c r="AK823" s="222">
        <v>0</v>
      </c>
      <c r="AL823" s="222">
        <v>0</v>
      </c>
      <c r="AM823" s="222">
        <v>0</v>
      </c>
      <c r="AN823" s="222"/>
      <c r="AO823" s="222">
        <v>0</v>
      </c>
    </row>
    <row r="824" spans="1:41" s="223" customFormat="1" ht="36" customHeight="1" x14ac:dyDescent="0.25">
      <c r="A824" s="223">
        <v>1</v>
      </c>
      <c r="B824" s="225">
        <f>SUBTOTAL(103,$A$552:A824)</f>
        <v>260</v>
      </c>
      <c r="C824" s="215" t="s">
        <v>684</v>
      </c>
      <c r="D824" s="217">
        <v>1981</v>
      </c>
      <c r="E824" s="217"/>
      <c r="F824" s="226" t="s">
        <v>267</v>
      </c>
      <c r="G824" s="217">
        <v>2</v>
      </c>
      <c r="H824" s="217">
        <v>3</v>
      </c>
      <c r="I824" s="218">
        <v>975</v>
      </c>
      <c r="J824" s="218">
        <v>975</v>
      </c>
      <c r="K824" s="218">
        <v>975</v>
      </c>
      <c r="L824" s="219">
        <v>47</v>
      </c>
      <c r="M824" s="217" t="s">
        <v>265</v>
      </c>
      <c r="N824" s="217" t="s">
        <v>266</v>
      </c>
      <c r="O824" s="220" t="s">
        <v>268</v>
      </c>
      <c r="P824" s="190">
        <v>4559283.37</v>
      </c>
      <c r="Q824" s="190">
        <v>0</v>
      </c>
      <c r="R824" s="190">
        <v>0</v>
      </c>
      <c r="S824" s="190">
        <f t="shared" si="99"/>
        <v>4559283.37</v>
      </c>
      <c r="T824" s="190">
        <f t="shared" si="93"/>
        <v>4676.1880717948716</v>
      </c>
      <c r="U824" s="190">
        <v>5806.8707692307689</v>
      </c>
      <c r="V824" s="221">
        <f t="shared" si="92"/>
        <v>1130.6826974358974</v>
      </c>
      <c r="W824" s="221">
        <f t="shared" si="100"/>
        <v>5477.4430358974359</v>
      </c>
      <c r="X824" s="221">
        <v>0</v>
      </c>
      <c r="Y824" s="222">
        <v>0</v>
      </c>
      <c r="Z824" s="222">
        <v>0</v>
      </c>
      <c r="AA824" s="222">
        <v>0</v>
      </c>
      <c r="AB824" s="222">
        <v>0</v>
      </c>
      <c r="AC824" s="222">
        <v>0</v>
      </c>
      <c r="AD824" s="222">
        <v>0</v>
      </c>
      <c r="AE824" s="222">
        <v>856</v>
      </c>
      <c r="AF824" s="221">
        <f t="shared" si="101"/>
        <v>5477.4430358974359</v>
      </c>
      <c r="AG824" s="222">
        <v>0</v>
      </c>
      <c r="AH824" s="221">
        <v>0</v>
      </c>
      <c r="AI824" s="222">
        <v>0</v>
      </c>
      <c r="AJ824" s="221">
        <v>0</v>
      </c>
      <c r="AK824" s="222">
        <v>0</v>
      </c>
      <c r="AL824" s="222">
        <v>0</v>
      </c>
      <c r="AM824" s="222">
        <v>0</v>
      </c>
      <c r="AN824" s="222"/>
      <c r="AO824" s="222">
        <v>0</v>
      </c>
    </row>
    <row r="825" spans="1:41" s="223" customFormat="1" ht="36" customHeight="1" x14ac:dyDescent="0.25">
      <c r="A825" s="223">
        <v>1</v>
      </c>
      <c r="B825" s="225">
        <f>SUBTOTAL(103,$A$552:A825)</f>
        <v>261</v>
      </c>
      <c r="C825" s="215" t="s">
        <v>659</v>
      </c>
      <c r="D825" s="217">
        <v>1963</v>
      </c>
      <c r="E825" s="217"/>
      <c r="F825" s="226" t="s">
        <v>267</v>
      </c>
      <c r="G825" s="217">
        <v>3</v>
      </c>
      <c r="H825" s="217" t="s">
        <v>303</v>
      </c>
      <c r="I825" s="218">
        <v>1703.8</v>
      </c>
      <c r="J825" s="218">
        <v>1339.8</v>
      </c>
      <c r="K825" s="218">
        <v>1339.8</v>
      </c>
      <c r="L825" s="219">
        <v>62</v>
      </c>
      <c r="M825" s="217" t="s">
        <v>265</v>
      </c>
      <c r="N825" s="217" t="s">
        <v>269</v>
      </c>
      <c r="O825" s="220" t="s">
        <v>718</v>
      </c>
      <c r="P825" s="190">
        <v>5405855.4900000002</v>
      </c>
      <c r="Q825" s="190">
        <v>0</v>
      </c>
      <c r="R825" s="190">
        <v>0</v>
      </c>
      <c r="S825" s="190">
        <f t="shared" si="99"/>
        <v>5405855.4900000002</v>
      </c>
      <c r="T825" s="190">
        <f t="shared" si="93"/>
        <v>3172.8228019720627</v>
      </c>
      <c r="U825" s="190">
        <v>3787.0551414485267</v>
      </c>
      <c r="V825" s="221">
        <f t="shared" si="92"/>
        <v>614.23233947646395</v>
      </c>
      <c r="W825" s="221">
        <f t="shared" si="100"/>
        <v>4525.9377626481983</v>
      </c>
      <c r="X825" s="221">
        <v>0</v>
      </c>
      <c r="Y825" s="222">
        <v>0</v>
      </c>
      <c r="Z825" s="222">
        <v>0</v>
      </c>
      <c r="AA825" s="222">
        <v>0</v>
      </c>
      <c r="AB825" s="222">
        <v>0</v>
      </c>
      <c r="AC825" s="222">
        <v>0</v>
      </c>
      <c r="AD825" s="222">
        <v>0</v>
      </c>
      <c r="AE825" s="222">
        <v>1236</v>
      </c>
      <c r="AF825" s="221">
        <f t="shared" si="101"/>
        <v>4525.9377626481983</v>
      </c>
      <c r="AG825" s="222">
        <v>0</v>
      </c>
      <c r="AH825" s="221">
        <v>0</v>
      </c>
      <c r="AI825" s="222">
        <v>0</v>
      </c>
      <c r="AJ825" s="221">
        <v>0</v>
      </c>
      <c r="AK825" s="222">
        <v>0</v>
      </c>
      <c r="AL825" s="222">
        <v>0</v>
      </c>
      <c r="AM825" s="222">
        <v>0</v>
      </c>
      <c r="AN825" s="222"/>
      <c r="AO825" s="222">
        <v>0</v>
      </c>
    </row>
    <row r="826" spans="1:41" s="223" customFormat="1" ht="36" customHeight="1" x14ac:dyDescent="0.25">
      <c r="A826" s="223">
        <v>1</v>
      </c>
      <c r="B826" s="225">
        <f>SUBTOTAL(103,$A$552:A826)</f>
        <v>262</v>
      </c>
      <c r="C826" s="215" t="s">
        <v>1206</v>
      </c>
      <c r="D826" s="217">
        <v>1957</v>
      </c>
      <c r="E826" s="217"/>
      <c r="F826" s="226" t="s">
        <v>267</v>
      </c>
      <c r="G826" s="217" t="s">
        <v>312</v>
      </c>
      <c r="H826" s="217" t="s">
        <v>312</v>
      </c>
      <c r="I826" s="218">
        <v>988</v>
      </c>
      <c r="J826" s="218">
        <v>627.1</v>
      </c>
      <c r="K826" s="218">
        <v>627.1</v>
      </c>
      <c r="L826" s="219">
        <v>55</v>
      </c>
      <c r="M826" s="217" t="s">
        <v>265</v>
      </c>
      <c r="N826" s="217" t="s">
        <v>269</v>
      </c>
      <c r="O826" s="220" t="s">
        <v>1069</v>
      </c>
      <c r="P826" s="190">
        <v>3122749.9699999997</v>
      </c>
      <c r="Q826" s="190">
        <v>0</v>
      </c>
      <c r="R826" s="190">
        <v>0</v>
      </c>
      <c r="S826" s="190">
        <f t="shared" si="99"/>
        <v>3122749.9699999997</v>
      </c>
      <c r="T826" s="190">
        <f t="shared" si="93"/>
        <v>3160.6781072874492</v>
      </c>
      <c r="U826" s="190">
        <v>4867.0745789473676</v>
      </c>
      <c r="V826" s="221">
        <f t="shared" si="92"/>
        <v>1706.3964716599185</v>
      </c>
      <c r="W826" s="221">
        <f t="shared" si="100"/>
        <v>5992.6372368421053</v>
      </c>
      <c r="X826" s="221">
        <v>0</v>
      </c>
      <c r="Y826" s="222">
        <v>0</v>
      </c>
      <c r="Z826" s="222">
        <v>0</v>
      </c>
      <c r="AA826" s="222">
        <v>0</v>
      </c>
      <c r="AB826" s="222">
        <v>0</v>
      </c>
      <c r="AC826" s="222">
        <v>0</v>
      </c>
      <c r="AD826" s="222">
        <v>0</v>
      </c>
      <c r="AE826" s="222">
        <v>949</v>
      </c>
      <c r="AF826" s="221">
        <f t="shared" si="101"/>
        <v>5992.6372368421053</v>
      </c>
      <c r="AG826" s="222">
        <v>0</v>
      </c>
      <c r="AH826" s="221">
        <v>0</v>
      </c>
      <c r="AI826" s="222">
        <v>0</v>
      </c>
      <c r="AJ826" s="221">
        <v>0</v>
      </c>
      <c r="AK826" s="222">
        <v>0</v>
      </c>
      <c r="AL826" s="222">
        <v>0</v>
      </c>
      <c r="AM826" s="222">
        <v>0</v>
      </c>
      <c r="AN826" s="222"/>
      <c r="AO826" s="222">
        <v>0</v>
      </c>
    </row>
    <row r="827" spans="1:41" s="223" customFormat="1" ht="36" customHeight="1" x14ac:dyDescent="0.25">
      <c r="A827" s="223">
        <v>1</v>
      </c>
      <c r="B827" s="225">
        <f>SUBTOTAL(103,$A$552:A827)</f>
        <v>263</v>
      </c>
      <c r="C827" s="215" t="s">
        <v>1947</v>
      </c>
      <c r="D827" s="217">
        <v>1947</v>
      </c>
      <c r="E827" s="217"/>
      <c r="F827" s="226" t="s">
        <v>267</v>
      </c>
      <c r="G827" s="217">
        <v>2</v>
      </c>
      <c r="H827" s="217" t="s">
        <v>304</v>
      </c>
      <c r="I827" s="218">
        <v>511.5</v>
      </c>
      <c r="J827" s="218">
        <v>511.5</v>
      </c>
      <c r="K827" s="218">
        <f>J827</f>
        <v>511.5</v>
      </c>
      <c r="L827" s="219">
        <v>31</v>
      </c>
      <c r="M827" s="217" t="s">
        <v>265</v>
      </c>
      <c r="N827" s="217" t="s">
        <v>266</v>
      </c>
      <c r="O827" s="220" t="s">
        <v>268</v>
      </c>
      <c r="P827" s="190">
        <v>2259579.75</v>
      </c>
      <c r="Q827" s="190">
        <v>0</v>
      </c>
      <c r="R827" s="190">
        <v>0</v>
      </c>
      <c r="S827" s="190">
        <f t="shared" si="99"/>
        <v>2259579.75</v>
      </c>
      <c r="T827" s="190">
        <f t="shared" si="93"/>
        <v>4417.5557184750733</v>
      </c>
      <c r="U827" s="190">
        <v>6066.2196676441836</v>
      </c>
      <c r="V827" s="221">
        <f t="shared" si="92"/>
        <v>1648.6639491691103</v>
      </c>
      <c r="W827" s="221">
        <f t="shared" si="100"/>
        <v>10245.717302052784</v>
      </c>
      <c r="X827" s="221">
        <v>0</v>
      </c>
      <c r="Y827" s="222">
        <v>0</v>
      </c>
      <c r="Z827" s="222">
        <v>0</v>
      </c>
      <c r="AA827" s="222">
        <v>0</v>
      </c>
      <c r="AB827" s="222">
        <v>0</v>
      </c>
      <c r="AC827" s="222">
        <v>0</v>
      </c>
      <c r="AD827" s="222">
        <v>0</v>
      </c>
      <c r="AE827" s="222">
        <v>840</v>
      </c>
      <c r="AF827" s="221">
        <f t="shared" si="101"/>
        <v>10245.717302052784</v>
      </c>
      <c r="AG827" s="222">
        <v>0</v>
      </c>
      <c r="AH827" s="221">
        <v>0</v>
      </c>
      <c r="AI827" s="222">
        <v>0</v>
      </c>
      <c r="AJ827" s="221">
        <v>0</v>
      </c>
      <c r="AK827" s="222">
        <v>0</v>
      </c>
      <c r="AL827" s="222">
        <v>0</v>
      </c>
      <c r="AM827" s="222">
        <v>0</v>
      </c>
      <c r="AN827" s="222"/>
      <c r="AO827" s="222">
        <v>0</v>
      </c>
    </row>
    <row r="828" spans="1:41" s="223" customFormat="1" ht="36" customHeight="1" x14ac:dyDescent="0.25">
      <c r="A828" s="223">
        <v>1</v>
      </c>
      <c r="B828" s="225">
        <f>SUBTOTAL(103,$A$552:A828)</f>
        <v>264</v>
      </c>
      <c r="C828" s="215" t="s">
        <v>1948</v>
      </c>
      <c r="D828" s="217">
        <v>1955</v>
      </c>
      <c r="E828" s="217"/>
      <c r="F828" s="226" t="s">
        <v>330</v>
      </c>
      <c r="G828" s="217">
        <v>2</v>
      </c>
      <c r="H828" s="217" t="s">
        <v>304</v>
      </c>
      <c r="I828" s="190">
        <v>367</v>
      </c>
      <c r="J828" s="190">
        <v>367</v>
      </c>
      <c r="K828" s="190">
        <f>J828-56</f>
        <v>311</v>
      </c>
      <c r="L828" s="219">
        <v>21</v>
      </c>
      <c r="M828" s="217" t="s">
        <v>265</v>
      </c>
      <c r="N828" s="217" t="s">
        <v>266</v>
      </c>
      <c r="O828" s="220" t="s">
        <v>268</v>
      </c>
      <c r="P828" s="190">
        <v>2460182.5699999998</v>
      </c>
      <c r="Q828" s="190">
        <v>0</v>
      </c>
      <c r="R828" s="190">
        <v>0</v>
      </c>
      <c r="S828" s="190">
        <f t="shared" si="99"/>
        <v>2460182.5699999998</v>
      </c>
      <c r="T828" s="190">
        <f t="shared" si="93"/>
        <v>6703.4947411444136</v>
      </c>
      <c r="U828" s="190">
        <v>12969.828991825614</v>
      </c>
      <c r="V828" s="221">
        <f t="shared" si="92"/>
        <v>6266.3342506812005</v>
      </c>
      <c r="W828" s="221">
        <f t="shared" si="100"/>
        <v>6932.4999945504087</v>
      </c>
      <c r="X828" s="221">
        <v>0</v>
      </c>
      <c r="Y828" s="222">
        <v>0</v>
      </c>
      <c r="Z828" s="222">
        <v>0</v>
      </c>
      <c r="AA828" s="222">
        <v>0</v>
      </c>
      <c r="AB828" s="222">
        <v>0</v>
      </c>
      <c r="AC828" s="222">
        <v>0</v>
      </c>
      <c r="AD828" s="222">
        <v>0</v>
      </c>
      <c r="AE828" s="222">
        <v>407.8</v>
      </c>
      <c r="AF828" s="221">
        <f t="shared" si="101"/>
        <v>6932.4999945504087</v>
      </c>
      <c r="AG828" s="222">
        <v>0</v>
      </c>
      <c r="AH828" s="221">
        <v>0</v>
      </c>
      <c r="AI828" s="222">
        <v>0</v>
      </c>
      <c r="AJ828" s="221">
        <v>0</v>
      </c>
      <c r="AK828" s="222">
        <v>0</v>
      </c>
      <c r="AL828" s="222">
        <v>0</v>
      </c>
      <c r="AM828" s="222">
        <v>0</v>
      </c>
      <c r="AN828" s="222"/>
      <c r="AO828" s="222">
        <v>0</v>
      </c>
    </row>
    <row r="829" spans="1:41" s="223" customFormat="1" ht="36" customHeight="1" x14ac:dyDescent="0.25">
      <c r="A829" s="223">
        <v>1</v>
      </c>
      <c r="B829" s="225">
        <f>SUBTOTAL(103,$A$552:A829)</f>
        <v>265</v>
      </c>
      <c r="C829" s="215" t="s">
        <v>670</v>
      </c>
      <c r="D829" s="217">
        <v>1917</v>
      </c>
      <c r="E829" s="217"/>
      <c r="F829" s="226" t="s">
        <v>267</v>
      </c>
      <c r="G829" s="217">
        <v>2</v>
      </c>
      <c r="H829" s="217" t="s">
        <v>303</v>
      </c>
      <c r="I829" s="190">
        <v>231.6</v>
      </c>
      <c r="J829" s="190">
        <v>231.6</v>
      </c>
      <c r="K829" s="190">
        <v>101.7</v>
      </c>
      <c r="L829" s="219">
        <v>11</v>
      </c>
      <c r="M829" s="217" t="s">
        <v>265</v>
      </c>
      <c r="N829" s="217" t="s">
        <v>266</v>
      </c>
      <c r="O829" s="220" t="s">
        <v>268</v>
      </c>
      <c r="P829" s="190">
        <v>3058347.5</v>
      </c>
      <c r="Q829" s="190">
        <v>0</v>
      </c>
      <c r="R829" s="190">
        <v>0</v>
      </c>
      <c r="S829" s="190">
        <f t="shared" si="99"/>
        <v>3058347.5</v>
      </c>
      <c r="T829" s="190">
        <f t="shared" si="93"/>
        <v>13205.300086355786</v>
      </c>
      <c r="U829" s="190">
        <v>18806.533031088082</v>
      </c>
      <c r="V829" s="221">
        <f>U829-T829</f>
        <v>5601.2329447322954</v>
      </c>
      <c r="W829" s="221">
        <f t="shared" si="100"/>
        <v>14018.690690846286</v>
      </c>
      <c r="X829" s="221">
        <v>0</v>
      </c>
      <c r="Y829" s="222">
        <v>0</v>
      </c>
      <c r="Z829" s="222">
        <v>0</v>
      </c>
      <c r="AA829" s="222">
        <v>0</v>
      </c>
      <c r="AB829" s="222">
        <v>0</v>
      </c>
      <c r="AC829" s="222">
        <v>0</v>
      </c>
      <c r="AD829" s="222">
        <v>0</v>
      </c>
      <c r="AE829" s="222">
        <v>520.4</v>
      </c>
      <c r="AF829" s="221">
        <f t="shared" si="101"/>
        <v>14018.690690846286</v>
      </c>
      <c r="AG829" s="222">
        <v>0</v>
      </c>
      <c r="AH829" s="221">
        <v>0</v>
      </c>
      <c r="AI829" s="222">
        <v>0</v>
      </c>
      <c r="AJ829" s="221">
        <v>0</v>
      </c>
      <c r="AK829" s="222">
        <v>0</v>
      </c>
      <c r="AL829" s="222">
        <v>0</v>
      </c>
      <c r="AM829" s="222">
        <v>0</v>
      </c>
      <c r="AN829" s="222"/>
      <c r="AO829" s="222">
        <v>0</v>
      </c>
    </row>
    <row r="830" spans="1:41" s="223" customFormat="1" ht="36" customHeight="1" x14ac:dyDescent="0.25">
      <c r="A830" s="223">
        <v>1</v>
      </c>
      <c r="B830" s="225">
        <f>SUBTOTAL(103,$A$552:A830)</f>
        <v>266</v>
      </c>
      <c r="C830" s="215" t="s">
        <v>2309</v>
      </c>
      <c r="D830" s="217">
        <v>1955</v>
      </c>
      <c r="E830" s="217"/>
      <c r="F830" s="226" t="s">
        <v>267</v>
      </c>
      <c r="G830" s="217">
        <v>2</v>
      </c>
      <c r="H830" s="217" t="s">
        <v>303</v>
      </c>
      <c r="I830" s="190">
        <v>852.1</v>
      </c>
      <c r="J830" s="190">
        <v>560.6</v>
      </c>
      <c r="K830" s="190">
        <v>560.6</v>
      </c>
      <c r="L830" s="219">
        <v>31</v>
      </c>
      <c r="M830" s="217" t="s">
        <v>265</v>
      </c>
      <c r="N830" s="217" t="s">
        <v>269</v>
      </c>
      <c r="O830" s="220" t="s">
        <v>1069</v>
      </c>
      <c r="P830" s="190">
        <v>3424209.35</v>
      </c>
      <c r="Q830" s="190">
        <v>0</v>
      </c>
      <c r="R830" s="190">
        <v>0</v>
      </c>
      <c r="S830" s="190">
        <f t="shared" si="99"/>
        <v>3424209.35</v>
      </c>
      <c r="T830" s="190">
        <f t="shared" si="93"/>
        <v>4018.5533974885575</v>
      </c>
      <c r="U830" s="190">
        <v>6033.4268278371082</v>
      </c>
      <c r="V830" s="221">
        <f>U830-T830</f>
        <v>2014.8734303485508</v>
      </c>
      <c r="W830" s="221">
        <f t="shared" si="100"/>
        <v>3810.2672972655791</v>
      </c>
      <c r="X830" s="221">
        <v>0</v>
      </c>
      <c r="Y830" s="222">
        <v>0</v>
      </c>
      <c r="Z830" s="222">
        <v>0</v>
      </c>
      <c r="AA830" s="222">
        <v>0</v>
      </c>
      <c r="AB830" s="222">
        <v>0</v>
      </c>
      <c r="AC830" s="222">
        <v>0</v>
      </c>
      <c r="AD830" s="222">
        <v>0</v>
      </c>
      <c r="AE830" s="222">
        <v>520.4</v>
      </c>
      <c r="AF830" s="221">
        <f t="shared" si="101"/>
        <v>3810.2672972655791</v>
      </c>
      <c r="AG830" s="222">
        <v>0</v>
      </c>
      <c r="AH830" s="221">
        <v>0</v>
      </c>
      <c r="AI830" s="222">
        <v>0</v>
      </c>
      <c r="AJ830" s="221">
        <v>0</v>
      </c>
      <c r="AK830" s="222">
        <v>0</v>
      </c>
      <c r="AL830" s="222">
        <v>0</v>
      </c>
      <c r="AM830" s="222">
        <v>0</v>
      </c>
      <c r="AN830" s="222"/>
      <c r="AO830" s="222">
        <v>0</v>
      </c>
    </row>
    <row r="831" spans="1:41" s="223" customFormat="1" ht="36" customHeight="1" x14ac:dyDescent="0.25">
      <c r="A831" s="223">
        <v>1</v>
      </c>
      <c r="B831" s="225">
        <f>SUBTOTAL(103,$A$552:A831)</f>
        <v>267</v>
      </c>
      <c r="C831" s="215" t="s">
        <v>656</v>
      </c>
      <c r="D831" s="217">
        <v>1983</v>
      </c>
      <c r="E831" s="217"/>
      <c r="F831" s="226" t="s">
        <v>318</v>
      </c>
      <c r="G831" s="217">
        <v>9</v>
      </c>
      <c r="H831" s="217" t="s">
        <v>303</v>
      </c>
      <c r="I831" s="190">
        <v>3834</v>
      </c>
      <c r="J831" s="190">
        <v>3834</v>
      </c>
      <c r="K831" s="190">
        <v>3802</v>
      </c>
      <c r="L831" s="219">
        <v>141</v>
      </c>
      <c r="M831" s="217" t="s">
        <v>265</v>
      </c>
      <c r="N831" s="217" t="s">
        <v>341</v>
      </c>
      <c r="O831" s="220" t="s">
        <v>2438</v>
      </c>
      <c r="P831" s="190">
        <v>4915600</v>
      </c>
      <c r="Q831" s="190">
        <v>0</v>
      </c>
      <c r="R831" s="190">
        <v>0</v>
      </c>
      <c r="S831" s="190">
        <f t="shared" si="99"/>
        <v>4915600</v>
      </c>
      <c r="T831" s="190">
        <f t="shared" si="93"/>
        <v>1282.1074595722482</v>
      </c>
      <c r="U831" s="190">
        <v>1282.1074595722482</v>
      </c>
      <c r="V831" s="221">
        <f>U831-T831</f>
        <v>0</v>
      </c>
      <c r="W831" s="221">
        <f t="shared" si="100"/>
        <v>846.82544705268651</v>
      </c>
      <c r="X831" s="221">
        <v>0</v>
      </c>
      <c r="Y831" s="222">
        <v>0</v>
      </c>
      <c r="Z831" s="222">
        <v>0</v>
      </c>
      <c r="AA831" s="222">
        <v>0</v>
      </c>
      <c r="AB831" s="222">
        <v>0</v>
      </c>
      <c r="AC831" s="222">
        <v>0</v>
      </c>
      <c r="AD831" s="222">
        <v>0</v>
      </c>
      <c r="AE831" s="222">
        <v>520.4</v>
      </c>
      <c r="AF831" s="221">
        <f t="shared" si="101"/>
        <v>846.82544705268651</v>
      </c>
      <c r="AG831" s="222">
        <v>0</v>
      </c>
      <c r="AH831" s="221">
        <v>0</v>
      </c>
      <c r="AI831" s="222">
        <v>0</v>
      </c>
      <c r="AJ831" s="221">
        <v>0</v>
      </c>
      <c r="AK831" s="222">
        <v>0</v>
      </c>
      <c r="AL831" s="222">
        <v>0</v>
      </c>
      <c r="AM831" s="222">
        <v>0</v>
      </c>
      <c r="AN831" s="222"/>
      <c r="AO831" s="222">
        <v>0</v>
      </c>
    </row>
    <row r="832" spans="1:41" s="223" customFormat="1" ht="36" customHeight="1" x14ac:dyDescent="0.25">
      <c r="B832" s="215" t="s">
        <v>824</v>
      </c>
      <c r="C832" s="227"/>
      <c r="D832" s="217" t="s">
        <v>890</v>
      </c>
      <c r="E832" s="217" t="s">
        <v>890</v>
      </c>
      <c r="F832" s="217" t="s">
        <v>890</v>
      </c>
      <c r="G832" s="217" t="s">
        <v>890</v>
      </c>
      <c r="H832" s="217" t="s">
        <v>890</v>
      </c>
      <c r="I832" s="218">
        <f>SUM(I833:I842)</f>
        <v>12858.21</v>
      </c>
      <c r="J832" s="218">
        <f>SUM(J833:J842)</f>
        <v>11743.61</v>
      </c>
      <c r="K832" s="218">
        <f>SUM(K833:K842)</f>
        <v>9302.41</v>
      </c>
      <c r="L832" s="219">
        <f>SUM(L833:L842)</f>
        <v>844</v>
      </c>
      <c r="M832" s="217" t="s">
        <v>890</v>
      </c>
      <c r="N832" s="217" t="s">
        <v>890</v>
      </c>
      <c r="O832" s="220" t="s">
        <v>890</v>
      </c>
      <c r="P832" s="218">
        <v>26896985.909999996</v>
      </c>
      <c r="Q832" s="218">
        <f>SUM(Q833:Q842)</f>
        <v>0</v>
      </c>
      <c r="R832" s="218">
        <f>SUM(R833:R842)</f>
        <v>0</v>
      </c>
      <c r="S832" s="218">
        <f>SUM(S833:S842)</f>
        <v>26896985.909999996</v>
      </c>
      <c r="T832" s="190">
        <f t="shared" si="93"/>
        <v>2091.8141724236889</v>
      </c>
      <c r="U832" s="190">
        <f>MAX(U833:U842)</f>
        <v>5900.6680414507764</v>
      </c>
      <c r="V832" s="221">
        <f t="shared" ref="V832:V926" si="102">U832-T832</f>
        <v>3808.8538690270875</v>
      </c>
      <c r="W832" s="221"/>
      <c r="X832" s="221"/>
      <c r="Y832" s="222"/>
      <c r="Z832" s="222"/>
      <c r="AA832" s="222"/>
      <c r="AB832" s="222"/>
      <c r="AC832" s="222"/>
      <c r="AD832" s="222"/>
      <c r="AE832" s="222"/>
      <c r="AF832" s="222"/>
      <c r="AG832" s="222"/>
      <c r="AH832" s="222"/>
      <c r="AI832" s="222"/>
      <c r="AJ832" s="222"/>
      <c r="AK832" s="222"/>
      <c r="AL832" s="222"/>
      <c r="AM832" s="222"/>
      <c r="AN832" s="222"/>
      <c r="AO832" s="222"/>
    </row>
    <row r="833" spans="1:41" s="223" customFormat="1" ht="36" customHeight="1" x14ac:dyDescent="0.25">
      <c r="A833" s="223">
        <v>1</v>
      </c>
      <c r="B833" s="225">
        <f>SUBTOTAL(103,$A$552:A833)</f>
        <v>268</v>
      </c>
      <c r="C833" s="215" t="s">
        <v>235</v>
      </c>
      <c r="D833" s="217">
        <v>1973</v>
      </c>
      <c r="E833" s="217"/>
      <c r="F833" s="226" t="s">
        <v>267</v>
      </c>
      <c r="G833" s="217">
        <v>5</v>
      </c>
      <c r="H833" s="217" t="s">
        <v>371</v>
      </c>
      <c r="I833" s="218">
        <v>4741.1099999999997</v>
      </c>
      <c r="J833" s="218">
        <v>4403.51</v>
      </c>
      <c r="K833" s="218">
        <v>4403.51</v>
      </c>
      <c r="L833" s="219">
        <v>260</v>
      </c>
      <c r="M833" s="217" t="s">
        <v>265</v>
      </c>
      <c r="N833" s="217" t="s">
        <v>269</v>
      </c>
      <c r="O833" s="220" t="s">
        <v>334</v>
      </c>
      <c r="P833" s="190">
        <v>7344840.7800000003</v>
      </c>
      <c r="Q833" s="190">
        <v>0</v>
      </c>
      <c r="R833" s="190">
        <v>0</v>
      </c>
      <c r="S833" s="190">
        <f t="shared" ref="S833:S842" si="103">P833-Q833-R833</f>
        <v>7344840.7800000003</v>
      </c>
      <c r="T833" s="190">
        <f t="shared" si="93"/>
        <v>1549.1816853015434</v>
      </c>
      <c r="U833" s="190">
        <v>2071.2700823224941</v>
      </c>
      <c r="V833" s="221">
        <f t="shared" si="102"/>
        <v>522.08839702095065</v>
      </c>
      <c r="W833" s="221">
        <f t="shared" ref="W833:W842" si="104">X833+Y833+Z833+AA833+AB833+AD833+AF833+AH833+AJ833+AL833+AN833+AO833</f>
        <v>1985.7196289476515</v>
      </c>
      <c r="X833" s="221">
        <v>0</v>
      </c>
      <c r="Y833" s="222">
        <v>0</v>
      </c>
      <c r="Z833" s="222">
        <v>0</v>
      </c>
      <c r="AA833" s="222">
        <v>0</v>
      </c>
      <c r="AB833" s="222">
        <v>0</v>
      </c>
      <c r="AC833" s="222">
        <v>0</v>
      </c>
      <c r="AD833" s="222">
        <v>0</v>
      </c>
      <c r="AE833" s="222">
        <v>1509</v>
      </c>
      <c r="AF833" s="221">
        <f>6238.91*AE833/I833</f>
        <v>1985.7196289476515</v>
      </c>
      <c r="AG833" s="222">
        <v>0</v>
      </c>
      <c r="AH833" s="221">
        <v>0</v>
      </c>
      <c r="AI833" s="222">
        <v>0</v>
      </c>
      <c r="AJ833" s="221">
        <v>0</v>
      </c>
      <c r="AK833" s="222">
        <v>0</v>
      </c>
      <c r="AL833" s="222">
        <v>0</v>
      </c>
      <c r="AM833" s="222">
        <v>0</v>
      </c>
      <c r="AN833" s="222"/>
      <c r="AO833" s="222">
        <v>0</v>
      </c>
    </row>
    <row r="834" spans="1:41" s="223" customFormat="1" ht="36" customHeight="1" x14ac:dyDescent="0.25">
      <c r="A834" s="223">
        <v>1</v>
      </c>
      <c r="B834" s="225">
        <f>SUBTOTAL(103,$A$552:A834)</f>
        <v>269</v>
      </c>
      <c r="C834" s="215" t="s">
        <v>240</v>
      </c>
      <c r="D834" s="217">
        <v>1989</v>
      </c>
      <c r="E834" s="217"/>
      <c r="F834" s="226" t="s">
        <v>267</v>
      </c>
      <c r="G834" s="217">
        <v>2</v>
      </c>
      <c r="H834" s="217" t="s">
        <v>312</v>
      </c>
      <c r="I834" s="218">
        <v>946.8</v>
      </c>
      <c r="J834" s="218">
        <v>859.3</v>
      </c>
      <c r="K834" s="218">
        <v>816</v>
      </c>
      <c r="L834" s="219">
        <v>40</v>
      </c>
      <c r="M834" s="217" t="s">
        <v>265</v>
      </c>
      <c r="N834" s="217" t="s">
        <v>269</v>
      </c>
      <c r="O834" s="220" t="s">
        <v>333</v>
      </c>
      <c r="P834" s="190">
        <v>4207919.8999999994</v>
      </c>
      <c r="Q834" s="190">
        <v>0</v>
      </c>
      <c r="R834" s="190">
        <v>0</v>
      </c>
      <c r="S834" s="190">
        <f t="shared" si="103"/>
        <v>4207919.8999999994</v>
      </c>
      <c r="T834" s="190">
        <f t="shared" si="93"/>
        <v>4444.3598436839875</v>
      </c>
      <c r="U834" s="190">
        <v>4677.9121144909177</v>
      </c>
      <c r="V834" s="221">
        <f t="shared" si="102"/>
        <v>233.55227080693021</v>
      </c>
      <c r="W834" s="221">
        <f t="shared" si="104"/>
        <v>4728.6410223912135</v>
      </c>
      <c r="X834" s="221">
        <v>0</v>
      </c>
      <c r="Y834" s="222">
        <v>0</v>
      </c>
      <c r="Z834" s="222">
        <v>0</v>
      </c>
      <c r="AA834" s="222">
        <v>0</v>
      </c>
      <c r="AB834" s="222">
        <v>0</v>
      </c>
      <c r="AC834" s="222">
        <v>0</v>
      </c>
      <c r="AD834" s="222">
        <v>0</v>
      </c>
      <c r="AE834" s="222">
        <v>0</v>
      </c>
      <c r="AF834" s="221">
        <v>0</v>
      </c>
      <c r="AG834" s="222">
        <v>0</v>
      </c>
      <c r="AH834" s="221">
        <v>0</v>
      </c>
      <c r="AI834" s="222">
        <v>0</v>
      </c>
      <c r="AJ834" s="221">
        <v>0</v>
      </c>
      <c r="AK834" s="222">
        <v>0</v>
      </c>
      <c r="AL834" s="222">
        <v>0</v>
      </c>
      <c r="AM834" s="222">
        <v>641</v>
      </c>
      <c r="AN834" s="222">
        <f>6984.52*AM834/I834</f>
        <v>4728.6410223912135</v>
      </c>
      <c r="AO834" s="222">
        <v>0</v>
      </c>
    </row>
    <row r="835" spans="1:41" s="223" customFormat="1" ht="36" customHeight="1" x14ac:dyDescent="0.25">
      <c r="A835" s="223">
        <v>1</v>
      </c>
      <c r="B835" s="225">
        <f>SUBTOTAL(103,$A$552:A835)</f>
        <v>270</v>
      </c>
      <c r="C835" s="215" t="s">
        <v>1605</v>
      </c>
      <c r="D835" s="217">
        <v>1940</v>
      </c>
      <c r="E835" s="217"/>
      <c r="F835" s="226" t="s">
        <v>330</v>
      </c>
      <c r="G835" s="217">
        <v>2</v>
      </c>
      <c r="H835" s="217" t="s">
        <v>304</v>
      </c>
      <c r="I835" s="218">
        <v>324</v>
      </c>
      <c r="J835" s="218">
        <v>303.10000000000002</v>
      </c>
      <c r="K835" s="218">
        <v>250.5</v>
      </c>
      <c r="L835" s="219">
        <v>15</v>
      </c>
      <c r="M835" s="217" t="s">
        <v>265</v>
      </c>
      <c r="N835" s="217" t="s">
        <v>269</v>
      </c>
      <c r="O835" s="220" t="s">
        <v>333</v>
      </c>
      <c r="P835" s="190">
        <v>1428606.51</v>
      </c>
      <c r="Q835" s="190">
        <v>0</v>
      </c>
      <c r="R835" s="190">
        <v>0</v>
      </c>
      <c r="S835" s="190">
        <f t="shared" si="103"/>
        <v>1428606.51</v>
      </c>
      <c r="T835" s="190">
        <f t="shared" si="93"/>
        <v>4409.279351851852</v>
      </c>
      <c r="U835" s="190">
        <v>5623.9382716049386</v>
      </c>
      <c r="V835" s="221">
        <f t="shared" si="102"/>
        <v>1214.6589197530866</v>
      </c>
      <c r="W835" s="221">
        <f t="shared" si="104"/>
        <v>5391.6506172839509</v>
      </c>
      <c r="X835" s="221">
        <v>0</v>
      </c>
      <c r="Y835" s="222">
        <v>0</v>
      </c>
      <c r="Z835" s="222">
        <v>0</v>
      </c>
      <c r="AA835" s="222">
        <v>0</v>
      </c>
      <c r="AB835" s="222">
        <v>0</v>
      </c>
      <c r="AC835" s="222">
        <v>0</v>
      </c>
      <c r="AD835" s="222">
        <v>0</v>
      </c>
      <c r="AE835" s="222">
        <v>280</v>
      </c>
      <c r="AF835" s="221">
        <f>6238.91*AE835/I835</f>
        <v>5391.6506172839509</v>
      </c>
      <c r="AG835" s="222">
        <v>0</v>
      </c>
      <c r="AH835" s="221">
        <v>0</v>
      </c>
      <c r="AI835" s="222">
        <v>0</v>
      </c>
      <c r="AJ835" s="221">
        <v>0</v>
      </c>
      <c r="AK835" s="222">
        <v>0</v>
      </c>
      <c r="AL835" s="222">
        <v>0</v>
      </c>
      <c r="AM835" s="222">
        <v>0</v>
      </c>
      <c r="AN835" s="222"/>
      <c r="AO835" s="222">
        <v>0</v>
      </c>
    </row>
    <row r="836" spans="1:41" s="223" customFormat="1" ht="36" customHeight="1" x14ac:dyDescent="0.25">
      <c r="A836" s="223">
        <v>1</v>
      </c>
      <c r="B836" s="225">
        <f>SUBTOTAL(103,$A$552:A836)</f>
        <v>271</v>
      </c>
      <c r="C836" s="215" t="s">
        <v>1212</v>
      </c>
      <c r="D836" s="217">
        <v>1955</v>
      </c>
      <c r="E836" s="217"/>
      <c r="F836" s="226" t="s">
        <v>1310</v>
      </c>
      <c r="G836" s="217">
        <v>2</v>
      </c>
      <c r="H836" s="217" t="s">
        <v>303</v>
      </c>
      <c r="I836" s="218">
        <v>805.7</v>
      </c>
      <c r="J836" s="218">
        <v>731</v>
      </c>
      <c r="K836" s="218">
        <v>705.2</v>
      </c>
      <c r="L836" s="219">
        <v>37</v>
      </c>
      <c r="M836" s="217" t="s">
        <v>265</v>
      </c>
      <c r="N836" s="217" t="s">
        <v>269</v>
      </c>
      <c r="O836" s="220" t="s">
        <v>333</v>
      </c>
      <c r="P836" s="190">
        <v>2297318.9499999997</v>
      </c>
      <c r="Q836" s="190">
        <v>0</v>
      </c>
      <c r="R836" s="190">
        <v>0</v>
      </c>
      <c r="S836" s="190">
        <f t="shared" si="103"/>
        <v>2297318.9499999997</v>
      </c>
      <c r="T836" s="190">
        <f t="shared" si="93"/>
        <v>2851.3329403003595</v>
      </c>
      <c r="U836" s="190">
        <v>5371.2554300608163</v>
      </c>
      <c r="V836" s="221">
        <f t="shared" si="102"/>
        <v>2519.9224897604568</v>
      </c>
      <c r="W836" s="221">
        <f t="shared" si="104"/>
        <v>10862.758197840389</v>
      </c>
      <c r="X836" s="221">
        <v>0</v>
      </c>
      <c r="Y836" s="222">
        <v>0</v>
      </c>
      <c r="Z836" s="222">
        <v>0</v>
      </c>
      <c r="AA836" s="222">
        <v>0</v>
      </c>
      <c r="AB836" s="222">
        <v>0</v>
      </c>
      <c r="AC836" s="222">
        <v>0</v>
      </c>
      <c r="AD836" s="222">
        <v>0</v>
      </c>
      <c r="AE836" s="222">
        <v>0</v>
      </c>
      <c r="AF836" s="221">
        <v>0</v>
      </c>
      <c r="AG836" s="222">
        <v>0</v>
      </c>
      <c r="AH836" s="221">
        <v>0</v>
      </c>
      <c r="AI836" s="222">
        <v>0</v>
      </c>
      <c r="AJ836" s="221">
        <v>0</v>
      </c>
      <c r="AK836" s="222">
        <v>114</v>
      </c>
      <c r="AL836" s="221">
        <f>76773.02*AK836/I836</f>
        <v>10862.758197840389</v>
      </c>
      <c r="AM836" s="222">
        <v>0</v>
      </c>
      <c r="AN836" s="222"/>
      <c r="AO836" s="222">
        <v>0</v>
      </c>
    </row>
    <row r="837" spans="1:41" s="223" customFormat="1" ht="36" customHeight="1" x14ac:dyDescent="0.25">
      <c r="A837" s="223">
        <v>1</v>
      </c>
      <c r="B837" s="225">
        <f>SUBTOTAL(103,$A$552:A837)</f>
        <v>272</v>
      </c>
      <c r="C837" s="215" t="s">
        <v>233</v>
      </c>
      <c r="D837" s="217">
        <v>1964</v>
      </c>
      <c r="E837" s="217"/>
      <c r="F837" s="226" t="s">
        <v>267</v>
      </c>
      <c r="G837" s="217">
        <v>2</v>
      </c>
      <c r="H837" s="217" t="s">
        <v>303</v>
      </c>
      <c r="I837" s="218">
        <v>645.4</v>
      </c>
      <c r="J837" s="218">
        <v>597.4</v>
      </c>
      <c r="K837" s="218">
        <v>596.20000000000005</v>
      </c>
      <c r="L837" s="219">
        <v>42</v>
      </c>
      <c r="M837" s="217" t="s">
        <v>265</v>
      </c>
      <c r="N837" s="217" t="s">
        <v>269</v>
      </c>
      <c r="O837" s="220" t="s">
        <v>334</v>
      </c>
      <c r="P837" s="190">
        <v>2793160.28</v>
      </c>
      <c r="Q837" s="190">
        <v>0</v>
      </c>
      <c r="R837" s="190">
        <v>0</v>
      </c>
      <c r="S837" s="190">
        <f t="shared" si="103"/>
        <v>2793160.28</v>
      </c>
      <c r="T837" s="190">
        <f t="shared" si="93"/>
        <v>4327.7971490548498</v>
      </c>
      <c r="U837" s="190">
        <v>5184.5478462968704</v>
      </c>
      <c r="V837" s="221">
        <f t="shared" si="102"/>
        <v>856.75069724202058</v>
      </c>
      <c r="W837" s="221">
        <f t="shared" si="104"/>
        <v>6936.9031918190276</v>
      </c>
      <c r="X837" s="221">
        <v>0</v>
      </c>
      <c r="Y837" s="222">
        <v>0</v>
      </c>
      <c r="Z837" s="222">
        <v>0</v>
      </c>
      <c r="AA837" s="222">
        <v>0</v>
      </c>
      <c r="AB837" s="222">
        <v>0</v>
      </c>
      <c r="AC837" s="222">
        <v>0</v>
      </c>
      <c r="AD837" s="222">
        <v>0</v>
      </c>
      <c r="AE837" s="222">
        <v>0</v>
      </c>
      <c r="AF837" s="221">
        <v>0</v>
      </c>
      <c r="AG837" s="222">
        <v>0</v>
      </c>
      <c r="AH837" s="221">
        <v>0</v>
      </c>
      <c r="AI837" s="222">
        <v>0</v>
      </c>
      <c r="AJ837" s="221">
        <v>0</v>
      </c>
      <c r="AK837" s="222">
        <v>0</v>
      </c>
      <c r="AL837" s="222">
        <v>0</v>
      </c>
      <c r="AM837" s="222">
        <v>641</v>
      </c>
      <c r="AN837" s="222">
        <f>6984.52*AM837/I837</f>
        <v>6936.9031918190276</v>
      </c>
      <c r="AO837" s="222">
        <v>0</v>
      </c>
    </row>
    <row r="838" spans="1:41" s="223" customFormat="1" ht="36" customHeight="1" x14ac:dyDescent="0.25">
      <c r="A838" s="223">
        <v>1</v>
      </c>
      <c r="B838" s="225">
        <f>SUBTOTAL(103,$A$552:A838)</f>
        <v>273</v>
      </c>
      <c r="C838" s="215" t="s">
        <v>237</v>
      </c>
      <c r="D838" s="217">
        <v>1963</v>
      </c>
      <c r="E838" s="217"/>
      <c r="F838" s="226" t="s">
        <v>267</v>
      </c>
      <c r="G838" s="217">
        <v>2</v>
      </c>
      <c r="H838" s="217" t="s">
        <v>304</v>
      </c>
      <c r="I838" s="218">
        <v>336.7</v>
      </c>
      <c r="J838" s="218">
        <v>304.3</v>
      </c>
      <c r="K838" s="218">
        <v>304.3</v>
      </c>
      <c r="L838" s="219">
        <v>15</v>
      </c>
      <c r="M838" s="217" t="s">
        <v>265</v>
      </c>
      <c r="N838" s="217" t="s">
        <v>269</v>
      </c>
      <c r="O838" s="220" t="s">
        <v>333</v>
      </c>
      <c r="P838" s="190">
        <v>1306200.72</v>
      </c>
      <c r="Q838" s="190">
        <v>0</v>
      </c>
      <c r="R838" s="190">
        <v>0</v>
      </c>
      <c r="S838" s="190">
        <f t="shared" si="103"/>
        <v>1306200.72</v>
      </c>
      <c r="T838" s="190">
        <f t="shared" si="93"/>
        <v>3879.4200178200181</v>
      </c>
      <c r="U838" s="190">
        <v>5237.8577368577371</v>
      </c>
      <c r="V838" s="221">
        <f t="shared" si="102"/>
        <v>1358.437719037719</v>
      </c>
      <c r="W838" s="221">
        <f t="shared" si="104"/>
        <v>5188.2827442827447</v>
      </c>
      <c r="X838" s="221">
        <v>0</v>
      </c>
      <c r="Y838" s="222">
        <v>0</v>
      </c>
      <c r="Z838" s="222">
        <v>0</v>
      </c>
      <c r="AA838" s="222">
        <v>0</v>
      </c>
      <c r="AB838" s="222">
        <v>0</v>
      </c>
      <c r="AC838" s="222">
        <v>0</v>
      </c>
      <c r="AD838" s="222">
        <v>0</v>
      </c>
      <c r="AE838" s="222">
        <v>280</v>
      </c>
      <c r="AF838" s="221">
        <f>6238.91*AE838/I838</f>
        <v>5188.2827442827447</v>
      </c>
      <c r="AG838" s="222">
        <v>0</v>
      </c>
      <c r="AH838" s="221">
        <v>0</v>
      </c>
      <c r="AI838" s="222">
        <v>0</v>
      </c>
      <c r="AJ838" s="221">
        <v>0</v>
      </c>
      <c r="AK838" s="222">
        <v>0</v>
      </c>
      <c r="AL838" s="222">
        <v>0</v>
      </c>
      <c r="AM838" s="222">
        <v>0</v>
      </c>
      <c r="AN838" s="222"/>
      <c r="AO838" s="222">
        <v>0</v>
      </c>
    </row>
    <row r="839" spans="1:41" s="223" customFormat="1" ht="36" customHeight="1" x14ac:dyDescent="0.25">
      <c r="A839" s="223">
        <v>1</v>
      </c>
      <c r="B839" s="225">
        <f>SUBTOTAL(103,$A$552:A839)</f>
        <v>274</v>
      </c>
      <c r="C839" s="215" t="s">
        <v>239</v>
      </c>
      <c r="D839" s="217">
        <v>1972</v>
      </c>
      <c r="E839" s="217"/>
      <c r="F839" s="226" t="s">
        <v>267</v>
      </c>
      <c r="G839" s="217">
        <v>2</v>
      </c>
      <c r="H839" s="217" t="s">
        <v>312</v>
      </c>
      <c r="I839" s="218">
        <v>899</v>
      </c>
      <c r="J839" s="218">
        <v>845</v>
      </c>
      <c r="K839" s="218">
        <v>845</v>
      </c>
      <c r="L839" s="219">
        <v>54</v>
      </c>
      <c r="M839" s="217" t="s">
        <v>265</v>
      </c>
      <c r="N839" s="217" t="s">
        <v>269</v>
      </c>
      <c r="O839" s="220" t="s">
        <v>333</v>
      </c>
      <c r="P839" s="190">
        <v>3455722.06</v>
      </c>
      <c r="Q839" s="190">
        <v>0</v>
      </c>
      <c r="R839" s="190">
        <v>0</v>
      </c>
      <c r="S839" s="190">
        <f t="shared" si="103"/>
        <v>3455722.06</v>
      </c>
      <c r="T839" s="190">
        <f t="shared" si="93"/>
        <v>3843.9622469410456</v>
      </c>
      <c r="U839" s="190">
        <v>3904.62</v>
      </c>
      <c r="V839" s="221">
        <f t="shared" si="102"/>
        <v>60.657753058954313</v>
      </c>
      <c r="W839" s="221">
        <f t="shared" si="104"/>
        <v>9735.3996440489445</v>
      </c>
      <c r="X839" s="221">
        <v>0</v>
      </c>
      <c r="Y839" s="222">
        <v>0</v>
      </c>
      <c r="Z839" s="222">
        <v>0</v>
      </c>
      <c r="AA839" s="222">
        <v>0</v>
      </c>
      <c r="AB839" s="222">
        <v>0</v>
      </c>
      <c r="AC839" s="222">
        <v>0</v>
      </c>
      <c r="AD839" s="222">
        <v>0</v>
      </c>
      <c r="AE839" s="222">
        <v>0</v>
      </c>
      <c r="AF839" s="221">
        <v>0</v>
      </c>
      <c r="AG839" s="222">
        <v>0</v>
      </c>
      <c r="AH839" s="221">
        <v>0</v>
      </c>
      <c r="AI839" s="222">
        <v>0</v>
      </c>
      <c r="AJ839" s="221">
        <v>0</v>
      </c>
      <c r="AK839" s="222">
        <v>114</v>
      </c>
      <c r="AL839" s="221">
        <f>76773.02*AK839/I839</f>
        <v>9735.3996440489445</v>
      </c>
      <c r="AM839" s="222">
        <v>0</v>
      </c>
      <c r="AN839" s="222"/>
      <c r="AO839" s="222">
        <v>0</v>
      </c>
    </row>
    <row r="840" spans="1:41" s="223" customFormat="1" ht="36" customHeight="1" x14ac:dyDescent="0.25">
      <c r="A840" s="223">
        <v>1</v>
      </c>
      <c r="B840" s="225">
        <f>SUBTOTAL(103,$A$552:A840)</f>
        <v>275</v>
      </c>
      <c r="C840" s="215" t="s">
        <v>1210</v>
      </c>
      <c r="D840" s="217">
        <v>1977</v>
      </c>
      <c r="E840" s="217"/>
      <c r="F840" s="226" t="s">
        <v>267</v>
      </c>
      <c r="G840" s="217">
        <v>5</v>
      </c>
      <c r="H840" s="217" t="s">
        <v>304</v>
      </c>
      <c r="I840" s="218">
        <v>3019</v>
      </c>
      <c r="J840" s="218">
        <v>3019</v>
      </c>
      <c r="K840" s="218">
        <v>764.2</v>
      </c>
      <c r="L840" s="219">
        <v>333</v>
      </c>
      <c r="M840" s="217" t="s">
        <v>265</v>
      </c>
      <c r="N840" s="217" t="s">
        <v>269</v>
      </c>
      <c r="O840" s="220" t="s">
        <v>1309</v>
      </c>
      <c r="P840" s="190">
        <v>868104.32000000007</v>
      </c>
      <c r="Q840" s="190">
        <v>0</v>
      </c>
      <c r="R840" s="190">
        <v>0</v>
      </c>
      <c r="S840" s="190">
        <f t="shared" si="103"/>
        <v>868104.32000000007</v>
      </c>
      <c r="T840" s="190">
        <f t="shared" si="93"/>
        <v>287.54697581980793</v>
      </c>
      <c r="U840" s="190">
        <v>298.07</v>
      </c>
      <c r="V840" s="221">
        <f t="shared" si="102"/>
        <v>10.523024180192067</v>
      </c>
      <c r="W840" s="221">
        <f t="shared" si="104"/>
        <v>578.63358728055653</v>
      </c>
      <c r="X840" s="221">
        <v>0</v>
      </c>
      <c r="Y840" s="222">
        <v>0</v>
      </c>
      <c r="Z840" s="222">
        <v>0</v>
      </c>
      <c r="AA840" s="222">
        <v>0</v>
      </c>
      <c r="AB840" s="222">
        <v>0</v>
      </c>
      <c r="AC840" s="222">
        <v>0</v>
      </c>
      <c r="AD840" s="222">
        <v>0</v>
      </c>
      <c r="AE840" s="222">
        <v>280</v>
      </c>
      <c r="AF840" s="221">
        <f>6238.91*AE840/I840</f>
        <v>578.63358728055653</v>
      </c>
      <c r="AG840" s="222">
        <v>0</v>
      </c>
      <c r="AH840" s="221">
        <v>0</v>
      </c>
      <c r="AI840" s="222">
        <v>0</v>
      </c>
      <c r="AJ840" s="221">
        <v>0</v>
      </c>
      <c r="AK840" s="222">
        <v>0</v>
      </c>
      <c r="AL840" s="222">
        <v>0</v>
      </c>
      <c r="AM840" s="222">
        <v>0</v>
      </c>
      <c r="AN840" s="222"/>
      <c r="AO840" s="222">
        <v>0</v>
      </c>
    </row>
    <row r="841" spans="1:41" s="223" customFormat="1" ht="36" customHeight="1" x14ac:dyDescent="0.25">
      <c r="A841" s="223">
        <v>1</v>
      </c>
      <c r="B841" s="225">
        <f>SUBTOTAL(103,$A$552:A841)</f>
        <v>276</v>
      </c>
      <c r="C841" s="215" t="s">
        <v>1213</v>
      </c>
      <c r="D841" s="217">
        <v>1958</v>
      </c>
      <c r="E841" s="217"/>
      <c r="F841" s="226" t="s">
        <v>267</v>
      </c>
      <c r="G841" s="217">
        <v>2</v>
      </c>
      <c r="H841" s="217" t="s">
        <v>303</v>
      </c>
      <c r="I841" s="218">
        <v>482.5</v>
      </c>
      <c r="J841" s="218">
        <v>430.9</v>
      </c>
      <c r="K841" s="218">
        <v>367.4</v>
      </c>
      <c r="L841" s="219">
        <v>27</v>
      </c>
      <c r="M841" s="217" t="s">
        <v>265</v>
      </c>
      <c r="N841" s="217" t="s">
        <v>269</v>
      </c>
      <c r="O841" s="220" t="s">
        <v>333</v>
      </c>
      <c r="P841" s="190">
        <v>1802551.0299999998</v>
      </c>
      <c r="Q841" s="190">
        <v>0</v>
      </c>
      <c r="R841" s="190">
        <v>0</v>
      </c>
      <c r="S841" s="190">
        <f t="shared" si="103"/>
        <v>1802551.0299999998</v>
      </c>
      <c r="T841" s="190">
        <f t="shared" si="93"/>
        <v>3735.8570569948183</v>
      </c>
      <c r="U841" s="190">
        <v>5900.6680414507764</v>
      </c>
      <c r="V841" s="221">
        <f t="shared" si="102"/>
        <v>2164.8109844559581</v>
      </c>
      <c r="W841" s="221">
        <f t="shared" si="104"/>
        <v>18139.11767875648</v>
      </c>
      <c r="X841" s="221">
        <v>0</v>
      </c>
      <c r="Y841" s="222">
        <v>0</v>
      </c>
      <c r="Z841" s="222">
        <v>0</v>
      </c>
      <c r="AA841" s="222">
        <v>0</v>
      </c>
      <c r="AB841" s="222">
        <v>0</v>
      </c>
      <c r="AC841" s="222">
        <v>0</v>
      </c>
      <c r="AD841" s="222">
        <v>0</v>
      </c>
      <c r="AE841" s="222">
        <v>0</v>
      </c>
      <c r="AF841" s="221">
        <v>0</v>
      </c>
      <c r="AG841" s="222">
        <v>0</v>
      </c>
      <c r="AH841" s="221">
        <v>0</v>
      </c>
      <c r="AI841" s="222">
        <v>0</v>
      </c>
      <c r="AJ841" s="221">
        <v>0</v>
      </c>
      <c r="AK841" s="222">
        <v>114</v>
      </c>
      <c r="AL841" s="221">
        <f>76773.02*AK841/I841</f>
        <v>18139.11767875648</v>
      </c>
      <c r="AM841" s="222">
        <v>0</v>
      </c>
      <c r="AN841" s="222"/>
      <c r="AO841" s="222">
        <v>0</v>
      </c>
    </row>
    <row r="842" spans="1:41" s="223" customFormat="1" ht="36" customHeight="1" x14ac:dyDescent="0.25">
      <c r="A842" s="223">
        <v>1</v>
      </c>
      <c r="B842" s="225">
        <f>SUBTOTAL(103,$A$552:A842)</f>
        <v>277</v>
      </c>
      <c r="C842" s="215" t="s">
        <v>1580</v>
      </c>
      <c r="D842" s="217">
        <v>1958</v>
      </c>
      <c r="E842" s="217"/>
      <c r="F842" s="226" t="s">
        <v>330</v>
      </c>
      <c r="G842" s="217">
        <v>2</v>
      </c>
      <c r="H842" s="217" t="s">
        <v>304</v>
      </c>
      <c r="I842" s="190">
        <v>658</v>
      </c>
      <c r="J842" s="190">
        <v>250.1</v>
      </c>
      <c r="K842" s="190">
        <v>250.1</v>
      </c>
      <c r="L842" s="219">
        <v>21</v>
      </c>
      <c r="M842" s="217" t="s">
        <v>265</v>
      </c>
      <c r="N842" s="217" t="s">
        <v>269</v>
      </c>
      <c r="O842" s="220" t="s">
        <v>333</v>
      </c>
      <c r="P842" s="190">
        <v>1392561.36</v>
      </c>
      <c r="Q842" s="190">
        <v>0</v>
      </c>
      <c r="R842" s="190">
        <v>0</v>
      </c>
      <c r="S842" s="190">
        <f t="shared" si="103"/>
        <v>1392561.36</v>
      </c>
      <c r="T842" s="190">
        <f t="shared" si="93"/>
        <v>2116.3546504559272</v>
      </c>
      <c r="U842" s="190">
        <v>2285.4679848024316</v>
      </c>
      <c r="V842" s="221">
        <f t="shared" si="102"/>
        <v>169.11333434650442</v>
      </c>
      <c r="W842" s="221">
        <f t="shared" si="104"/>
        <v>6305.2813829787228</v>
      </c>
      <c r="X842" s="221">
        <v>0</v>
      </c>
      <c r="Y842" s="222">
        <v>0</v>
      </c>
      <c r="Z842" s="222">
        <v>0</v>
      </c>
      <c r="AA842" s="222">
        <v>0</v>
      </c>
      <c r="AB842" s="222">
        <v>0</v>
      </c>
      <c r="AC842" s="222">
        <v>0</v>
      </c>
      <c r="AD842" s="222">
        <v>0</v>
      </c>
      <c r="AE842" s="222">
        <v>665</v>
      </c>
      <c r="AF842" s="221">
        <f>6238.91*AE842/I842</f>
        <v>6305.2813829787228</v>
      </c>
      <c r="AG842" s="222">
        <v>0</v>
      </c>
      <c r="AH842" s="221">
        <v>0</v>
      </c>
      <c r="AI842" s="222">
        <v>0</v>
      </c>
      <c r="AJ842" s="221">
        <v>0</v>
      </c>
      <c r="AK842" s="222">
        <v>0</v>
      </c>
      <c r="AL842" s="222">
        <v>0</v>
      </c>
      <c r="AM842" s="222">
        <v>0</v>
      </c>
      <c r="AN842" s="222"/>
      <c r="AO842" s="222">
        <v>0</v>
      </c>
    </row>
    <row r="843" spans="1:41" s="223" customFormat="1" ht="36" customHeight="1" x14ac:dyDescent="0.25">
      <c r="B843" s="215" t="s">
        <v>1278</v>
      </c>
      <c r="C843" s="215"/>
      <c r="D843" s="217" t="s">
        <v>890</v>
      </c>
      <c r="E843" s="217" t="s">
        <v>890</v>
      </c>
      <c r="F843" s="217" t="s">
        <v>890</v>
      </c>
      <c r="G843" s="217" t="s">
        <v>890</v>
      </c>
      <c r="H843" s="217" t="s">
        <v>890</v>
      </c>
      <c r="I843" s="218">
        <f>SUM(I844:I845)</f>
        <v>1813.6000000000001</v>
      </c>
      <c r="J843" s="218">
        <f>SUM(J844:J845)</f>
        <v>1627.1000000000001</v>
      </c>
      <c r="K843" s="218">
        <f>SUM(K844:K845)</f>
        <v>1572.5000000000002</v>
      </c>
      <c r="L843" s="219">
        <f>SUM(L844:L845)</f>
        <v>68</v>
      </c>
      <c r="M843" s="217" t="s">
        <v>890</v>
      </c>
      <c r="N843" s="217" t="s">
        <v>890</v>
      </c>
      <c r="O843" s="220" t="s">
        <v>890</v>
      </c>
      <c r="P843" s="190">
        <v>5767392.7699999996</v>
      </c>
      <c r="Q843" s="190">
        <f>SUM(Q844:Q845)</f>
        <v>0</v>
      </c>
      <c r="R843" s="190">
        <f>SUM(R844:R845)</f>
        <v>0</v>
      </c>
      <c r="S843" s="190">
        <f>SUM(S844:S845)</f>
        <v>5767392.7699999996</v>
      </c>
      <c r="T843" s="190">
        <f t="shared" si="93"/>
        <v>3180.079824658138</v>
      </c>
      <c r="U843" s="190">
        <f>MAX(U844:U845)</f>
        <v>7527.0909833061887</v>
      </c>
      <c r="V843" s="221">
        <f t="shared" si="102"/>
        <v>4347.0111586480507</v>
      </c>
      <c r="W843" s="221"/>
      <c r="X843" s="221"/>
      <c r="Y843" s="222"/>
      <c r="Z843" s="222"/>
      <c r="AA843" s="222"/>
      <c r="AB843" s="222"/>
      <c r="AC843" s="222"/>
      <c r="AD843" s="222"/>
      <c r="AE843" s="222"/>
      <c r="AF843" s="222"/>
      <c r="AG843" s="222"/>
      <c r="AH843" s="222"/>
      <c r="AI843" s="222"/>
      <c r="AJ843" s="222"/>
      <c r="AK843" s="222"/>
      <c r="AL843" s="222"/>
      <c r="AM843" s="222"/>
      <c r="AN843" s="222"/>
      <c r="AO843" s="222"/>
    </row>
    <row r="844" spans="1:41" s="223" customFormat="1" ht="36" customHeight="1" x14ac:dyDescent="0.25">
      <c r="A844" s="223">
        <v>1</v>
      </c>
      <c r="B844" s="225">
        <f>SUBTOTAL(103,$A$552:A844)</f>
        <v>278</v>
      </c>
      <c r="C844" s="215" t="s">
        <v>1279</v>
      </c>
      <c r="D844" s="217">
        <v>1981</v>
      </c>
      <c r="E844" s="217"/>
      <c r="F844" s="226" t="s">
        <v>318</v>
      </c>
      <c r="G844" s="217">
        <v>2</v>
      </c>
      <c r="H844" s="217" t="s">
        <v>308</v>
      </c>
      <c r="I844" s="218">
        <v>1322.4</v>
      </c>
      <c r="J844" s="218">
        <v>1191.4000000000001</v>
      </c>
      <c r="K844" s="218">
        <v>1136.8000000000002</v>
      </c>
      <c r="L844" s="219">
        <v>36</v>
      </c>
      <c r="M844" s="217" t="s">
        <v>265</v>
      </c>
      <c r="N844" s="217" t="s">
        <v>266</v>
      </c>
      <c r="O844" s="220" t="s">
        <v>268</v>
      </c>
      <c r="P844" s="190">
        <v>3233020.45</v>
      </c>
      <c r="Q844" s="190">
        <v>0</v>
      </c>
      <c r="R844" s="190">
        <v>0</v>
      </c>
      <c r="S844" s="190">
        <f>P844-Q844-R844</f>
        <v>3233020.45</v>
      </c>
      <c r="T844" s="190">
        <f t="shared" si="93"/>
        <v>2444.8128024803386</v>
      </c>
      <c r="U844" s="190">
        <v>4970.2106470054441</v>
      </c>
      <c r="V844" s="221">
        <f t="shared" si="102"/>
        <v>2525.3978445251055</v>
      </c>
      <c r="W844" s="221">
        <f>X844+Y844+Z844+AA844+AB844+AD844+AF844+AH844+AJ844+AL844+AN844+AO844</f>
        <v>4970.2106470054441</v>
      </c>
      <c r="X844" s="221">
        <v>0</v>
      </c>
      <c r="Y844" s="222">
        <v>0</v>
      </c>
      <c r="Z844" s="222">
        <v>0</v>
      </c>
      <c r="AA844" s="222">
        <v>0</v>
      </c>
      <c r="AB844" s="222">
        <v>0</v>
      </c>
      <c r="AC844" s="222">
        <v>0</v>
      </c>
      <c r="AD844" s="222">
        <v>0</v>
      </c>
      <c r="AE844" s="222">
        <v>0</v>
      </c>
      <c r="AF844" s="221">
        <v>0</v>
      </c>
      <c r="AG844" s="222">
        <v>0</v>
      </c>
      <c r="AH844" s="221">
        <v>0</v>
      </c>
      <c r="AI844" s="222">
        <v>842.36</v>
      </c>
      <c r="AJ844" s="221">
        <f>7802.61*AI844/I844</f>
        <v>4970.2106470054441</v>
      </c>
      <c r="AK844" s="222">
        <v>0</v>
      </c>
      <c r="AL844" s="222">
        <v>0</v>
      </c>
      <c r="AM844" s="222">
        <v>0</v>
      </c>
      <c r="AN844" s="222"/>
      <c r="AO844" s="222">
        <v>0</v>
      </c>
    </row>
    <row r="845" spans="1:41" s="223" customFormat="1" ht="36" customHeight="1" x14ac:dyDescent="0.25">
      <c r="A845" s="223">
        <v>1</v>
      </c>
      <c r="B845" s="225">
        <f>SUBTOTAL(103,$A$552:A845)</f>
        <v>279</v>
      </c>
      <c r="C845" s="215" t="s">
        <v>1216</v>
      </c>
      <c r="D845" s="217">
        <v>1967</v>
      </c>
      <c r="E845" s="217"/>
      <c r="F845" s="226" t="s">
        <v>267</v>
      </c>
      <c r="G845" s="217">
        <v>2</v>
      </c>
      <c r="H845" s="217" t="s">
        <v>303</v>
      </c>
      <c r="I845" s="190">
        <v>491.2</v>
      </c>
      <c r="J845" s="190">
        <v>435.7</v>
      </c>
      <c r="K845" s="190">
        <v>435.7</v>
      </c>
      <c r="L845" s="219">
        <v>32</v>
      </c>
      <c r="M845" s="217" t="s">
        <v>265</v>
      </c>
      <c r="N845" s="217" t="s">
        <v>266</v>
      </c>
      <c r="O845" s="220" t="s">
        <v>268</v>
      </c>
      <c r="P845" s="190">
        <v>2534372.3199999998</v>
      </c>
      <c r="Q845" s="190">
        <v>0</v>
      </c>
      <c r="R845" s="190">
        <v>0</v>
      </c>
      <c r="S845" s="190">
        <f>P845-Q845-R845</f>
        <v>2534372.3199999998</v>
      </c>
      <c r="T845" s="190">
        <f t="shared" ref="T845:T908" si="105">P845/I845</f>
        <v>5159.5527687296417</v>
      </c>
      <c r="U845" s="190">
        <v>7527.0909833061887</v>
      </c>
      <c r="V845" s="221">
        <f t="shared" si="102"/>
        <v>2367.538214576547</v>
      </c>
      <c r="W845" s="221">
        <f>X845+Y845+Z845+AA845+AB845+AD845+AF845+AH845+AJ845+AL845+AN845+AO845</f>
        <v>7526.9395358306192</v>
      </c>
      <c r="X845" s="221">
        <v>0</v>
      </c>
      <c r="Y845" s="222">
        <v>0</v>
      </c>
      <c r="Z845" s="222">
        <v>0</v>
      </c>
      <c r="AA845" s="222">
        <v>0</v>
      </c>
      <c r="AB845" s="222">
        <v>0</v>
      </c>
      <c r="AC845" s="222">
        <v>0</v>
      </c>
      <c r="AD845" s="222">
        <v>0</v>
      </c>
      <c r="AE845" s="222">
        <v>0</v>
      </c>
      <c r="AF845" s="221">
        <v>0</v>
      </c>
      <c r="AG845" s="222">
        <v>0</v>
      </c>
      <c r="AH845" s="221">
        <v>0</v>
      </c>
      <c r="AI845" s="222">
        <v>497</v>
      </c>
      <c r="AJ845" s="221">
        <f>7439.1*AI845/I845</f>
        <v>7526.9395358306192</v>
      </c>
      <c r="AK845" s="222">
        <v>0</v>
      </c>
      <c r="AL845" s="222">
        <v>0</v>
      </c>
      <c r="AM845" s="222">
        <v>0</v>
      </c>
      <c r="AN845" s="222"/>
      <c r="AO845" s="222">
        <v>0</v>
      </c>
    </row>
    <row r="846" spans="1:41" s="223" customFormat="1" ht="36" customHeight="1" x14ac:dyDescent="0.25">
      <c r="B846" s="215" t="s">
        <v>825</v>
      </c>
      <c r="C846" s="215"/>
      <c r="D846" s="217" t="s">
        <v>890</v>
      </c>
      <c r="E846" s="217" t="s">
        <v>890</v>
      </c>
      <c r="F846" s="217" t="s">
        <v>890</v>
      </c>
      <c r="G846" s="217" t="s">
        <v>890</v>
      </c>
      <c r="H846" s="217" t="s">
        <v>890</v>
      </c>
      <c r="I846" s="218">
        <f>SUM(I847:I848)</f>
        <v>768.40000000000009</v>
      </c>
      <c r="J846" s="218">
        <f>SUM(J847:J848)</f>
        <v>694.8</v>
      </c>
      <c r="K846" s="218">
        <f>SUM(K847:K848)</f>
        <v>662.09999999999991</v>
      </c>
      <c r="L846" s="219">
        <f>SUM(L847:L848)</f>
        <v>34</v>
      </c>
      <c r="M846" s="217" t="s">
        <v>890</v>
      </c>
      <c r="N846" s="217" t="s">
        <v>890</v>
      </c>
      <c r="O846" s="220" t="s">
        <v>890</v>
      </c>
      <c r="P846" s="190">
        <v>1924810.92</v>
      </c>
      <c r="Q846" s="190">
        <f>SUM(Q847:Q848)</f>
        <v>0</v>
      </c>
      <c r="R846" s="190">
        <f>SUM(R847:R848)</f>
        <v>0</v>
      </c>
      <c r="S846" s="190">
        <f>SUM(S847:S848)</f>
        <v>1924810.92</v>
      </c>
      <c r="T846" s="190">
        <f t="shared" si="105"/>
        <v>2504.9595523165012</v>
      </c>
      <c r="U846" s="190">
        <f>MAX(U847:U848)</f>
        <v>7139.2922776911082</v>
      </c>
      <c r="V846" s="221">
        <f>U846-T846</f>
        <v>4634.3327253746065</v>
      </c>
      <c r="W846" s="221"/>
      <c r="X846" s="221"/>
      <c r="Y846" s="222"/>
      <c r="Z846" s="222"/>
      <c r="AA846" s="222"/>
      <c r="AB846" s="222"/>
      <c r="AC846" s="222"/>
      <c r="AD846" s="222"/>
      <c r="AE846" s="222"/>
      <c r="AF846" s="222"/>
      <c r="AG846" s="222"/>
      <c r="AH846" s="222"/>
      <c r="AI846" s="222"/>
      <c r="AJ846" s="222"/>
      <c r="AK846" s="222"/>
      <c r="AL846" s="222"/>
      <c r="AM846" s="222"/>
      <c r="AN846" s="222"/>
      <c r="AO846" s="222"/>
    </row>
    <row r="847" spans="1:41" s="223" customFormat="1" ht="36" customHeight="1" x14ac:dyDescent="0.25">
      <c r="A847" s="223">
        <v>1</v>
      </c>
      <c r="B847" s="225">
        <f>SUBTOTAL(103,$A$552:A847)</f>
        <v>280</v>
      </c>
      <c r="C847" s="215" t="s">
        <v>1217</v>
      </c>
      <c r="D847" s="217">
        <v>1973</v>
      </c>
      <c r="E847" s="217"/>
      <c r="F847" s="226" t="s">
        <v>267</v>
      </c>
      <c r="G847" s="217">
        <v>2</v>
      </c>
      <c r="H847" s="217" t="s">
        <v>304</v>
      </c>
      <c r="I847" s="190">
        <v>383.8</v>
      </c>
      <c r="J847" s="190">
        <v>334.9</v>
      </c>
      <c r="K847" s="190">
        <v>302.2</v>
      </c>
      <c r="L847" s="219">
        <v>16</v>
      </c>
      <c r="M847" s="217" t="s">
        <v>265</v>
      </c>
      <c r="N847" s="217" t="s">
        <v>266</v>
      </c>
      <c r="O847" s="220" t="s">
        <v>268</v>
      </c>
      <c r="P847" s="190">
        <v>383818.77</v>
      </c>
      <c r="Q847" s="190">
        <v>0</v>
      </c>
      <c r="R847" s="190">
        <v>0</v>
      </c>
      <c r="S847" s="190">
        <f>P847-Q847-R847</f>
        <v>383818.77</v>
      </c>
      <c r="T847" s="190">
        <f t="shared" si="105"/>
        <v>1000.0489056800417</v>
      </c>
      <c r="U847" s="190">
        <v>3660.6590932777485</v>
      </c>
      <c r="V847" s="221">
        <f>U847-T847</f>
        <v>2660.610187597707</v>
      </c>
      <c r="W847" s="221">
        <f>X847+Y847+Z847+AA847+AB847+AD847+AF847+AH847+AJ847+AL847+AN847+AO847</f>
        <v>9633.2274622199056</v>
      </c>
      <c r="X847" s="221">
        <v>0</v>
      </c>
      <c r="Y847" s="222">
        <v>0</v>
      </c>
      <c r="Z847" s="222">
        <v>0</v>
      </c>
      <c r="AA847" s="222">
        <v>0</v>
      </c>
      <c r="AB847" s="222">
        <v>0</v>
      </c>
      <c r="AC847" s="222">
        <v>0</v>
      </c>
      <c r="AD847" s="222">
        <v>0</v>
      </c>
      <c r="AE847" s="222">
        <v>0</v>
      </c>
      <c r="AF847" s="221">
        <v>0</v>
      </c>
      <c r="AG847" s="222">
        <v>0</v>
      </c>
      <c r="AH847" s="221">
        <v>0</v>
      </c>
      <c r="AI847" s="222">
        <v>497</v>
      </c>
      <c r="AJ847" s="221">
        <f>7439.1*AI847/I847</f>
        <v>9633.2274622199056</v>
      </c>
      <c r="AK847" s="222">
        <v>0</v>
      </c>
      <c r="AL847" s="222">
        <v>0</v>
      </c>
      <c r="AM847" s="222">
        <v>0</v>
      </c>
      <c r="AN847" s="222"/>
      <c r="AO847" s="222">
        <v>0</v>
      </c>
    </row>
    <row r="848" spans="1:41" s="223" customFormat="1" ht="36" customHeight="1" x14ac:dyDescent="0.25">
      <c r="A848" s="223">
        <v>1</v>
      </c>
      <c r="B848" s="225">
        <f>SUBTOTAL(103,$A$552:A848)</f>
        <v>281</v>
      </c>
      <c r="C848" s="215" t="s">
        <v>244</v>
      </c>
      <c r="D848" s="217">
        <v>1969</v>
      </c>
      <c r="E848" s="217"/>
      <c r="F848" s="226" t="s">
        <v>267</v>
      </c>
      <c r="G848" s="217">
        <v>2</v>
      </c>
      <c r="H848" s="217" t="s">
        <v>304</v>
      </c>
      <c r="I848" s="190">
        <v>384.6</v>
      </c>
      <c r="J848" s="190">
        <v>359.9</v>
      </c>
      <c r="K848" s="190">
        <v>359.9</v>
      </c>
      <c r="L848" s="219">
        <v>18</v>
      </c>
      <c r="M848" s="217" t="s">
        <v>265</v>
      </c>
      <c r="N848" s="217" t="s">
        <v>266</v>
      </c>
      <c r="O848" s="220" t="s">
        <v>268</v>
      </c>
      <c r="P848" s="190">
        <v>1540992.15</v>
      </c>
      <c r="Q848" s="190">
        <v>0</v>
      </c>
      <c r="R848" s="190">
        <v>0</v>
      </c>
      <c r="S848" s="190">
        <f>P848-Q848-R848</f>
        <v>1540992.15</v>
      </c>
      <c r="T848" s="190">
        <f t="shared" si="105"/>
        <v>4006.7398595943832</v>
      </c>
      <c r="U848" s="190">
        <v>7139.2922776911082</v>
      </c>
      <c r="V848" s="221">
        <f>U848-T848</f>
        <v>3132.552418096725</v>
      </c>
      <c r="W848" s="221">
        <f>X848+Y848+Z848+AA848+AB848+AD848+AF848+AH848+AJ848+AL848+AN848+AO848</f>
        <v>9613.1895475819038</v>
      </c>
      <c r="X848" s="221">
        <v>0</v>
      </c>
      <c r="Y848" s="222">
        <v>0</v>
      </c>
      <c r="Z848" s="222">
        <v>0</v>
      </c>
      <c r="AA848" s="222">
        <v>0</v>
      </c>
      <c r="AB848" s="222">
        <v>0</v>
      </c>
      <c r="AC848" s="222">
        <v>0</v>
      </c>
      <c r="AD848" s="222">
        <v>0</v>
      </c>
      <c r="AE848" s="222">
        <v>0</v>
      </c>
      <c r="AF848" s="221">
        <v>0</v>
      </c>
      <c r="AG848" s="222">
        <v>0</v>
      </c>
      <c r="AH848" s="221">
        <v>0</v>
      </c>
      <c r="AI848" s="222">
        <v>497</v>
      </c>
      <c r="AJ848" s="221">
        <f>7439.1*AI848/I848</f>
        <v>9613.1895475819038</v>
      </c>
      <c r="AK848" s="222">
        <v>0</v>
      </c>
      <c r="AL848" s="222">
        <v>0</v>
      </c>
      <c r="AM848" s="222">
        <v>0</v>
      </c>
      <c r="AN848" s="222"/>
      <c r="AO848" s="222">
        <v>0</v>
      </c>
    </row>
    <row r="849" spans="1:41" s="223" customFormat="1" ht="36" customHeight="1" x14ac:dyDescent="0.25">
      <c r="B849" s="215" t="s">
        <v>867</v>
      </c>
      <c r="C849" s="215"/>
      <c r="D849" s="217" t="s">
        <v>890</v>
      </c>
      <c r="E849" s="217" t="s">
        <v>890</v>
      </c>
      <c r="F849" s="217" t="s">
        <v>890</v>
      </c>
      <c r="G849" s="217" t="s">
        <v>890</v>
      </c>
      <c r="H849" s="217" t="s">
        <v>890</v>
      </c>
      <c r="I849" s="218">
        <f>I850</f>
        <v>924.3</v>
      </c>
      <c r="J849" s="218">
        <f>J850</f>
        <v>558.9</v>
      </c>
      <c r="K849" s="218">
        <f>K850</f>
        <v>527.1</v>
      </c>
      <c r="L849" s="219">
        <f>L850</f>
        <v>22</v>
      </c>
      <c r="M849" s="217" t="s">
        <v>890</v>
      </c>
      <c r="N849" s="217" t="s">
        <v>890</v>
      </c>
      <c r="O849" s="220" t="s">
        <v>890</v>
      </c>
      <c r="P849" s="190">
        <v>2192210.02</v>
      </c>
      <c r="Q849" s="190">
        <f>Q850</f>
        <v>0</v>
      </c>
      <c r="R849" s="190">
        <f>R850</f>
        <v>0</v>
      </c>
      <c r="S849" s="190">
        <f>S850</f>
        <v>2192210.02</v>
      </c>
      <c r="T849" s="190">
        <f t="shared" si="105"/>
        <v>2371.7516174402253</v>
      </c>
      <c r="U849" s="190">
        <f>U850</f>
        <v>3113.3884453099645</v>
      </c>
      <c r="V849" s="221">
        <f t="shared" si="102"/>
        <v>741.63682786973914</v>
      </c>
      <c r="W849" s="221"/>
      <c r="X849" s="221"/>
      <c r="Y849" s="222"/>
      <c r="Z849" s="222"/>
      <c r="AA849" s="222"/>
      <c r="AB849" s="222"/>
      <c r="AC849" s="222"/>
      <c r="AD849" s="222"/>
      <c r="AE849" s="222"/>
      <c r="AF849" s="222"/>
      <c r="AG849" s="222"/>
      <c r="AH849" s="222"/>
      <c r="AI849" s="222"/>
      <c r="AJ849" s="222"/>
      <c r="AK849" s="222"/>
      <c r="AL849" s="222"/>
      <c r="AM849" s="222"/>
      <c r="AN849" s="222"/>
      <c r="AO849" s="222"/>
    </row>
    <row r="850" spans="1:41" s="223" customFormat="1" ht="36" customHeight="1" x14ac:dyDescent="0.25">
      <c r="A850" s="223">
        <v>1</v>
      </c>
      <c r="B850" s="225">
        <f>SUBTOTAL(103,$A$552:A850)</f>
        <v>282</v>
      </c>
      <c r="C850" s="215" t="s">
        <v>242</v>
      </c>
      <c r="D850" s="217">
        <v>1986</v>
      </c>
      <c r="E850" s="217"/>
      <c r="F850" s="226" t="s">
        <v>311</v>
      </c>
      <c r="G850" s="217">
        <v>2</v>
      </c>
      <c r="H850" s="217" t="s">
        <v>303</v>
      </c>
      <c r="I850" s="218">
        <v>924.3</v>
      </c>
      <c r="J850" s="218">
        <v>558.9</v>
      </c>
      <c r="K850" s="218">
        <v>527.1</v>
      </c>
      <c r="L850" s="219">
        <v>22</v>
      </c>
      <c r="M850" s="217" t="s">
        <v>265</v>
      </c>
      <c r="N850" s="217" t="s">
        <v>266</v>
      </c>
      <c r="O850" s="220" t="s">
        <v>268</v>
      </c>
      <c r="P850" s="190">
        <v>2192210.02</v>
      </c>
      <c r="Q850" s="190">
        <v>0</v>
      </c>
      <c r="R850" s="190">
        <v>0</v>
      </c>
      <c r="S850" s="190">
        <f>P850-Q850-R850</f>
        <v>2192210.02</v>
      </c>
      <c r="T850" s="190">
        <f t="shared" si="105"/>
        <v>2371.7516174402253</v>
      </c>
      <c r="U850" s="190">
        <v>3113.3884453099645</v>
      </c>
      <c r="V850" s="221">
        <f>U850-T850</f>
        <v>741.63682786973914</v>
      </c>
      <c r="W850" s="221">
        <f>X850+Y850+Z850+AA850+AB850+AD850+AF850+AH850+AJ850+AL850+AN850+AO850</f>
        <v>2984.7949821486532</v>
      </c>
      <c r="X850" s="221">
        <v>0</v>
      </c>
      <c r="Y850" s="222">
        <v>0</v>
      </c>
      <c r="Z850" s="222">
        <v>0</v>
      </c>
      <c r="AA850" s="222">
        <v>0</v>
      </c>
      <c r="AB850" s="222">
        <v>0</v>
      </c>
      <c r="AC850" s="222">
        <v>0</v>
      </c>
      <c r="AD850" s="222">
        <v>0</v>
      </c>
      <c r="AE850" s="222">
        <v>442.2</v>
      </c>
      <c r="AF850" s="221">
        <f>6238.91*AE850/I850</f>
        <v>2984.7949821486532</v>
      </c>
      <c r="AG850" s="222">
        <v>0</v>
      </c>
      <c r="AH850" s="221">
        <v>0</v>
      </c>
      <c r="AI850" s="222">
        <v>0</v>
      </c>
      <c r="AJ850" s="221">
        <v>0</v>
      </c>
      <c r="AK850" s="222">
        <v>0</v>
      </c>
      <c r="AL850" s="222">
        <v>0</v>
      </c>
      <c r="AM850" s="222">
        <v>0</v>
      </c>
      <c r="AN850" s="222"/>
      <c r="AO850" s="222">
        <v>0</v>
      </c>
    </row>
    <row r="851" spans="1:41" s="223" customFormat="1" ht="36" customHeight="1" x14ac:dyDescent="0.25">
      <c r="B851" s="215" t="s">
        <v>827</v>
      </c>
      <c r="C851" s="229"/>
      <c r="D851" s="217" t="s">
        <v>890</v>
      </c>
      <c r="E851" s="217" t="s">
        <v>890</v>
      </c>
      <c r="F851" s="217" t="s">
        <v>890</v>
      </c>
      <c r="G851" s="217" t="s">
        <v>890</v>
      </c>
      <c r="H851" s="217" t="s">
        <v>890</v>
      </c>
      <c r="I851" s="218">
        <f>I852</f>
        <v>467.8</v>
      </c>
      <c r="J851" s="218">
        <f>J852</f>
        <v>430.5</v>
      </c>
      <c r="K851" s="218">
        <f>K852</f>
        <v>430.5</v>
      </c>
      <c r="L851" s="219">
        <f>L852</f>
        <v>24</v>
      </c>
      <c r="M851" s="217" t="s">
        <v>890</v>
      </c>
      <c r="N851" s="217" t="s">
        <v>890</v>
      </c>
      <c r="O851" s="220" t="s">
        <v>890</v>
      </c>
      <c r="P851" s="190">
        <v>2662852.27</v>
      </c>
      <c r="Q851" s="190">
        <f>Q852</f>
        <v>0</v>
      </c>
      <c r="R851" s="190">
        <f>R852</f>
        <v>0</v>
      </c>
      <c r="S851" s="190">
        <f>S852</f>
        <v>2662852.27</v>
      </c>
      <c r="T851" s="190">
        <f t="shared" si="105"/>
        <v>5692.2878794356566</v>
      </c>
      <c r="U851" s="190">
        <f>U852</f>
        <v>5884.4743480119714</v>
      </c>
      <c r="V851" s="221">
        <f>U851-T851</f>
        <v>192.18646857631484</v>
      </c>
      <c r="W851" s="221"/>
      <c r="X851" s="221"/>
      <c r="Y851" s="222"/>
      <c r="Z851" s="222"/>
      <c r="AA851" s="222"/>
      <c r="AB851" s="222"/>
      <c r="AC851" s="222"/>
      <c r="AD851" s="222"/>
      <c r="AE851" s="222"/>
      <c r="AF851" s="222"/>
      <c r="AG851" s="222"/>
      <c r="AH851" s="222"/>
      <c r="AI851" s="222"/>
      <c r="AJ851" s="222"/>
      <c r="AK851" s="222"/>
      <c r="AL851" s="222"/>
      <c r="AM851" s="222"/>
      <c r="AN851" s="222"/>
      <c r="AO851" s="222"/>
    </row>
    <row r="852" spans="1:41" s="223" customFormat="1" ht="36" customHeight="1" x14ac:dyDescent="0.25">
      <c r="A852" s="223">
        <v>1</v>
      </c>
      <c r="B852" s="225">
        <f>SUBTOTAL(103,$A$552:A852)</f>
        <v>283</v>
      </c>
      <c r="C852" s="230" t="s">
        <v>2287</v>
      </c>
      <c r="D852" s="217">
        <v>1980</v>
      </c>
      <c r="E852" s="217"/>
      <c r="F852" s="226" t="s">
        <v>267</v>
      </c>
      <c r="G852" s="217">
        <v>2</v>
      </c>
      <c r="H852" s="217">
        <v>1</v>
      </c>
      <c r="I852" s="218">
        <v>467.8</v>
      </c>
      <c r="J852" s="218">
        <v>430.5</v>
      </c>
      <c r="K852" s="218">
        <v>430.5</v>
      </c>
      <c r="L852" s="219">
        <v>24</v>
      </c>
      <c r="M852" s="217" t="s">
        <v>265</v>
      </c>
      <c r="N852" s="217" t="s">
        <v>266</v>
      </c>
      <c r="O852" s="220" t="s">
        <v>268</v>
      </c>
      <c r="P852" s="190">
        <v>2662852.27</v>
      </c>
      <c r="Q852" s="190">
        <v>0</v>
      </c>
      <c r="R852" s="190">
        <v>0</v>
      </c>
      <c r="S852" s="190">
        <f>P852-Q852-R852</f>
        <v>2662852.27</v>
      </c>
      <c r="T852" s="190">
        <f t="shared" si="105"/>
        <v>5692.2878794356566</v>
      </c>
      <c r="U852" s="190">
        <v>5884.4743480119714</v>
      </c>
      <c r="V852" s="221">
        <f>U852-T852</f>
        <v>192.18646857631484</v>
      </c>
      <c r="W852" s="221">
        <f>X852+Y852+Z852+AA852+AB852+AD852+AF852+AH852+AJ852+AL852+AN852+AO852</f>
        <v>6668.3518597691318</v>
      </c>
      <c r="X852" s="221">
        <v>0</v>
      </c>
      <c r="Y852" s="222">
        <v>0</v>
      </c>
      <c r="Z852" s="222">
        <v>0</v>
      </c>
      <c r="AA852" s="222">
        <v>0</v>
      </c>
      <c r="AB852" s="222">
        <v>0</v>
      </c>
      <c r="AC852" s="222">
        <v>0</v>
      </c>
      <c r="AD852" s="222">
        <v>0</v>
      </c>
      <c r="AE852" s="222">
        <v>500</v>
      </c>
      <c r="AF852" s="221">
        <f>6238.91*AE852/I852</f>
        <v>6668.3518597691318</v>
      </c>
      <c r="AG852" s="222">
        <v>0</v>
      </c>
      <c r="AH852" s="221">
        <v>0</v>
      </c>
      <c r="AI852" s="222">
        <v>0</v>
      </c>
      <c r="AJ852" s="221">
        <v>0</v>
      </c>
      <c r="AK852" s="222">
        <v>0</v>
      </c>
      <c r="AL852" s="222">
        <v>0</v>
      </c>
      <c r="AM852" s="222">
        <v>0</v>
      </c>
      <c r="AN852" s="222"/>
      <c r="AO852" s="222">
        <v>0</v>
      </c>
    </row>
    <row r="853" spans="1:41" s="223" customFormat="1" ht="36" customHeight="1" x14ac:dyDescent="0.25">
      <c r="B853" s="215" t="s">
        <v>868</v>
      </c>
      <c r="C853" s="229"/>
      <c r="D853" s="217" t="s">
        <v>890</v>
      </c>
      <c r="E853" s="217" t="s">
        <v>890</v>
      </c>
      <c r="F853" s="217" t="s">
        <v>890</v>
      </c>
      <c r="G853" s="217" t="s">
        <v>890</v>
      </c>
      <c r="H853" s="217" t="s">
        <v>890</v>
      </c>
      <c r="I853" s="218">
        <f>I854</f>
        <v>672</v>
      </c>
      <c r="J853" s="218">
        <f>J854</f>
        <v>625.9</v>
      </c>
      <c r="K853" s="218">
        <f>K854</f>
        <v>453.4</v>
      </c>
      <c r="L853" s="219">
        <f>L854</f>
        <v>35</v>
      </c>
      <c r="M853" s="217" t="s">
        <v>890</v>
      </c>
      <c r="N853" s="217" t="s">
        <v>890</v>
      </c>
      <c r="O853" s="220" t="s">
        <v>890</v>
      </c>
      <c r="P853" s="190">
        <v>2610900</v>
      </c>
      <c r="Q853" s="190">
        <f>Q854</f>
        <v>0</v>
      </c>
      <c r="R853" s="190">
        <f>R854</f>
        <v>0</v>
      </c>
      <c r="S853" s="190">
        <f>S854</f>
        <v>2610900</v>
      </c>
      <c r="T853" s="190">
        <f t="shared" si="105"/>
        <v>3885.2678571428573</v>
      </c>
      <c r="U853" s="190">
        <f>U854</f>
        <v>4842.0386904761908</v>
      </c>
      <c r="V853" s="221">
        <f t="shared" si="102"/>
        <v>956.77083333333348</v>
      </c>
      <c r="W853" s="221"/>
      <c r="X853" s="221"/>
      <c r="Y853" s="222"/>
      <c r="Z853" s="222"/>
      <c r="AA853" s="222"/>
      <c r="AB853" s="222"/>
      <c r="AC853" s="222"/>
      <c r="AD853" s="222"/>
      <c r="AE853" s="222"/>
      <c r="AF853" s="222"/>
      <c r="AG853" s="222"/>
      <c r="AH853" s="222"/>
      <c r="AI853" s="222"/>
      <c r="AJ853" s="222"/>
      <c r="AK853" s="222"/>
      <c r="AL853" s="222"/>
      <c r="AM853" s="222"/>
      <c r="AN853" s="222"/>
      <c r="AO853" s="222"/>
    </row>
    <row r="854" spans="1:41" s="223" customFormat="1" ht="36" customHeight="1" x14ac:dyDescent="0.25">
      <c r="A854" s="223">
        <v>1</v>
      </c>
      <c r="B854" s="225">
        <f>SUBTOTAL(103,$A$552:A854)</f>
        <v>284</v>
      </c>
      <c r="C854" s="230" t="s">
        <v>2</v>
      </c>
      <c r="D854" s="217">
        <v>1963</v>
      </c>
      <c r="E854" s="217"/>
      <c r="F854" s="226" t="s">
        <v>267</v>
      </c>
      <c r="G854" s="217">
        <v>2</v>
      </c>
      <c r="H854" s="217" t="s">
        <v>303</v>
      </c>
      <c r="I854" s="218">
        <v>672</v>
      </c>
      <c r="J854" s="218">
        <v>625.9</v>
      </c>
      <c r="K854" s="218">
        <v>453.4</v>
      </c>
      <c r="L854" s="219">
        <v>35</v>
      </c>
      <c r="M854" s="217" t="s">
        <v>265</v>
      </c>
      <c r="N854" s="217" t="s">
        <v>266</v>
      </c>
      <c r="O854" s="220" t="s">
        <v>268</v>
      </c>
      <c r="P854" s="190">
        <v>2610900</v>
      </c>
      <c r="Q854" s="190">
        <v>0</v>
      </c>
      <c r="R854" s="190">
        <v>0</v>
      </c>
      <c r="S854" s="190">
        <f>P854-Q854-R854</f>
        <v>2610900</v>
      </c>
      <c r="T854" s="190">
        <f t="shared" si="105"/>
        <v>3885.2678571428573</v>
      </c>
      <c r="U854" s="190">
        <v>4842.0386904761908</v>
      </c>
      <c r="V854" s="221">
        <f>U854-T854</f>
        <v>956.77083333333348</v>
      </c>
      <c r="W854" s="221">
        <f>X854+Y854+Z854+AA854+AB854+AD854+AF854+AH854+AJ854+AL854+AN854+AO854</f>
        <v>4642.0461309523807</v>
      </c>
      <c r="X854" s="221">
        <v>0</v>
      </c>
      <c r="Y854" s="222">
        <v>0</v>
      </c>
      <c r="Z854" s="222">
        <v>0</v>
      </c>
      <c r="AA854" s="222">
        <v>0</v>
      </c>
      <c r="AB854" s="222">
        <v>0</v>
      </c>
      <c r="AC854" s="222">
        <v>0</v>
      </c>
      <c r="AD854" s="222">
        <v>0</v>
      </c>
      <c r="AE854" s="222">
        <v>500</v>
      </c>
      <c r="AF854" s="221">
        <f>6238.91*AE854/I854</f>
        <v>4642.0461309523807</v>
      </c>
      <c r="AG854" s="222">
        <v>0</v>
      </c>
      <c r="AH854" s="221">
        <v>0</v>
      </c>
      <c r="AI854" s="222">
        <v>0</v>
      </c>
      <c r="AJ854" s="221">
        <v>0</v>
      </c>
      <c r="AK854" s="222">
        <v>0</v>
      </c>
      <c r="AL854" s="222">
        <v>0</v>
      </c>
      <c r="AM854" s="222">
        <v>0</v>
      </c>
      <c r="AN854" s="222"/>
      <c r="AO854" s="222">
        <v>0</v>
      </c>
    </row>
    <row r="855" spans="1:41" s="223" customFormat="1" ht="36" customHeight="1" x14ac:dyDescent="0.25">
      <c r="B855" s="215" t="s">
        <v>869</v>
      </c>
      <c r="C855" s="230"/>
      <c r="D855" s="217" t="s">
        <v>890</v>
      </c>
      <c r="E855" s="217" t="s">
        <v>890</v>
      </c>
      <c r="F855" s="217" t="s">
        <v>890</v>
      </c>
      <c r="G855" s="217" t="s">
        <v>890</v>
      </c>
      <c r="H855" s="217" t="s">
        <v>890</v>
      </c>
      <c r="I855" s="218">
        <f>I856</f>
        <v>531.9</v>
      </c>
      <c r="J855" s="218">
        <f>J856</f>
        <v>471.5</v>
      </c>
      <c r="K855" s="218">
        <f>K856</f>
        <v>438.4</v>
      </c>
      <c r="L855" s="219">
        <f>L856</f>
        <v>14</v>
      </c>
      <c r="M855" s="217" t="s">
        <v>890</v>
      </c>
      <c r="N855" s="217" t="s">
        <v>890</v>
      </c>
      <c r="O855" s="220" t="s">
        <v>890</v>
      </c>
      <c r="P855" s="190">
        <v>3133080</v>
      </c>
      <c r="Q855" s="190">
        <f>Q856</f>
        <v>0</v>
      </c>
      <c r="R855" s="190">
        <f>R856</f>
        <v>0</v>
      </c>
      <c r="S855" s="190">
        <f>S856</f>
        <v>3133080</v>
      </c>
      <c r="T855" s="190">
        <f t="shared" si="105"/>
        <v>5890.3553299492387</v>
      </c>
      <c r="U855" s="190">
        <f>U856</f>
        <v>7340.8911449520592</v>
      </c>
      <c r="V855" s="221">
        <f t="shared" si="102"/>
        <v>1450.5358150028205</v>
      </c>
      <c r="W855" s="221"/>
      <c r="X855" s="221"/>
      <c r="Y855" s="222"/>
      <c r="Z855" s="222"/>
      <c r="AA855" s="222"/>
      <c r="AB855" s="222"/>
      <c r="AC855" s="222"/>
      <c r="AD855" s="222"/>
      <c r="AE855" s="222"/>
      <c r="AF855" s="222"/>
      <c r="AG855" s="222"/>
      <c r="AH855" s="222"/>
      <c r="AI855" s="222"/>
      <c r="AJ855" s="222"/>
      <c r="AK855" s="222"/>
      <c r="AL855" s="222"/>
      <c r="AM855" s="222"/>
      <c r="AN855" s="222"/>
      <c r="AO855" s="222"/>
    </row>
    <row r="856" spans="1:41" s="223" customFormat="1" ht="36" customHeight="1" x14ac:dyDescent="0.25">
      <c r="A856" s="223">
        <v>1</v>
      </c>
      <c r="B856" s="225">
        <f>SUBTOTAL(103,$A$552:A856)</f>
        <v>285</v>
      </c>
      <c r="C856" s="230" t="s">
        <v>1</v>
      </c>
      <c r="D856" s="217">
        <v>1962</v>
      </c>
      <c r="E856" s="217"/>
      <c r="F856" s="226" t="s">
        <v>267</v>
      </c>
      <c r="G856" s="217">
        <v>2</v>
      </c>
      <c r="H856" s="217" t="s">
        <v>303</v>
      </c>
      <c r="I856" s="218">
        <v>531.9</v>
      </c>
      <c r="J856" s="218">
        <v>471.5</v>
      </c>
      <c r="K856" s="218">
        <v>438.4</v>
      </c>
      <c r="L856" s="219">
        <v>14</v>
      </c>
      <c r="M856" s="217" t="s">
        <v>265</v>
      </c>
      <c r="N856" s="217" t="s">
        <v>266</v>
      </c>
      <c r="O856" s="220" t="s">
        <v>268</v>
      </c>
      <c r="P856" s="190">
        <v>3133080</v>
      </c>
      <c r="Q856" s="190">
        <v>0</v>
      </c>
      <c r="R856" s="190">
        <v>0</v>
      </c>
      <c r="S856" s="190">
        <f>P856-Q856-R856</f>
        <v>3133080</v>
      </c>
      <c r="T856" s="190">
        <f t="shared" si="105"/>
        <v>5890.3553299492387</v>
      </c>
      <c r="U856" s="190">
        <v>7340.8911449520592</v>
      </c>
      <c r="V856" s="221">
        <f>U856-T856</f>
        <v>1450.5358150028205</v>
      </c>
      <c r="W856" s="221">
        <f>X856+Y856+Z856+AA856+AB856+AD856+AF856+AH856+AJ856+AL856+AN856+AO856</f>
        <v>7037.6875352509869</v>
      </c>
      <c r="X856" s="221">
        <v>0</v>
      </c>
      <c r="Y856" s="222">
        <v>0</v>
      </c>
      <c r="Z856" s="222">
        <v>0</v>
      </c>
      <c r="AA856" s="222">
        <v>0</v>
      </c>
      <c r="AB856" s="222">
        <v>0</v>
      </c>
      <c r="AC856" s="222">
        <v>0</v>
      </c>
      <c r="AD856" s="222">
        <v>0</v>
      </c>
      <c r="AE856" s="222">
        <v>600</v>
      </c>
      <c r="AF856" s="221">
        <f>6238.91*AE856/I856</f>
        <v>7037.6875352509869</v>
      </c>
      <c r="AG856" s="222">
        <v>0</v>
      </c>
      <c r="AH856" s="221">
        <v>0</v>
      </c>
      <c r="AI856" s="222">
        <v>0</v>
      </c>
      <c r="AJ856" s="221">
        <v>0</v>
      </c>
      <c r="AK856" s="222">
        <v>0</v>
      </c>
      <c r="AL856" s="222">
        <v>0</v>
      </c>
      <c r="AM856" s="222">
        <v>0</v>
      </c>
      <c r="AN856" s="222"/>
      <c r="AO856" s="222">
        <v>0</v>
      </c>
    </row>
    <row r="857" spans="1:41" s="223" customFormat="1" ht="36" customHeight="1" x14ac:dyDescent="0.25">
      <c r="B857" s="215" t="s">
        <v>828</v>
      </c>
      <c r="C857" s="227"/>
      <c r="D857" s="217" t="s">
        <v>890</v>
      </c>
      <c r="E857" s="217" t="s">
        <v>890</v>
      </c>
      <c r="F857" s="217" t="s">
        <v>890</v>
      </c>
      <c r="G857" s="217" t="s">
        <v>890</v>
      </c>
      <c r="H857" s="217" t="s">
        <v>890</v>
      </c>
      <c r="I857" s="218">
        <f>I858</f>
        <v>7845.75</v>
      </c>
      <c r="J857" s="218">
        <f>J858</f>
        <v>6103.15</v>
      </c>
      <c r="K857" s="218">
        <f>K858</f>
        <v>5920.85</v>
      </c>
      <c r="L857" s="219">
        <f>L858</f>
        <v>252</v>
      </c>
      <c r="M857" s="217" t="s">
        <v>890</v>
      </c>
      <c r="N857" s="217" t="s">
        <v>890</v>
      </c>
      <c r="O857" s="220" t="s">
        <v>890</v>
      </c>
      <c r="P857" s="190">
        <v>9833014.4500000011</v>
      </c>
      <c r="Q857" s="190">
        <f>Q858</f>
        <v>0</v>
      </c>
      <c r="R857" s="190">
        <f>R858</f>
        <v>0</v>
      </c>
      <c r="S857" s="190">
        <f>S858</f>
        <v>9833014.4500000011</v>
      </c>
      <c r="T857" s="190">
        <f t="shared" si="105"/>
        <v>1253.2918395309564</v>
      </c>
      <c r="U857" s="190">
        <f>U858</f>
        <v>1658.9108753146609</v>
      </c>
      <c r="V857" s="221">
        <f t="shared" si="102"/>
        <v>405.61903578370448</v>
      </c>
      <c r="W857" s="221"/>
      <c r="X857" s="221"/>
      <c r="Y857" s="222"/>
      <c r="Z857" s="222"/>
      <c r="AA857" s="222"/>
      <c r="AB857" s="222"/>
      <c r="AC857" s="222"/>
      <c r="AD857" s="222"/>
      <c r="AE857" s="222"/>
      <c r="AF857" s="222"/>
      <c r="AG857" s="222"/>
      <c r="AH857" s="222"/>
      <c r="AI857" s="222"/>
      <c r="AJ857" s="222"/>
      <c r="AK857" s="222"/>
      <c r="AL857" s="222"/>
      <c r="AM857" s="222"/>
      <c r="AN857" s="222"/>
      <c r="AO857" s="222"/>
    </row>
    <row r="858" spans="1:41" s="223" customFormat="1" ht="36" customHeight="1" x14ac:dyDescent="0.25">
      <c r="A858" s="223">
        <v>1</v>
      </c>
      <c r="B858" s="225">
        <f>SUBTOTAL(103,$A$552:A858)</f>
        <v>286</v>
      </c>
      <c r="C858" s="215" t="s">
        <v>694</v>
      </c>
      <c r="D858" s="217">
        <v>1973</v>
      </c>
      <c r="E858" s="217">
        <v>1973</v>
      </c>
      <c r="F858" s="226" t="s">
        <v>318</v>
      </c>
      <c r="G858" s="217">
        <v>5</v>
      </c>
      <c r="H858" s="217" t="s">
        <v>2266</v>
      </c>
      <c r="I858" s="218">
        <v>7845.75</v>
      </c>
      <c r="J858" s="218">
        <v>6103.15</v>
      </c>
      <c r="K858" s="218">
        <v>5920.85</v>
      </c>
      <c r="L858" s="219">
        <v>252</v>
      </c>
      <c r="M858" s="217" t="s">
        <v>265</v>
      </c>
      <c r="N858" s="217" t="s">
        <v>269</v>
      </c>
      <c r="O858" s="220" t="s">
        <v>727</v>
      </c>
      <c r="P858" s="190">
        <v>9833014.4500000011</v>
      </c>
      <c r="Q858" s="190">
        <v>0</v>
      </c>
      <c r="R858" s="190">
        <v>0</v>
      </c>
      <c r="S858" s="190">
        <f>P858-Q858-R858</f>
        <v>9833014.4500000011</v>
      </c>
      <c r="T858" s="190">
        <f t="shared" si="105"/>
        <v>1253.2918395309564</v>
      </c>
      <c r="U858" s="190">
        <v>1658.9108753146609</v>
      </c>
      <c r="V858" s="221">
        <f>U858-T858</f>
        <v>405.61903578370448</v>
      </c>
      <c r="W858" s="221">
        <f>X858+Y858+Z858+AA858+AB858+AD858+AF858+AH858+AJ858+AL858+AN858+AO858</f>
        <v>1590.3922505815251</v>
      </c>
      <c r="X858" s="221">
        <v>0</v>
      </c>
      <c r="Y858" s="222">
        <v>0</v>
      </c>
      <c r="Z858" s="222">
        <v>0</v>
      </c>
      <c r="AA858" s="222">
        <v>0</v>
      </c>
      <c r="AB858" s="222">
        <v>0</v>
      </c>
      <c r="AC858" s="222">
        <v>0</v>
      </c>
      <c r="AD858" s="222">
        <v>0</v>
      </c>
      <c r="AE858" s="222">
        <v>2000</v>
      </c>
      <c r="AF858" s="221">
        <f>6238.91*AE858/I858</f>
        <v>1590.3922505815251</v>
      </c>
      <c r="AG858" s="222">
        <v>0</v>
      </c>
      <c r="AH858" s="221">
        <v>0</v>
      </c>
      <c r="AI858" s="222">
        <v>0</v>
      </c>
      <c r="AJ858" s="221">
        <v>0</v>
      </c>
      <c r="AK858" s="222">
        <v>0</v>
      </c>
      <c r="AL858" s="222">
        <v>0</v>
      </c>
      <c r="AM858" s="222">
        <v>0</v>
      </c>
      <c r="AN858" s="222"/>
      <c r="AO858" s="222">
        <v>0</v>
      </c>
    </row>
    <row r="859" spans="1:41" s="223" customFormat="1" ht="36" customHeight="1" x14ac:dyDescent="0.25">
      <c r="B859" s="215" t="s">
        <v>870</v>
      </c>
      <c r="C859" s="215"/>
      <c r="D859" s="217" t="s">
        <v>890</v>
      </c>
      <c r="E859" s="217" t="s">
        <v>890</v>
      </c>
      <c r="F859" s="217" t="s">
        <v>890</v>
      </c>
      <c r="G859" s="217" t="s">
        <v>890</v>
      </c>
      <c r="H859" s="217" t="s">
        <v>890</v>
      </c>
      <c r="I859" s="218">
        <f>I860</f>
        <v>550.20000000000005</v>
      </c>
      <c r="J859" s="218">
        <f>J860</f>
        <v>517.6</v>
      </c>
      <c r="K859" s="218">
        <f>K860</f>
        <v>517.6</v>
      </c>
      <c r="L859" s="219">
        <f>L860</f>
        <v>20</v>
      </c>
      <c r="M859" s="217" t="s">
        <v>890</v>
      </c>
      <c r="N859" s="217" t="s">
        <v>890</v>
      </c>
      <c r="O859" s="220" t="s">
        <v>890</v>
      </c>
      <c r="P859" s="190">
        <v>2537436</v>
      </c>
      <c r="Q859" s="190">
        <f>Q860</f>
        <v>0</v>
      </c>
      <c r="R859" s="190">
        <f>R860</f>
        <v>0</v>
      </c>
      <c r="S859" s="190">
        <f>S860</f>
        <v>2537436</v>
      </c>
      <c r="T859" s="190">
        <f t="shared" si="105"/>
        <v>4611.8429661941109</v>
      </c>
      <c r="U859" s="190">
        <f>U860</f>
        <v>7096.7284623773166</v>
      </c>
      <c r="V859" s="221">
        <f t="shared" si="102"/>
        <v>2484.8854961832058</v>
      </c>
      <c r="W859" s="221"/>
      <c r="X859" s="221"/>
      <c r="Y859" s="222"/>
      <c r="Z859" s="222"/>
      <c r="AA859" s="222"/>
      <c r="AB859" s="222"/>
      <c r="AC859" s="222"/>
      <c r="AD859" s="222"/>
      <c r="AE859" s="222"/>
      <c r="AF859" s="222"/>
      <c r="AG859" s="222"/>
      <c r="AH859" s="222"/>
      <c r="AI859" s="222"/>
      <c r="AJ859" s="222"/>
      <c r="AK859" s="222"/>
      <c r="AL859" s="222"/>
      <c r="AM859" s="222"/>
      <c r="AN859" s="222"/>
      <c r="AO859" s="222"/>
    </row>
    <row r="860" spans="1:41" s="223" customFormat="1" ht="36" customHeight="1" x14ac:dyDescent="0.25">
      <c r="A860" s="223">
        <v>1</v>
      </c>
      <c r="B860" s="225">
        <f>SUBTOTAL(103,$A$552:A860)</f>
        <v>287</v>
      </c>
      <c r="C860" s="215" t="s">
        <v>700</v>
      </c>
      <c r="D860" s="217">
        <v>1970</v>
      </c>
      <c r="E860" s="217"/>
      <c r="F860" s="226" t="s">
        <v>267</v>
      </c>
      <c r="G860" s="217">
        <v>2</v>
      </c>
      <c r="H860" s="217" t="s">
        <v>303</v>
      </c>
      <c r="I860" s="218">
        <v>550.20000000000005</v>
      </c>
      <c r="J860" s="218">
        <v>517.6</v>
      </c>
      <c r="K860" s="218">
        <v>517.6</v>
      </c>
      <c r="L860" s="219">
        <v>20</v>
      </c>
      <c r="M860" s="217" t="s">
        <v>265</v>
      </c>
      <c r="N860" s="217" t="s">
        <v>266</v>
      </c>
      <c r="O860" s="220" t="s">
        <v>268</v>
      </c>
      <c r="P860" s="190">
        <v>2537436</v>
      </c>
      <c r="Q860" s="190">
        <v>0</v>
      </c>
      <c r="R860" s="190">
        <v>0</v>
      </c>
      <c r="S860" s="190">
        <f>P860-Q860-R860</f>
        <v>2537436</v>
      </c>
      <c r="T860" s="190">
        <f t="shared" si="105"/>
        <v>4611.8429661941109</v>
      </c>
      <c r="U860" s="190">
        <v>7096.7284623773166</v>
      </c>
      <c r="V860" s="221">
        <f>U860-T860</f>
        <v>2484.8854961832058</v>
      </c>
      <c r="W860" s="221">
        <f>X860+Y860+Z860+AA860+AB860+AD860+AF860+AH860+AJ860+AL860+AN860+AO860</f>
        <v>6803.6095965103596</v>
      </c>
      <c r="X860" s="221">
        <v>0</v>
      </c>
      <c r="Y860" s="222">
        <v>0</v>
      </c>
      <c r="Z860" s="222">
        <v>0</v>
      </c>
      <c r="AA860" s="222">
        <v>0</v>
      </c>
      <c r="AB860" s="222">
        <v>0</v>
      </c>
      <c r="AC860" s="222">
        <v>0</v>
      </c>
      <c r="AD860" s="222">
        <v>0</v>
      </c>
      <c r="AE860" s="222">
        <v>600</v>
      </c>
      <c r="AF860" s="221">
        <f>6238.91*AE860/I860</f>
        <v>6803.6095965103596</v>
      </c>
      <c r="AG860" s="222">
        <v>0</v>
      </c>
      <c r="AH860" s="221">
        <v>0</v>
      </c>
      <c r="AI860" s="222">
        <v>0</v>
      </c>
      <c r="AJ860" s="221">
        <v>0</v>
      </c>
      <c r="AK860" s="222">
        <v>0</v>
      </c>
      <c r="AL860" s="222">
        <v>0</v>
      </c>
      <c r="AM860" s="222">
        <v>0</v>
      </c>
      <c r="AN860" s="222"/>
      <c r="AO860" s="222">
        <v>0</v>
      </c>
    </row>
    <row r="861" spans="1:41" s="223" customFormat="1" ht="36" customHeight="1" x14ac:dyDescent="0.25">
      <c r="B861" s="215" t="s">
        <v>829</v>
      </c>
      <c r="C861" s="215"/>
      <c r="D861" s="217" t="s">
        <v>890</v>
      </c>
      <c r="E861" s="217" t="s">
        <v>890</v>
      </c>
      <c r="F861" s="217" t="s">
        <v>890</v>
      </c>
      <c r="G861" s="217" t="s">
        <v>890</v>
      </c>
      <c r="H861" s="217" t="s">
        <v>890</v>
      </c>
      <c r="I861" s="218">
        <f>SUM(I862:I865)</f>
        <v>10202.299999999999</v>
      </c>
      <c r="J861" s="218">
        <f>SUM(J862:J865)</f>
        <v>8322.1999999999989</v>
      </c>
      <c r="K861" s="218">
        <f>SUM(K862:K865)</f>
        <v>7052.6</v>
      </c>
      <c r="L861" s="219">
        <f>SUM(L862:L865)</f>
        <v>360</v>
      </c>
      <c r="M861" s="217" t="s">
        <v>890</v>
      </c>
      <c r="N861" s="217" t="s">
        <v>890</v>
      </c>
      <c r="O861" s="220" t="s">
        <v>890</v>
      </c>
      <c r="P861" s="190">
        <v>7294072.0299999993</v>
      </c>
      <c r="Q861" s="190">
        <f>SUM(Q862:Q865)</f>
        <v>0</v>
      </c>
      <c r="R861" s="190">
        <f>SUM(R862:R865)</f>
        <v>0</v>
      </c>
      <c r="S861" s="190">
        <f>SUM(S862:S865)</f>
        <v>7294072.0299999993</v>
      </c>
      <c r="T861" s="190">
        <f t="shared" si="105"/>
        <v>714.9438881428697</v>
      </c>
      <c r="U861" s="190">
        <f>MAX(U862:U865)</f>
        <v>4025.3194588969823</v>
      </c>
      <c r="V861" s="221">
        <f t="shared" si="102"/>
        <v>3310.3755707541127</v>
      </c>
      <c r="W861" s="221"/>
      <c r="X861" s="221"/>
      <c r="Y861" s="222"/>
      <c r="Z861" s="222"/>
      <c r="AA861" s="222"/>
      <c r="AB861" s="222"/>
      <c r="AC861" s="222"/>
      <c r="AD861" s="222"/>
      <c r="AE861" s="222"/>
      <c r="AF861" s="222"/>
      <c r="AG861" s="222"/>
      <c r="AH861" s="222"/>
      <c r="AI861" s="222"/>
      <c r="AJ861" s="222"/>
      <c r="AK861" s="222"/>
      <c r="AL861" s="222"/>
      <c r="AM861" s="222"/>
      <c r="AN861" s="222"/>
      <c r="AO861" s="222"/>
    </row>
    <row r="862" spans="1:41" s="223" customFormat="1" ht="36" customHeight="1" x14ac:dyDescent="0.25">
      <c r="A862" s="223">
        <v>1</v>
      </c>
      <c r="B862" s="225">
        <f>SUBTOTAL(103,$A$552:A862)</f>
        <v>288</v>
      </c>
      <c r="C862" s="215" t="s">
        <v>697</v>
      </c>
      <c r="D862" s="217">
        <v>1973</v>
      </c>
      <c r="E862" s="217">
        <v>2006</v>
      </c>
      <c r="F862" s="226" t="s">
        <v>267</v>
      </c>
      <c r="G862" s="217">
        <v>3</v>
      </c>
      <c r="H862" s="217" t="s">
        <v>303</v>
      </c>
      <c r="I862" s="218">
        <v>1206.8</v>
      </c>
      <c r="J862" s="218">
        <v>1107.8</v>
      </c>
      <c r="K862" s="218">
        <v>1107.8</v>
      </c>
      <c r="L862" s="219">
        <v>30</v>
      </c>
      <c r="M862" s="217" t="s">
        <v>265</v>
      </c>
      <c r="N862" s="217" t="s">
        <v>269</v>
      </c>
      <c r="O862" s="220" t="s">
        <v>728</v>
      </c>
      <c r="P862" s="190">
        <v>2999229.4099999997</v>
      </c>
      <c r="Q862" s="190">
        <v>0</v>
      </c>
      <c r="R862" s="190">
        <v>0</v>
      </c>
      <c r="S862" s="190">
        <f>P862-Q862-R862</f>
        <v>2999229.4099999997</v>
      </c>
      <c r="T862" s="190">
        <f t="shared" si="105"/>
        <v>2485.2746188266487</v>
      </c>
      <c r="U862" s="190">
        <v>3785.5530328140535</v>
      </c>
      <c r="V862" s="221">
        <f t="shared" si="102"/>
        <v>1300.2784139874047</v>
      </c>
      <c r="W862" s="221">
        <f>X862+Y862+Z862+AA862+AB862+AD862+AF862+AH862+AJ862+AL862+AN862+AO862</f>
        <v>3629.1969008949291</v>
      </c>
      <c r="X862" s="221">
        <v>0</v>
      </c>
      <c r="Y862" s="222">
        <v>0</v>
      </c>
      <c r="Z862" s="222">
        <v>0</v>
      </c>
      <c r="AA862" s="222">
        <v>0</v>
      </c>
      <c r="AB862" s="222">
        <v>0</v>
      </c>
      <c r="AC862" s="222">
        <v>0</v>
      </c>
      <c r="AD862" s="222">
        <v>0</v>
      </c>
      <c r="AE862" s="222">
        <v>702</v>
      </c>
      <c r="AF862" s="221">
        <f>6238.91*AE862/I862</f>
        <v>3629.1969008949291</v>
      </c>
      <c r="AG862" s="222">
        <v>0</v>
      </c>
      <c r="AH862" s="221">
        <v>0</v>
      </c>
      <c r="AI862" s="222">
        <v>0</v>
      </c>
      <c r="AJ862" s="221">
        <v>0</v>
      </c>
      <c r="AK862" s="222">
        <v>0</v>
      </c>
      <c r="AL862" s="222">
        <v>0</v>
      </c>
      <c r="AM862" s="222">
        <v>0</v>
      </c>
      <c r="AN862" s="222"/>
      <c r="AO862" s="222">
        <v>0</v>
      </c>
    </row>
    <row r="863" spans="1:41" s="223" customFormat="1" ht="36" customHeight="1" x14ac:dyDescent="0.25">
      <c r="A863" s="223">
        <v>1</v>
      </c>
      <c r="B863" s="225">
        <f>SUBTOTAL(103,$A$552:A863)</f>
        <v>289</v>
      </c>
      <c r="C863" s="215" t="s">
        <v>1550</v>
      </c>
      <c r="D863" s="217">
        <v>1978</v>
      </c>
      <c r="E863" s="217"/>
      <c r="F863" s="226" t="s">
        <v>318</v>
      </c>
      <c r="G863" s="217">
        <v>5</v>
      </c>
      <c r="H863" s="217" t="s">
        <v>308</v>
      </c>
      <c r="I863" s="218">
        <v>3092.4</v>
      </c>
      <c r="J863" s="218">
        <v>3092.4</v>
      </c>
      <c r="K863" s="218">
        <v>3092.4</v>
      </c>
      <c r="L863" s="219">
        <v>151</v>
      </c>
      <c r="M863" s="217" t="s">
        <v>265</v>
      </c>
      <c r="N863" s="217" t="s">
        <v>269</v>
      </c>
      <c r="O863" s="220" t="s">
        <v>1577</v>
      </c>
      <c r="P863" s="190">
        <v>3040224.4400000004</v>
      </c>
      <c r="Q863" s="190">
        <v>0</v>
      </c>
      <c r="R863" s="190">
        <v>0</v>
      </c>
      <c r="S863" s="190">
        <f>P863-R863-Q863</f>
        <v>3040224.4400000004</v>
      </c>
      <c r="T863" s="190">
        <f t="shared" si="105"/>
        <v>983.12781011512106</v>
      </c>
      <c r="U863" s="190">
        <v>1605.249502004915</v>
      </c>
      <c r="V863" s="221">
        <f t="shared" si="102"/>
        <v>622.12169188979396</v>
      </c>
      <c r="W863" s="221">
        <f>X863+Y863+Z863+AA863+AB863+AD863+AF863+AH863+AJ863+AL863+AN863+AO863</f>
        <v>1538.9472733152243</v>
      </c>
      <c r="X863" s="221">
        <v>0</v>
      </c>
      <c r="Y863" s="222">
        <v>0</v>
      </c>
      <c r="Z863" s="222">
        <v>0</v>
      </c>
      <c r="AA863" s="222">
        <v>0</v>
      </c>
      <c r="AB863" s="222">
        <v>0</v>
      </c>
      <c r="AC863" s="222">
        <v>0</v>
      </c>
      <c r="AD863" s="222">
        <v>0</v>
      </c>
      <c r="AE863" s="222">
        <v>762.8</v>
      </c>
      <c r="AF863" s="221">
        <f>6238.91*AE863/I863</f>
        <v>1538.9472733152243</v>
      </c>
      <c r="AG863" s="222">
        <v>0</v>
      </c>
      <c r="AH863" s="221">
        <v>0</v>
      </c>
      <c r="AI863" s="222">
        <v>0</v>
      </c>
      <c r="AJ863" s="221">
        <v>0</v>
      </c>
      <c r="AK863" s="222">
        <v>0</v>
      </c>
      <c r="AL863" s="222">
        <v>0</v>
      </c>
      <c r="AM863" s="222">
        <v>0</v>
      </c>
      <c r="AN863" s="222"/>
      <c r="AO863" s="222">
        <v>0</v>
      </c>
    </row>
    <row r="864" spans="1:41" s="223" customFormat="1" ht="36" customHeight="1" x14ac:dyDescent="0.25">
      <c r="A864" s="223">
        <v>1</v>
      </c>
      <c r="B864" s="225">
        <f>SUBTOTAL(103,$A$552:A864)</f>
        <v>290</v>
      </c>
      <c r="C864" s="215" t="s">
        <v>1219</v>
      </c>
      <c r="D864" s="217">
        <v>1975</v>
      </c>
      <c r="E864" s="217">
        <v>2015</v>
      </c>
      <c r="F864" s="226" t="s">
        <v>267</v>
      </c>
      <c r="G864" s="217">
        <v>3</v>
      </c>
      <c r="H864" s="217" t="s">
        <v>303</v>
      </c>
      <c r="I864" s="218">
        <v>3981.1</v>
      </c>
      <c r="J864" s="218">
        <v>2548.6</v>
      </c>
      <c r="K864" s="218">
        <v>1279</v>
      </c>
      <c r="L864" s="219">
        <v>138</v>
      </c>
      <c r="M864" s="217" t="s">
        <v>265</v>
      </c>
      <c r="N864" s="217" t="s">
        <v>269</v>
      </c>
      <c r="O864" s="220" t="s">
        <v>725</v>
      </c>
      <c r="P864" s="190">
        <v>485250</v>
      </c>
      <c r="Q864" s="190">
        <v>0</v>
      </c>
      <c r="R864" s="190">
        <v>0</v>
      </c>
      <c r="S864" s="190">
        <f>P864-R864-Q864</f>
        <v>485250</v>
      </c>
      <c r="T864" s="190">
        <f t="shared" si="105"/>
        <v>121.88842279771923</v>
      </c>
      <c r="U864" s="190">
        <v>121.88842279771923</v>
      </c>
      <c r="V864" s="221">
        <f>U864-T864</f>
        <v>0</v>
      </c>
      <c r="W864" s="221">
        <f>X864+Y864+Z864+AA864+AB864+AD864+AF864+AH864+AJ864+AL864+AN864+AO864</f>
        <v>1195.4084418879204</v>
      </c>
      <c r="X864" s="221">
        <v>0</v>
      </c>
      <c r="Y864" s="222">
        <v>0</v>
      </c>
      <c r="Z864" s="222">
        <v>0</v>
      </c>
      <c r="AA864" s="222">
        <v>0</v>
      </c>
      <c r="AB864" s="222">
        <v>0</v>
      </c>
      <c r="AC864" s="222">
        <v>0</v>
      </c>
      <c r="AD864" s="222">
        <v>0</v>
      </c>
      <c r="AE864" s="222">
        <v>762.8</v>
      </c>
      <c r="AF864" s="221">
        <f>6238.91*AE864/I864</f>
        <v>1195.4084418879204</v>
      </c>
      <c r="AG864" s="222">
        <v>0</v>
      </c>
      <c r="AH864" s="221">
        <v>0</v>
      </c>
      <c r="AI864" s="222">
        <v>0</v>
      </c>
      <c r="AJ864" s="221">
        <v>0</v>
      </c>
      <c r="AK864" s="222">
        <v>0</v>
      </c>
      <c r="AL864" s="222">
        <v>0</v>
      </c>
      <c r="AM864" s="222">
        <v>0</v>
      </c>
      <c r="AN864" s="222"/>
      <c r="AO864" s="222">
        <v>0</v>
      </c>
    </row>
    <row r="865" spans="1:41" s="223" customFormat="1" ht="36" customHeight="1" x14ac:dyDescent="0.25">
      <c r="A865" s="223">
        <v>1</v>
      </c>
      <c r="B865" s="225">
        <f>SUBTOTAL(103,$A$552:A865)</f>
        <v>291</v>
      </c>
      <c r="C865" s="215" t="s">
        <v>1954</v>
      </c>
      <c r="D865" s="217">
        <v>1994</v>
      </c>
      <c r="E865" s="217"/>
      <c r="F865" s="226" t="s">
        <v>1571</v>
      </c>
      <c r="G865" s="217" t="s">
        <v>303</v>
      </c>
      <c r="H865" s="217" t="s">
        <v>308</v>
      </c>
      <c r="I865" s="218">
        <v>1922</v>
      </c>
      <c r="J865" s="218">
        <v>1573.4</v>
      </c>
      <c r="K865" s="218">
        <v>1573.4</v>
      </c>
      <c r="L865" s="219">
        <v>41</v>
      </c>
      <c r="M865" s="217" t="s">
        <v>265</v>
      </c>
      <c r="N865" s="217" t="s">
        <v>269</v>
      </c>
      <c r="O865" s="220" t="s">
        <v>2272</v>
      </c>
      <c r="P865" s="190">
        <v>769368.18</v>
      </c>
      <c r="Q865" s="190">
        <v>0</v>
      </c>
      <c r="R865" s="190">
        <v>0</v>
      </c>
      <c r="S865" s="190">
        <f>P865-R865-Q865</f>
        <v>769368.18</v>
      </c>
      <c r="T865" s="190">
        <f t="shared" si="105"/>
        <v>400.29561914672217</v>
      </c>
      <c r="U865" s="190">
        <v>4025.3194588969823</v>
      </c>
      <c r="V865" s="221">
        <f t="shared" si="102"/>
        <v>3625.0238397502599</v>
      </c>
      <c r="W865" s="221">
        <f>X865+Y865+Z865+AA865+AB865+AD865+AF865+AH865+AJ865+AL865+AN865+AO865</f>
        <v>2476.087694068678</v>
      </c>
      <c r="X865" s="221">
        <v>0</v>
      </c>
      <c r="Y865" s="222">
        <v>0</v>
      </c>
      <c r="Z865" s="222">
        <v>0</v>
      </c>
      <c r="AA865" s="222">
        <v>0</v>
      </c>
      <c r="AB865" s="222">
        <v>0</v>
      </c>
      <c r="AC865" s="222">
        <v>0</v>
      </c>
      <c r="AD865" s="222">
        <v>0</v>
      </c>
      <c r="AE865" s="222">
        <v>762.8</v>
      </c>
      <c r="AF865" s="221">
        <f>6238.91*AE865/I865</f>
        <v>2476.087694068678</v>
      </c>
      <c r="AG865" s="222">
        <v>0</v>
      </c>
      <c r="AH865" s="221">
        <v>0</v>
      </c>
      <c r="AI865" s="222">
        <v>0</v>
      </c>
      <c r="AJ865" s="221">
        <v>0</v>
      </c>
      <c r="AK865" s="222">
        <v>0</v>
      </c>
      <c r="AL865" s="222">
        <v>0</v>
      </c>
      <c r="AM865" s="222">
        <v>0</v>
      </c>
      <c r="AN865" s="222"/>
      <c r="AO865" s="222">
        <v>0</v>
      </c>
    </row>
    <row r="866" spans="1:41" s="223" customFormat="1" ht="36" customHeight="1" x14ac:dyDescent="0.25">
      <c r="B866" s="215" t="s">
        <v>830</v>
      </c>
      <c r="C866" s="215"/>
      <c r="D866" s="217" t="s">
        <v>890</v>
      </c>
      <c r="E866" s="217" t="s">
        <v>890</v>
      </c>
      <c r="F866" s="217" t="s">
        <v>890</v>
      </c>
      <c r="G866" s="217" t="s">
        <v>890</v>
      </c>
      <c r="H866" s="217" t="s">
        <v>890</v>
      </c>
      <c r="I866" s="218">
        <f>I867</f>
        <v>846.4</v>
      </c>
      <c r="J866" s="218">
        <f>J867</f>
        <v>794.7</v>
      </c>
      <c r="K866" s="218">
        <f>K867</f>
        <v>794.7</v>
      </c>
      <c r="L866" s="219">
        <f>L867</f>
        <v>26</v>
      </c>
      <c r="M866" s="217" t="s">
        <v>890</v>
      </c>
      <c r="N866" s="217" t="s">
        <v>890</v>
      </c>
      <c r="O866" s="220" t="s">
        <v>890</v>
      </c>
      <c r="P866" s="190">
        <v>4024889.9</v>
      </c>
      <c r="Q866" s="190">
        <f>Q867</f>
        <v>0</v>
      </c>
      <c r="R866" s="190">
        <f>R867</f>
        <v>0</v>
      </c>
      <c r="S866" s="190">
        <f>S867</f>
        <v>4024889.9</v>
      </c>
      <c r="T866" s="190">
        <f t="shared" si="105"/>
        <v>4755.3047022684314</v>
      </c>
      <c r="U866" s="190">
        <f>U867</f>
        <v>6297.3071349243864</v>
      </c>
      <c r="V866" s="221">
        <f>U866-T866</f>
        <v>1542.0024326559551</v>
      </c>
      <c r="W866" s="221"/>
      <c r="X866" s="221"/>
      <c r="Y866" s="222"/>
      <c r="Z866" s="222"/>
      <c r="AA866" s="222"/>
      <c r="AB866" s="222"/>
      <c r="AC866" s="222"/>
      <c r="AD866" s="222"/>
      <c r="AE866" s="222"/>
      <c r="AF866" s="222"/>
      <c r="AG866" s="222"/>
      <c r="AH866" s="222"/>
      <c r="AI866" s="222"/>
      <c r="AJ866" s="222"/>
      <c r="AK866" s="222"/>
      <c r="AL866" s="222"/>
      <c r="AM866" s="222"/>
      <c r="AN866" s="222"/>
      <c r="AO866" s="222"/>
    </row>
    <row r="867" spans="1:41" s="223" customFormat="1" ht="36" customHeight="1" x14ac:dyDescent="0.25">
      <c r="A867" s="223">
        <v>1</v>
      </c>
      <c r="B867" s="225">
        <f>SUBTOTAL(103,$A$552:A867)</f>
        <v>292</v>
      </c>
      <c r="C867" s="215" t="s">
        <v>795</v>
      </c>
      <c r="D867" s="217">
        <v>1981</v>
      </c>
      <c r="E867" s="217"/>
      <c r="F867" s="226" t="s">
        <v>267</v>
      </c>
      <c r="G867" s="217">
        <v>2</v>
      </c>
      <c r="H867" s="217" t="s">
        <v>312</v>
      </c>
      <c r="I867" s="218">
        <v>846.4</v>
      </c>
      <c r="J867" s="218">
        <v>794.7</v>
      </c>
      <c r="K867" s="218">
        <v>794.7</v>
      </c>
      <c r="L867" s="219">
        <v>26</v>
      </c>
      <c r="M867" s="217" t="s">
        <v>265</v>
      </c>
      <c r="N867" s="217" t="s">
        <v>269</v>
      </c>
      <c r="O867" s="220" t="s">
        <v>725</v>
      </c>
      <c r="P867" s="190">
        <v>4024889.9</v>
      </c>
      <c r="Q867" s="190">
        <v>0</v>
      </c>
      <c r="R867" s="190">
        <v>0</v>
      </c>
      <c r="S867" s="190">
        <f>P867-Q867-R867</f>
        <v>4024889.9</v>
      </c>
      <c r="T867" s="190">
        <f t="shared" si="105"/>
        <v>4755.3047022684314</v>
      </c>
      <c r="U867" s="190">
        <v>6297.3071349243864</v>
      </c>
      <c r="V867" s="221">
        <f>U867-T867</f>
        <v>1542.0024326559551</v>
      </c>
      <c r="W867" s="221">
        <f>X867+Y867+Z867+AA867+AB867+AD867+AF867+AH867+AJ867+AL867+AN867+AO867</f>
        <v>4422.6677693761812</v>
      </c>
      <c r="X867" s="221">
        <v>0</v>
      </c>
      <c r="Y867" s="222">
        <v>0</v>
      </c>
      <c r="Z867" s="222">
        <v>0</v>
      </c>
      <c r="AA867" s="222">
        <v>0</v>
      </c>
      <c r="AB867" s="222">
        <v>0</v>
      </c>
      <c r="AC867" s="222">
        <v>0</v>
      </c>
      <c r="AD867" s="222">
        <v>0</v>
      </c>
      <c r="AE867" s="222">
        <v>600</v>
      </c>
      <c r="AF867" s="221">
        <f>6238.91*AE867/I867</f>
        <v>4422.6677693761812</v>
      </c>
      <c r="AG867" s="222">
        <v>0</v>
      </c>
      <c r="AH867" s="221">
        <v>0</v>
      </c>
      <c r="AI867" s="222">
        <v>0</v>
      </c>
      <c r="AJ867" s="221">
        <v>0</v>
      </c>
      <c r="AK867" s="222">
        <v>0</v>
      </c>
      <c r="AL867" s="222">
        <v>0</v>
      </c>
      <c r="AM867" s="222">
        <v>0</v>
      </c>
      <c r="AN867" s="222"/>
      <c r="AO867" s="222">
        <v>0</v>
      </c>
    </row>
    <row r="868" spans="1:41" s="223" customFormat="1" ht="36" customHeight="1" x14ac:dyDescent="0.25">
      <c r="B868" s="215" t="s">
        <v>831</v>
      </c>
      <c r="C868" s="227"/>
      <c r="D868" s="217" t="s">
        <v>890</v>
      </c>
      <c r="E868" s="217" t="s">
        <v>890</v>
      </c>
      <c r="F868" s="217" t="s">
        <v>890</v>
      </c>
      <c r="G868" s="217" t="s">
        <v>890</v>
      </c>
      <c r="H868" s="217" t="s">
        <v>890</v>
      </c>
      <c r="I868" s="218">
        <f>SUM(I869:I880)</f>
        <v>17997.829999999998</v>
      </c>
      <c r="J868" s="218">
        <f>SUM(J869:J880)</f>
        <v>15126.78</v>
      </c>
      <c r="K868" s="218">
        <f>SUM(K869:K880)</f>
        <v>14736.3</v>
      </c>
      <c r="L868" s="219">
        <f>SUM(L869:L880)</f>
        <v>716</v>
      </c>
      <c r="M868" s="217" t="s">
        <v>890</v>
      </c>
      <c r="N868" s="217" t="s">
        <v>890</v>
      </c>
      <c r="O868" s="220" t="s">
        <v>890</v>
      </c>
      <c r="P868" s="190">
        <v>42452497.159999996</v>
      </c>
      <c r="Q868" s="190">
        <f>SUM(Q869:Q880)</f>
        <v>0</v>
      </c>
      <c r="R868" s="190">
        <f>SUM(R869:R880)</f>
        <v>0</v>
      </c>
      <c r="S868" s="190">
        <f>SUM(S869:S880)</f>
        <v>42452497.159999996</v>
      </c>
      <c r="T868" s="190">
        <f t="shared" si="105"/>
        <v>2358.7564256357573</v>
      </c>
      <c r="U868" s="190">
        <f>MAX(U869:U880)</f>
        <v>8777.5872818049666</v>
      </c>
      <c r="V868" s="221">
        <f t="shared" si="102"/>
        <v>6418.8308561692093</v>
      </c>
      <c r="W868" s="221"/>
      <c r="X868" s="221"/>
      <c r="Y868" s="222"/>
      <c r="Z868" s="222"/>
      <c r="AA868" s="222"/>
      <c r="AB868" s="222"/>
      <c r="AC868" s="222"/>
      <c r="AD868" s="222"/>
      <c r="AE868" s="222"/>
      <c r="AF868" s="222"/>
      <c r="AG868" s="222"/>
      <c r="AH868" s="222"/>
      <c r="AI868" s="222"/>
      <c r="AJ868" s="222"/>
      <c r="AK868" s="222"/>
      <c r="AL868" s="222"/>
      <c r="AM868" s="222"/>
      <c r="AN868" s="222"/>
      <c r="AO868" s="222"/>
    </row>
    <row r="869" spans="1:41" s="223" customFormat="1" ht="36" customHeight="1" x14ac:dyDescent="0.25">
      <c r="A869" s="223">
        <v>1</v>
      </c>
      <c r="B869" s="225">
        <f>SUBTOTAL(103,$A$552:A869)</f>
        <v>293</v>
      </c>
      <c r="C869" s="215" t="s">
        <v>123</v>
      </c>
      <c r="D869" s="217">
        <v>1992</v>
      </c>
      <c r="E869" s="217"/>
      <c r="F869" s="226" t="s">
        <v>267</v>
      </c>
      <c r="G869" s="217">
        <v>3</v>
      </c>
      <c r="H869" s="217" t="s">
        <v>303</v>
      </c>
      <c r="I869" s="218">
        <v>1555.9</v>
      </c>
      <c r="J869" s="218">
        <v>1062.8</v>
      </c>
      <c r="K869" s="218">
        <v>1019.8</v>
      </c>
      <c r="L869" s="219">
        <v>50</v>
      </c>
      <c r="M869" s="217" t="s">
        <v>265</v>
      </c>
      <c r="N869" s="217" t="s">
        <v>269</v>
      </c>
      <c r="O869" s="220" t="s">
        <v>284</v>
      </c>
      <c r="P869" s="190">
        <v>3282441.93</v>
      </c>
      <c r="Q869" s="190">
        <v>0</v>
      </c>
      <c r="R869" s="190">
        <v>0</v>
      </c>
      <c r="S869" s="190">
        <f t="shared" ref="S869:S880" si="106">P869-Q869-R869</f>
        <v>3282441.93</v>
      </c>
      <c r="T869" s="190">
        <f t="shared" si="105"/>
        <v>2109.6740985924544</v>
      </c>
      <c r="U869" s="190">
        <v>2770.9693746384728</v>
      </c>
      <c r="V869" s="221">
        <f t="shared" si="102"/>
        <v>661.29527604601844</v>
      </c>
      <c r="W869" s="221">
        <f t="shared" ref="W869:W880" si="107">X869+Y869+Z869+AA869+AB869+AD869+AF869+AH869+AJ869+AL869+AN869+AO869</f>
        <v>2656.5189761552797</v>
      </c>
      <c r="X869" s="221">
        <v>0</v>
      </c>
      <c r="Y869" s="222">
        <v>0</v>
      </c>
      <c r="Z869" s="222">
        <v>0</v>
      </c>
      <c r="AA869" s="222">
        <v>0</v>
      </c>
      <c r="AB869" s="222">
        <v>0</v>
      </c>
      <c r="AC869" s="222">
        <v>0</v>
      </c>
      <c r="AD869" s="222">
        <v>0</v>
      </c>
      <c r="AE869" s="222">
        <v>662.5</v>
      </c>
      <c r="AF869" s="221">
        <f>6238.91*AE869/I869</f>
        <v>2656.5189761552797</v>
      </c>
      <c r="AG869" s="222">
        <v>0</v>
      </c>
      <c r="AH869" s="221">
        <v>0</v>
      </c>
      <c r="AI869" s="222">
        <v>0</v>
      </c>
      <c r="AJ869" s="221">
        <v>0</v>
      </c>
      <c r="AK869" s="222">
        <v>0</v>
      </c>
      <c r="AL869" s="222">
        <v>0</v>
      </c>
      <c r="AM869" s="222">
        <v>0</v>
      </c>
      <c r="AN869" s="222"/>
      <c r="AO869" s="222">
        <v>0</v>
      </c>
    </row>
    <row r="870" spans="1:41" s="223" customFormat="1" ht="36" customHeight="1" x14ac:dyDescent="0.25">
      <c r="A870" s="223">
        <v>1</v>
      </c>
      <c r="B870" s="225">
        <f>SUBTOTAL(103,$A$552:A870)</f>
        <v>294</v>
      </c>
      <c r="C870" s="215" t="s">
        <v>128</v>
      </c>
      <c r="D870" s="217">
        <v>1983</v>
      </c>
      <c r="E870" s="217"/>
      <c r="F870" s="226" t="s">
        <v>267</v>
      </c>
      <c r="G870" s="217">
        <v>2</v>
      </c>
      <c r="H870" s="217" t="s">
        <v>312</v>
      </c>
      <c r="I870" s="218">
        <v>1039.7</v>
      </c>
      <c r="J870" s="218">
        <v>968.1</v>
      </c>
      <c r="K870" s="218">
        <v>908.6</v>
      </c>
      <c r="L870" s="219">
        <v>39</v>
      </c>
      <c r="M870" s="217" t="s">
        <v>265</v>
      </c>
      <c r="N870" s="217" t="s">
        <v>269</v>
      </c>
      <c r="O870" s="220" t="s">
        <v>284</v>
      </c>
      <c r="P870" s="190">
        <v>5004891.84</v>
      </c>
      <c r="Q870" s="190">
        <v>0</v>
      </c>
      <c r="R870" s="190">
        <v>0</v>
      </c>
      <c r="S870" s="190">
        <f t="shared" si="106"/>
        <v>5004891.84</v>
      </c>
      <c r="T870" s="190">
        <f t="shared" si="105"/>
        <v>4813.7845917091463</v>
      </c>
      <c r="U870" s="190">
        <v>5012.2273521208044</v>
      </c>
      <c r="V870" s="221">
        <f t="shared" si="102"/>
        <v>198.44276041165813</v>
      </c>
      <c r="W870" s="221">
        <f>T870</f>
        <v>4813.7845917091463</v>
      </c>
      <c r="X870" s="221">
        <v>0</v>
      </c>
      <c r="Y870" s="222">
        <v>0</v>
      </c>
      <c r="Z870" s="222">
        <v>0</v>
      </c>
      <c r="AA870" s="222">
        <v>0</v>
      </c>
      <c r="AB870" s="222">
        <v>0</v>
      </c>
      <c r="AC870" s="222">
        <v>0</v>
      </c>
      <c r="AD870" s="222">
        <v>0</v>
      </c>
      <c r="AE870" s="222">
        <v>0</v>
      </c>
      <c r="AF870" s="221">
        <v>0</v>
      </c>
      <c r="AG870" s="222">
        <v>0</v>
      </c>
      <c r="AH870" s="221">
        <v>0</v>
      </c>
      <c r="AI870" s="222">
        <v>0</v>
      </c>
      <c r="AJ870" s="221">
        <v>0</v>
      </c>
      <c r="AK870" s="222">
        <v>0</v>
      </c>
      <c r="AL870" s="222">
        <v>0</v>
      </c>
      <c r="AM870" s="222">
        <v>334.1</v>
      </c>
      <c r="AN870" s="222">
        <f>6984.52*AM870/I870</f>
        <v>2244.4244801385016</v>
      </c>
      <c r="AO870" s="222">
        <v>0</v>
      </c>
    </row>
    <row r="871" spans="1:41" s="223" customFormat="1" ht="36" customHeight="1" x14ac:dyDescent="0.25">
      <c r="A871" s="223">
        <v>1</v>
      </c>
      <c r="B871" s="225">
        <f>SUBTOTAL(103,$A$552:A871)</f>
        <v>295</v>
      </c>
      <c r="C871" s="215" t="s">
        <v>126</v>
      </c>
      <c r="D871" s="217">
        <v>1981</v>
      </c>
      <c r="E871" s="217"/>
      <c r="F871" s="226" t="s">
        <v>267</v>
      </c>
      <c r="G871" s="217">
        <v>2</v>
      </c>
      <c r="H871" s="217" t="s">
        <v>312</v>
      </c>
      <c r="I871" s="218">
        <v>1572.8</v>
      </c>
      <c r="J871" s="218">
        <v>986.3</v>
      </c>
      <c r="K871" s="218">
        <v>925.2</v>
      </c>
      <c r="L871" s="219">
        <v>49</v>
      </c>
      <c r="M871" s="217" t="s">
        <v>265</v>
      </c>
      <c r="N871" s="217" t="s">
        <v>269</v>
      </c>
      <c r="O871" s="220" t="s">
        <v>284</v>
      </c>
      <c r="P871" s="190">
        <v>4280000</v>
      </c>
      <c r="Q871" s="190">
        <v>0</v>
      </c>
      <c r="R871" s="190">
        <v>0</v>
      </c>
      <c r="S871" s="190">
        <f t="shared" si="106"/>
        <v>4280000</v>
      </c>
      <c r="T871" s="190">
        <f t="shared" si="105"/>
        <v>2721.2614445574773</v>
      </c>
      <c r="U871" s="190">
        <v>3665.9601983723296</v>
      </c>
      <c r="V871" s="221">
        <f t="shared" si="102"/>
        <v>944.69875381485235</v>
      </c>
      <c r="W871" s="221">
        <f t="shared" si="107"/>
        <v>3514.5436546286878</v>
      </c>
      <c r="X871" s="221">
        <v>0</v>
      </c>
      <c r="Y871" s="222">
        <v>0</v>
      </c>
      <c r="Z871" s="222">
        <v>0</v>
      </c>
      <c r="AA871" s="222">
        <v>0</v>
      </c>
      <c r="AB871" s="222">
        <v>0</v>
      </c>
      <c r="AC871" s="222">
        <v>0</v>
      </c>
      <c r="AD871" s="222">
        <v>0</v>
      </c>
      <c r="AE871" s="222">
        <v>886</v>
      </c>
      <c r="AF871" s="221">
        <f t="shared" ref="AF871:AF880" si="108">6238.91*AE871/I871</f>
        <v>3514.5436546286878</v>
      </c>
      <c r="AG871" s="222">
        <v>0</v>
      </c>
      <c r="AH871" s="221">
        <v>0</v>
      </c>
      <c r="AI871" s="222">
        <v>0</v>
      </c>
      <c r="AJ871" s="221">
        <v>0</v>
      </c>
      <c r="AK871" s="222">
        <v>0</v>
      </c>
      <c r="AL871" s="222">
        <v>0</v>
      </c>
      <c r="AM871" s="222">
        <v>0</v>
      </c>
      <c r="AN871" s="222"/>
      <c r="AO871" s="222">
        <v>0</v>
      </c>
    </row>
    <row r="872" spans="1:41" s="223" customFormat="1" ht="36" customHeight="1" x14ac:dyDescent="0.25">
      <c r="A872" s="223">
        <v>1</v>
      </c>
      <c r="B872" s="225">
        <f>SUBTOTAL(103,$A$552:A872)</f>
        <v>296</v>
      </c>
      <c r="C872" s="215" t="s">
        <v>129</v>
      </c>
      <c r="D872" s="217">
        <v>1975</v>
      </c>
      <c r="E872" s="217"/>
      <c r="F872" s="226" t="s">
        <v>267</v>
      </c>
      <c r="G872" s="217">
        <v>2</v>
      </c>
      <c r="H872" s="217" t="s">
        <v>312</v>
      </c>
      <c r="I872" s="218">
        <v>786.44</v>
      </c>
      <c r="J872" s="218">
        <v>726.3</v>
      </c>
      <c r="K872" s="218">
        <v>726.3</v>
      </c>
      <c r="L872" s="219">
        <v>32</v>
      </c>
      <c r="M872" s="217" t="s">
        <v>265</v>
      </c>
      <c r="N872" s="217" t="s">
        <v>269</v>
      </c>
      <c r="O872" s="220" t="s">
        <v>284</v>
      </c>
      <c r="P872" s="190">
        <v>3494323.56</v>
      </c>
      <c r="Q872" s="190">
        <v>0</v>
      </c>
      <c r="R872" s="190">
        <v>0</v>
      </c>
      <c r="S872" s="190">
        <f t="shared" si="106"/>
        <v>3494323.56</v>
      </c>
      <c r="T872" s="190">
        <f t="shared" si="105"/>
        <v>4443.2169777732561</v>
      </c>
      <c r="U872" s="190">
        <v>5544.1724734245454</v>
      </c>
      <c r="V872" s="221">
        <f t="shared" si="102"/>
        <v>1100.9554956512893</v>
      </c>
      <c r="W872" s="221">
        <f t="shared" si="107"/>
        <v>5315.1794161029438</v>
      </c>
      <c r="X872" s="221">
        <v>0</v>
      </c>
      <c r="Y872" s="222">
        <v>0</v>
      </c>
      <c r="Z872" s="222">
        <v>0</v>
      </c>
      <c r="AA872" s="222">
        <v>0</v>
      </c>
      <c r="AB872" s="222">
        <v>0</v>
      </c>
      <c r="AC872" s="222">
        <v>0</v>
      </c>
      <c r="AD872" s="222">
        <v>0</v>
      </c>
      <c r="AE872" s="222">
        <v>670</v>
      </c>
      <c r="AF872" s="221">
        <f t="shared" si="108"/>
        <v>5315.1794161029438</v>
      </c>
      <c r="AG872" s="222">
        <v>0</v>
      </c>
      <c r="AH872" s="221">
        <v>0</v>
      </c>
      <c r="AI872" s="222">
        <v>0</v>
      </c>
      <c r="AJ872" s="221">
        <v>0</v>
      </c>
      <c r="AK872" s="222">
        <v>0</v>
      </c>
      <c r="AL872" s="222">
        <v>0</v>
      </c>
      <c r="AM872" s="222">
        <v>0</v>
      </c>
      <c r="AN872" s="222"/>
      <c r="AO872" s="222">
        <v>0</v>
      </c>
    </row>
    <row r="873" spans="1:41" s="223" customFormat="1" ht="36" customHeight="1" x14ac:dyDescent="0.25">
      <c r="A873" s="223">
        <v>1</v>
      </c>
      <c r="B873" s="225">
        <f>SUBTOTAL(103,$A$552:A873)</f>
        <v>297</v>
      </c>
      <c r="C873" s="215" t="s">
        <v>127</v>
      </c>
      <c r="D873" s="217">
        <v>1972</v>
      </c>
      <c r="E873" s="217"/>
      <c r="F873" s="226" t="s">
        <v>267</v>
      </c>
      <c r="G873" s="217">
        <v>2</v>
      </c>
      <c r="H873" s="217" t="s">
        <v>303</v>
      </c>
      <c r="I873" s="218">
        <v>669.61</v>
      </c>
      <c r="J873" s="218">
        <v>669.61</v>
      </c>
      <c r="K873" s="218">
        <v>621.29</v>
      </c>
      <c r="L873" s="219">
        <v>12</v>
      </c>
      <c r="M873" s="217" t="s">
        <v>265</v>
      </c>
      <c r="N873" s="217" t="s">
        <v>269</v>
      </c>
      <c r="O873" s="220" t="s">
        <v>285</v>
      </c>
      <c r="P873" s="190">
        <v>3011574.49</v>
      </c>
      <c r="Q873" s="190">
        <v>0</v>
      </c>
      <c r="R873" s="190">
        <v>0</v>
      </c>
      <c r="S873" s="190">
        <f t="shared" si="106"/>
        <v>3011574.49</v>
      </c>
      <c r="T873" s="190">
        <f t="shared" si="105"/>
        <v>4497.5052493242338</v>
      </c>
      <c r="U873" s="190">
        <v>5987.8498290049429</v>
      </c>
      <c r="V873" s="221">
        <f t="shared" si="102"/>
        <v>1490.3445796807091</v>
      </c>
      <c r="W873" s="221">
        <f t="shared" si="107"/>
        <v>5740.5313976792459</v>
      </c>
      <c r="X873" s="221">
        <v>0</v>
      </c>
      <c r="Y873" s="222">
        <v>0</v>
      </c>
      <c r="Z873" s="222">
        <v>0</v>
      </c>
      <c r="AA873" s="222">
        <v>0</v>
      </c>
      <c r="AB873" s="222">
        <v>0</v>
      </c>
      <c r="AC873" s="222">
        <v>0</v>
      </c>
      <c r="AD873" s="222">
        <v>0</v>
      </c>
      <c r="AE873" s="222">
        <v>616.12</v>
      </c>
      <c r="AF873" s="221">
        <f t="shared" si="108"/>
        <v>5740.5313976792459</v>
      </c>
      <c r="AG873" s="222">
        <v>0</v>
      </c>
      <c r="AH873" s="221">
        <v>0</v>
      </c>
      <c r="AI873" s="222">
        <v>0</v>
      </c>
      <c r="AJ873" s="221">
        <v>0</v>
      </c>
      <c r="AK873" s="222">
        <v>0</v>
      </c>
      <c r="AL873" s="222">
        <v>0</v>
      </c>
      <c r="AM873" s="222">
        <v>0</v>
      </c>
      <c r="AN873" s="222"/>
      <c r="AO873" s="222">
        <v>0</v>
      </c>
    </row>
    <row r="874" spans="1:41" s="223" customFormat="1" ht="36" customHeight="1" x14ac:dyDescent="0.25">
      <c r="A874" s="223">
        <v>1</v>
      </c>
      <c r="B874" s="225">
        <f>SUBTOTAL(103,$A$552:A874)</f>
        <v>298</v>
      </c>
      <c r="C874" s="215" t="s">
        <v>124</v>
      </c>
      <c r="D874" s="217">
        <v>1978</v>
      </c>
      <c r="E874" s="217"/>
      <c r="F874" s="226" t="s">
        <v>287</v>
      </c>
      <c r="G874" s="217">
        <v>5</v>
      </c>
      <c r="H874" s="217" t="s">
        <v>308</v>
      </c>
      <c r="I874" s="218">
        <v>4027.2</v>
      </c>
      <c r="J874" s="218">
        <v>3079.4</v>
      </c>
      <c r="K874" s="218">
        <v>3079.4</v>
      </c>
      <c r="L874" s="219">
        <v>157</v>
      </c>
      <c r="M874" s="217" t="s">
        <v>265</v>
      </c>
      <c r="N874" s="217" t="s">
        <v>269</v>
      </c>
      <c r="O874" s="220" t="s">
        <v>285</v>
      </c>
      <c r="P874" s="190">
        <v>4108566.83</v>
      </c>
      <c r="Q874" s="190">
        <v>0</v>
      </c>
      <c r="R874" s="190">
        <v>0</v>
      </c>
      <c r="S874" s="190">
        <f t="shared" si="106"/>
        <v>4108566.83</v>
      </c>
      <c r="T874" s="190">
        <f t="shared" si="105"/>
        <v>1020.2043181366707</v>
      </c>
      <c r="U874" s="190">
        <v>1250.2501713349227</v>
      </c>
      <c r="V874" s="221">
        <f t="shared" si="102"/>
        <v>230.04585319825196</v>
      </c>
      <c r="W874" s="221">
        <f t="shared" si="107"/>
        <v>1198.610614570918</v>
      </c>
      <c r="X874" s="221">
        <v>0</v>
      </c>
      <c r="Y874" s="222">
        <v>0</v>
      </c>
      <c r="Z874" s="222">
        <v>0</v>
      </c>
      <c r="AA874" s="222">
        <v>0</v>
      </c>
      <c r="AB874" s="222">
        <v>0</v>
      </c>
      <c r="AC874" s="222">
        <v>0</v>
      </c>
      <c r="AD874" s="222">
        <v>0</v>
      </c>
      <c r="AE874" s="222">
        <v>773.7</v>
      </c>
      <c r="AF874" s="221">
        <f t="shared" si="108"/>
        <v>1198.610614570918</v>
      </c>
      <c r="AG874" s="222">
        <v>0</v>
      </c>
      <c r="AH874" s="221">
        <v>0</v>
      </c>
      <c r="AI874" s="222">
        <v>0</v>
      </c>
      <c r="AJ874" s="221">
        <v>0</v>
      </c>
      <c r="AK874" s="222">
        <v>0</v>
      </c>
      <c r="AL874" s="222">
        <v>0</v>
      </c>
      <c r="AM874" s="222">
        <v>0</v>
      </c>
      <c r="AN874" s="222"/>
      <c r="AO874" s="222">
        <v>0</v>
      </c>
    </row>
    <row r="875" spans="1:41" s="223" customFormat="1" ht="36" customHeight="1" x14ac:dyDescent="0.25">
      <c r="A875" s="223">
        <v>1</v>
      </c>
      <c r="B875" s="225">
        <f>SUBTOTAL(103,$A$552:A875)</f>
        <v>299</v>
      </c>
      <c r="C875" s="215" t="s">
        <v>125</v>
      </c>
      <c r="D875" s="217">
        <v>1986</v>
      </c>
      <c r="E875" s="217"/>
      <c r="F875" s="226" t="s">
        <v>267</v>
      </c>
      <c r="G875" s="217">
        <v>5</v>
      </c>
      <c r="H875" s="217" t="s">
        <v>304</v>
      </c>
      <c r="I875" s="218">
        <v>2851.99</v>
      </c>
      <c r="J875" s="218">
        <v>2360.59</v>
      </c>
      <c r="K875" s="218">
        <v>2342</v>
      </c>
      <c r="L875" s="219">
        <v>145</v>
      </c>
      <c r="M875" s="217" t="s">
        <v>265</v>
      </c>
      <c r="N875" s="217" t="s">
        <v>269</v>
      </c>
      <c r="O875" s="220" t="s">
        <v>285</v>
      </c>
      <c r="P875" s="190">
        <v>4644926.0999999996</v>
      </c>
      <c r="Q875" s="190">
        <v>0</v>
      </c>
      <c r="R875" s="190">
        <v>0</v>
      </c>
      <c r="S875" s="190">
        <f>P875-Q875-R875</f>
        <v>4644926.0999999996</v>
      </c>
      <c r="T875" s="190">
        <f t="shared" si="105"/>
        <v>1628.6614258815773</v>
      </c>
      <c r="U875" s="190">
        <v>2133.4925788659848</v>
      </c>
      <c r="V875" s="221">
        <f>U875-T875</f>
        <v>504.83115298440748</v>
      </c>
      <c r="W875" s="221">
        <f>X875+Y875+Z875+AA875+AB875+AD875+AF875+AH875+AJ875+AL875+AN875+AO875</f>
        <v>2045.3721261294745</v>
      </c>
      <c r="X875" s="221">
        <v>0</v>
      </c>
      <c r="Y875" s="222">
        <v>0</v>
      </c>
      <c r="Z875" s="222">
        <v>0</v>
      </c>
      <c r="AA875" s="222">
        <v>0</v>
      </c>
      <c r="AB875" s="222">
        <v>0</v>
      </c>
      <c r="AC875" s="222">
        <v>0</v>
      </c>
      <c r="AD875" s="222">
        <v>0</v>
      </c>
      <c r="AE875" s="222">
        <v>935</v>
      </c>
      <c r="AF875" s="221">
        <f t="shared" si="108"/>
        <v>2045.3721261294745</v>
      </c>
      <c r="AG875" s="222">
        <v>0</v>
      </c>
      <c r="AH875" s="221">
        <v>0</v>
      </c>
      <c r="AI875" s="222">
        <v>0</v>
      </c>
      <c r="AJ875" s="221">
        <v>0</v>
      </c>
      <c r="AK875" s="222">
        <v>0</v>
      </c>
      <c r="AL875" s="222">
        <v>0</v>
      </c>
      <c r="AM875" s="222">
        <v>0</v>
      </c>
      <c r="AN875" s="222"/>
      <c r="AO875" s="222">
        <v>0</v>
      </c>
    </row>
    <row r="876" spans="1:41" s="223" customFormat="1" ht="36" customHeight="1" x14ac:dyDescent="0.25">
      <c r="A876" s="223">
        <v>1</v>
      </c>
      <c r="B876" s="225">
        <f>SUBTOTAL(103,$A$552:A876)</f>
        <v>300</v>
      </c>
      <c r="C876" s="215" t="s">
        <v>130</v>
      </c>
      <c r="D876" s="217">
        <v>1978</v>
      </c>
      <c r="E876" s="217"/>
      <c r="F876" s="226" t="s">
        <v>267</v>
      </c>
      <c r="G876" s="217">
        <v>3</v>
      </c>
      <c r="H876" s="217" t="s">
        <v>312</v>
      </c>
      <c r="I876" s="218">
        <v>1582.3</v>
      </c>
      <c r="J876" s="218">
        <v>1471.8</v>
      </c>
      <c r="K876" s="218">
        <v>1471.8</v>
      </c>
      <c r="L876" s="219">
        <v>69</v>
      </c>
      <c r="M876" s="217" t="s">
        <v>265</v>
      </c>
      <c r="N876" s="217" t="s">
        <v>269</v>
      </c>
      <c r="O876" s="220" t="s">
        <v>285</v>
      </c>
      <c r="P876" s="190">
        <v>6607023.6600000001</v>
      </c>
      <c r="Q876" s="190">
        <v>0</v>
      </c>
      <c r="R876" s="190">
        <v>0</v>
      </c>
      <c r="S876" s="190">
        <f t="shared" si="106"/>
        <v>6607023.6600000001</v>
      </c>
      <c r="T876" s="190">
        <f t="shared" si="105"/>
        <v>4175.5821652025534</v>
      </c>
      <c r="U876" s="190">
        <v>8777.5872818049666</v>
      </c>
      <c r="V876" s="221">
        <f t="shared" si="102"/>
        <v>4602.0051166024132</v>
      </c>
      <c r="W876" s="221">
        <f t="shared" si="107"/>
        <v>3686.6465588067999</v>
      </c>
      <c r="X876" s="221">
        <v>0</v>
      </c>
      <c r="Y876" s="222">
        <v>0</v>
      </c>
      <c r="Z876" s="222">
        <v>0</v>
      </c>
      <c r="AA876" s="222">
        <v>0</v>
      </c>
      <c r="AB876" s="222">
        <v>0</v>
      </c>
      <c r="AC876" s="222">
        <v>0</v>
      </c>
      <c r="AD876" s="222">
        <v>0</v>
      </c>
      <c r="AE876" s="222">
        <v>935</v>
      </c>
      <c r="AF876" s="221">
        <f t="shared" si="108"/>
        <v>3686.6465588067999</v>
      </c>
      <c r="AG876" s="222">
        <v>0</v>
      </c>
      <c r="AH876" s="221">
        <v>0</v>
      </c>
      <c r="AI876" s="222">
        <v>0</v>
      </c>
      <c r="AJ876" s="221">
        <v>0</v>
      </c>
      <c r="AK876" s="222">
        <v>0</v>
      </c>
      <c r="AL876" s="222">
        <v>0</v>
      </c>
      <c r="AM876" s="222">
        <v>0</v>
      </c>
      <c r="AN876" s="222"/>
      <c r="AO876" s="222">
        <v>0</v>
      </c>
    </row>
    <row r="877" spans="1:41" s="223" customFormat="1" ht="36" customHeight="1" x14ac:dyDescent="0.25">
      <c r="A877" s="223">
        <v>1</v>
      </c>
      <c r="B877" s="225">
        <f>SUBTOTAL(103,$A$552:A877)</f>
        <v>301</v>
      </c>
      <c r="C877" s="215" t="s">
        <v>114</v>
      </c>
      <c r="D877" s="217">
        <v>1973</v>
      </c>
      <c r="E877" s="217"/>
      <c r="F877" s="226" t="s">
        <v>267</v>
      </c>
      <c r="G877" s="217">
        <v>2</v>
      </c>
      <c r="H877" s="217" t="s">
        <v>303</v>
      </c>
      <c r="I877" s="218">
        <v>781.06</v>
      </c>
      <c r="J877" s="218">
        <v>721</v>
      </c>
      <c r="K877" s="218">
        <v>681.23</v>
      </c>
      <c r="L877" s="219">
        <v>38</v>
      </c>
      <c r="M877" s="217" t="s">
        <v>265</v>
      </c>
      <c r="N877" s="217" t="s">
        <v>269</v>
      </c>
      <c r="O877" s="220" t="s">
        <v>284</v>
      </c>
      <c r="P877" s="190">
        <v>2535216.96</v>
      </c>
      <c r="Q877" s="190">
        <v>0</v>
      </c>
      <c r="R877" s="190">
        <v>0</v>
      </c>
      <c r="S877" s="190">
        <f t="shared" si="106"/>
        <v>2535216.96</v>
      </c>
      <c r="T877" s="190">
        <f t="shared" si="105"/>
        <v>3245.867103679615</v>
      </c>
      <c r="U877" s="190">
        <v>5304.0762809515272</v>
      </c>
      <c r="V877" s="221">
        <f t="shared" si="102"/>
        <v>2058.2091772719123</v>
      </c>
      <c r="W877" s="221">
        <f t="shared" si="107"/>
        <v>5918.1220636058688</v>
      </c>
      <c r="X877" s="221">
        <v>0</v>
      </c>
      <c r="Y877" s="222">
        <v>0</v>
      </c>
      <c r="Z877" s="222">
        <v>0</v>
      </c>
      <c r="AA877" s="222">
        <v>0</v>
      </c>
      <c r="AB877" s="222">
        <v>0</v>
      </c>
      <c r="AC877" s="222">
        <v>0</v>
      </c>
      <c r="AD877" s="222">
        <v>0</v>
      </c>
      <c r="AE877" s="222">
        <v>740.9</v>
      </c>
      <c r="AF877" s="221">
        <f t="shared" si="108"/>
        <v>5918.1220636058688</v>
      </c>
      <c r="AG877" s="222">
        <v>0</v>
      </c>
      <c r="AH877" s="221">
        <v>0</v>
      </c>
      <c r="AI877" s="222">
        <v>0</v>
      </c>
      <c r="AJ877" s="221">
        <v>0</v>
      </c>
      <c r="AK877" s="222">
        <v>0</v>
      </c>
      <c r="AL877" s="222">
        <v>0</v>
      </c>
      <c r="AM877" s="222">
        <v>0</v>
      </c>
      <c r="AN877" s="222"/>
      <c r="AO877" s="222">
        <v>0</v>
      </c>
    </row>
    <row r="878" spans="1:41" s="223" customFormat="1" ht="36" customHeight="1" x14ac:dyDescent="0.25">
      <c r="A878" s="223">
        <v>1</v>
      </c>
      <c r="B878" s="225">
        <f>SUBTOTAL(103,$A$552:A878)</f>
        <v>302</v>
      </c>
      <c r="C878" s="215" t="s">
        <v>1224</v>
      </c>
      <c r="D878" s="217">
        <v>1987</v>
      </c>
      <c r="E878" s="217"/>
      <c r="F878" s="226" t="s">
        <v>267</v>
      </c>
      <c r="G878" s="217">
        <v>2</v>
      </c>
      <c r="H878" s="217" t="s">
        <v>312</v>
      </c>
      <c r="I878" s="190">
        <v>1448.2</v>
      </c>
      <c r="J878" s="190">
        <v>1448.2</v>
      </c>
      <c r="K878" s="190">
        <v>1448.2</v>
      </c>
      <c r="L878" s="219">
        <v>53</v>
      </c>
      <c r="M878" s="217" t="s">
        <v>265</v>
      </c>
      <c r="N878" s="217" t="s">
        <v>269</v>
      </c>
      <c r="O878" s="220" t="s">
        <v>1329</v>
      </c>
      <c r="P878" s="190">
        <v>1221946.1500000001</v>
      </c>
      <c r="Q878" s="190">
        <v>0</v>
      </c>
      <c r="R878" s="190">
        <v>0</v>
      </c>
      <c r="S878" s="190">
        <f t="shared" si="106"/>
        <v>1221946.1500000001</v>
      </c>
      <c r="T878" s="190">
        <f t="shared" si="105"/>
        <v>843.76892003866874</v>
      </c>
      <c r="U878" s="190">
        <v>3811.95</v>
      </c>
      <c r="V878" s="221">
        <f t="shared" si="102"/>
        <v>2968.1810799613313</v>
      </c>
      <c r="W878" s="221">
        <f t="shared" si="107"/>
        <v>1967.0531045435712</v>
      </c>
      <c r="X878" s="221">
        <v>0</v>
      </c>
      <c r="Y878" s="222">
        <v>0</v>
      </c>
      <c r="Z878" s="222">
        <v>0</v>
      </c>
      <c r="AA878" s="222">
        <v>0</v>
      </c>
      <c r="AB878" s="222">
        <v>0</v>
      </c>
      <c r="AC878" s="222">
        <v>0</v>
      </c>
      <c r="AD878" s="222">
        <v>0</v>
      </c>
      <c r="AE878" s="222">
        <v>456.6</v>
      </c>
      <c r="AF878" s="221">
        <f>6238.91*AE878/I878</f>
        <v>1967.0531045435712</v>
      </c>
      <c r="AG878" s="222">
        <v>0</v>
      </c>
      <c r="AH878" s="221">
        <v>0</v>
      </c>
      <c r="AI878" s="222">
        <v>0</v>
      </c>
      <c r="AJ878" s="221">
        <v>0</v>
      </c>
      <c r="AK878" s="222">
        <v>0</v>
      </c>
      <c r="AL878" s="222">
        <v>0</v>
      </c>
      <c r="AM878" s="222">
        <v>0</v>
      </c>
      <c r="AN878" s="222"/>
      <c r="AO878" s="222">
        <v>0</v>
      </c>
    </row>
    <row r="879" spans="1:41" s="223" customFormat="1" ht="36" customHeight="1" x14ac:dyDescent="0.25">
      <c r="A879" s="223">
        <v>1</v>
      </c>
      <c r="B879" s="225">
        <f>SUBTOTAL(103,$A$552:A879)</f>
        <v>303</v>
      </c>
      <c r="C879" s="215" t="s">
        <v>119</v>
      </c>
      <c r="D879" s="217">
        <v>1979</v>
      </c>
      <c r="E879" s="217"/>
      <c r="F879" s="226" t="s">
        <v>267</v>
      </c>
      <c r="G879" s="217">
        <v>2</v>
      </c>
      <c r="H879" s="217" t="s">
        <v>312</v>
      </c>
      <c r="I879" s="190">
        <v>1253.7</v>
      </c>
      <c r="J879" s="190">
        <v>1253.7</v>
      </c>
      <c r="K879" s="190">
        <v>1133.5</v>
      </c>
      <c r="L879" s="219">
        <v>56</v>
      </c>
      <c r="M879" s="217" t="s">
        <v>265</v>
      </c>
      <c r="N879" s="217" t="s">
        <v>269</v>
      </c>
      <c r="O879" s="220" t="s">
        <v>285</v>
      </c>
      <c r="P879" s="190">
        <v>2197982.44</v>
      </c>
      <c r="Q879" s="190">
        <v>0</v>
      </c>
      <c r="R879" s="190">
        <v>0</v>
      </c>
      <c r="S879" s="190">
        <f t="shared" si="106"/>
        <v>2197982.44</v>
      </c>
      <c r="T879" s="190">
        <f t="shared" si="105"/>
        <v>1753.19649038845</v>
      </c>
      <c r="U879" s="190">
        <v>3925.04</v>
      </c>
      <c r="V879" s="221">
        <f t="shared" si="102"/>
        <v>2171.84350961155</v>
      </c>
      <c r="W879" s="221">
        <f t="shared" si="107"/>
        <v>3164.9890404402963</v>
      </c>
      <c r="X879" s="221">
        <v>0</v>
      </c>
      <c r="Y879" s="222">
        <v>0</v>
      </c>
      <c r="Z879" s="222">
        <v>0</v>
      </c>
      <c r="AA879" s="222">
        <v>0</v>
      </c>
      <c r="AB879" s="222">
        <v>0</v>
      </c>
      <c r="AC879" s="222">
        <v>0</v>
      </c>
      <c r="AD879" s="222">
        <v>0</v>
      </c>
      <c r="AE879" s="222">
        <v>636</v>
      </c>
      <c r="AF879" s="221">
        <f t="shared" ref="AF879" si="109">6238.91*AE879/I879</f>
        <v>3164.9890404402963</v>
      </c>
      <c r="AG879" s="222">
        <v>0</v>
      </c>
      <c r="AH879" s="221">
        <v>0</v>
      </c>
      <c r="AI879" s="222">
        <v>0</v>
      </c>
      <c r="AJ879" s="221">
        <v>0</v>
      </c>
      <c r="AK879" s="222">
        <v>0</v>
      </c>
      <c r="AL879" s="222">
        <v>0</v>
      </c>
      <c r="AM879" s="222">
        <v>0</v>
      </c>
      <c r="AN879" s="222"/>
      <c r="AO879" s="222">
        <v>0</v>
      </c>
    </row>
    <row r="880" spans="1:41" s="223" customFormat="1" ht="36" customHeight="1" x14ac:dyDescent="0.25">
      <c r="A880" s="223">
        <v>1</v>
      </c>
      <c r="B880" s="225">
        <f>SUBTOTAL(103,$A$552:A880)</f>
        <v>304</v>
      </c>
      <c r="C880" s="215" t="s">
        <v>2310</v>
      </c>
      <c r="D880" s="217">
        <v>1959</v>
      </c>
      <c r="E880" s="217"/>
      <c r="F880" s="226" t="s">
        <v>267</v>
      </c>
      <c r="G880" s="217">
        <v>2</v>
      </c>
      <c r="H880" s="217">
        <v>1</v>
      </c>
      <c r="I880" s="190">
        <v>428.93</v>
      </c>
      <c r="J880" s="190">
        <v>378.98</v>
      </c>
      <c r="K880" s="190">
        <v>378.98</v>
      </c>
      <c r="L880" s="219">
        <v>16</v>
      </c>
      <c r="M880" s="217" t="s">
        <v>265</v>
      </c>
      <c r="N880" s="217" t="s">
        <v>266</v>
      </c>
      <c r="O880" s="220" t="s">
        <v>268</v>
      </c>
      <c r="P880" s="190">
        <v>2063603.2000000002</v>
      </c>
      <c r="Q880" s="190">
        <v>0</v>
      </c>
      <c r="R880" s="190">
        <v>0</v>
      </c>
      <c r="S880" s="190">
        <f t="shared" si="106"/>
        <v>2063603.2000000002</v>
      </c>
      <c r="T880" s="190">
        <f t="shared" si="105"/>
        <v>4811.0488890961233</v>
      </c>
      <c r="U880" s="190">
        <v>5282.262448418157</v>
      </c>
      <c r="V880" s="221">
        <f t="shared" si="102"/>
        <v>471.21355932203369</v>
      </c>
      <c r="W880" s="221">
        <f t="shared" si="107"/>
        <v>9250.8026018231412</v>
      </c>
      <c r="X880" s="221">
        <v>0</v>
      </c>
      <c r="Y880" s="222">
        <v>0</v>
      </c>
      <c r="Z880" s="222">
        <v>0</v>
      </c>
      <c r="AA880" s="222">
        <v>0</v>
      </c>
      <c r="AB880" s="222">
        <v>0</v>
      </c>
      <c r="AC880" s="222">
        <v>0</v>
      </c>
      <c r="AD880" s="222">
        <v>0</v>
      </c>
      <c r="AE880" s="222">
        <v>636</v>
      </c>
      <c r="AF880" s="221">
        <f t="shared" si="108"/>
        <v>9250.8026018231412</v>
      </c>
      <c r="AG880" s="222">
        <v>0</v>
      </c>
      <c r="AH880" s="221">
        <v>0</v>
      </c>
      <c r="AI880" s="222">
        <v>0</v>
      </c>
      <c r="AJ880" s="221">
        <v>0</v>
      </c>
      <c r="AK880" s="222">
        <v>0</v>
      </c>
      <c r="AL880" s="222">
        <v>0</v>
      </c>
      <c r="AM880" s="222">
        <v>0</v>
      </c>
      <c r="AN880" s="222"/>
      <c r="AO880" s="222">
        <v>0</v>
      </c>
    </row>
    <row r="881" spans="1:41" s="223" customFormat="1" ht="36" customHeight="1" x14ac:dyDescent="0.25">
      <c r="B881" s="215" t="s">
        <v>834</v>
      </c>
      <c r="C881" s="215"/>
      <c r="D881" s="217" t="s">
        <v>890</v>
      </c>
      <c r="E881" s="217" t="s">
        <v>890</v>
      </c>
      <c r="F881" s="217" t="s">
        <v>890</v>
      </c>
      <c r="G881" s="217" t="s">
        <v>890</v>
      </c>
      <c r="H881" s="217" t="s">
        <v>890</v>
      </c>
      <c r="I881" s="190">
        <f>SUM(I882:I883)</f>
        <v>1443.4</v>
      </c>
      <c r="J881" s="190">
        <f>SUM(J882:J883)</f>
        <v>1238.9000000000001</v>
      </c>
      <c r="K881" s="190">
        <f>SUM(K882:K883)</f>
        <v>1204.5999999999999</v>
      </c>
      <c r="L881" s="219">
        <f>SUM(L882:L883)</f>
        <v>68</v>
      </c>
      <c r="M881" s="217" t="s">
        <v>890</v>
      </c>
      <c r="N881" s="217" t="s">
        <v>890</v>
      </c>
      <c r="O881" s="220" t="s">
        <v>890</v>
      </c>
      <c r="P881" s="190">
        <v>6003691.8100000005</v>
      </c>
      <c r="Q881" s="190">
        <f>SUM(Q882:Q883)</f>
        <v>0</v>
      </c>
      <c r="R881" s="190">
        <f>SUM(R882:R883)</f>
        <v>0</v>
      </c>
      <c r="S881" s="190">
        <f>SUM(S882:S883)</f>
        <v>6003691.8100000005</v>
      </c>
      <c r="T881" s="190">
        <f t="shared" si="105"/>
        <v>4159.4095953997503</v>
      </c>
      <c r="U881" s="190">
        <f>MAX(U882:U883)</f>
        <v>4564.9340291076214</v>
      </c>
      <c r="V881" s="221">
        <f>U881-T881</f>
        <v>405.52443370787114</v>
      </c>
      <c r="W881" s="221"/>
      <c r="X881" s="221"/>
      <c r="Y881" s="222"/>
      <c r="Z881" s="222"/>
      <c r="AA881" s="222"/>
      <c r="AB881" s="222"/>
      <c r="AC881" s="222"/>
      <c r="AD881" s="222"/>
      <c r="AE881" s="222"/>
      <c r="AF881" s="222"/>
      <c r="AG881" s="222"/>
      <c r="AH881" s="222"/>
      <c r="AI881" s="222"/>
      <c r="AJ881" s="222"/>
      <c r="AK881" s="222"/>
      <c r="AL881" s="222"/>
      <c r="AM881" s="222"/>
      <c r="AN881" s="222"/>
      <c r="AO881" s="222"/>
    </row>
    <row r="882" spans="1:41" s="223" customFormat="1" ht="36" customHeight="1" x14ac:dyDescent="0.25">
      <c r="A882" s="223">
        <v>1</v>
      </c>
      <c r="B882" s="225">
        <f>SUBTOTAL(103,$A$552:A882)</f>
        <v>305</v>
      </c>
      <c r="C882" s="215" t="s">
        <v>169</v>
      </c>
      <c r="D882" s="217">
        <v>1983</v>
      </c>
      <c r="E882" s="217"/>
      <c r="F882" s="226" t="s">
        <v>267</v>
      </c>
      <c r="G882" s="217">
        <v>2</v>
      </c>
      <c r="H882" s="217" t="s">
        <v>312</v>
      </c>
      <c r="I882" s="218">
        <v>1044.4000000000001</v>
      </c>
      <c r="J882" s="218">
        <v>943.9</v>
      </c>
      <c r="K882" s="218">
        <v>943.9</v>
      </c>
      <c r="L882" s="219">
        <v>47</v>
      </c>
      <c r="M882" s="217" t="s">
        <v>265</v>
      </c>
      <c r="N882" s="217" t="s">
        <v>337</v>
      </c>
      <c r="O882" s="220" t="s">
        <v>810</v>
      </c>
      <c r="P882" s="190">
        <v>4763670.41</v>
      </c>
      <c r="Q882" s="190">
        <v>0</v>
      </c>
      <c r="R882" s="190">
        <v>0</v>
      </c>
      <c r="S882" s="190">
        <f>P882-Q882-R882</f>
        <v>4763670.41</v>
      </c>
      <c r="T882" s="190">
        <f t="shared" si="105"/>
        <v>4561.1551225584062</v>
      </c>
      <c r="U882" s="190">
        <v>4564.9340291076214</v>
      </c>
      <c r="V882" s="221">
        <f>U882-T882</f>
        <v>3.7789065492152076</v>
      </c>
      <c r="W882" s="221">
        <f>X882+Y882+Z882+AA882+AB882+AD882+AF882+AH882+AJ882+AL882+AN882+AO882</f>
        <v>3269.3861547299884</v>
      </c>
      <c r="X882" s="221">
        <v>0</v>
      </c>
      <c r="Y882" s="222">
        <v>0</v>
      </c>
      <c r="Z882" s="222">
        <v>0</v>
      </c>
      <c r="AA882" s="222">
        <v>0</v>
      </c>
      <c r="AB882" s="222">
        <v>0</v>
      </c>
      <c r="AC882" s="222">
        <v>0</v>
      </c>
      <c r="AD882" s="222">
        <v>0</v>
      </c>
      <c r="AE882" s="222">
        <v>0</v>
      </c>
      <c r="AF882" s="221">
        <v>0</v>
      </c>
      <c r="AG882" s="222">
        <v>0</v>
      </c>
      <c r="AH882" s="221">
        <v>0</v>
      </c>
      <c r="AI882" s="222">
        <v>459</v>
      </c>
      <c r="AJ882" s="221">
        <f>7439.1*AI882/I882</f>
        <v>3269.3861547299884</v>
      </c>
      <c r="AK882" s="222">
        <v>0</v>
      </c>
      <c r="AL882" s="222">
        <v>0</v>
      </c>
      <c r="AM882" s="222">
        <v>0</v>
      </c>
      <c r="AN882" s="222"/>
      <c r="AO882" s="222">
        <v>0</v>
      </c>
    </row>
    <row r="883" spans="1:41" s="223" customFormat="1" ht="36" customHeight="1" x14ac:dyDescent="0.25">
      <c r="A883" s="223">
        <v>1</v>
      </c>
      <c r="B883" s="225">
        <f>SUBTOTAL(103,$A$552:A883)</f>
        <v>306</v>
      </c>
      <c r="C883" s="215" t="s">
        <v>1569</v>
      </c>
      <c r="D883" s="217">
        <v>1967</v>
      </c>
      <c r="E883" s="217"/>
      <c r="F883" s="226" t="s">
        <v>1571</v>
      </c>
      <c r="G883" s="217">
        <v>2</v>
      </c>
      <c r="H883" s="217" t="s">
        <v>304</v>
      </c>
      <c r="I883" s="218">
        <v>399</v>
      </c>
      <c r="J883" s="218">
        <v>295</v>
      </c>
      <c r="K883" s="218">
        <v>260.7</v>
      </c>
      <c r="L883" s="219">
        <v>21</v>
      </c>
      <c r="M883" s="217" t="s">
        <v>265</v>
      </c>
      <c r="N883" s="217" t="s">
        <v>337</v>
      </c>
      <c r="O883" s="220" t="s">
        <v>810</v>
      </c>
      <c r="P883" s="190">
        <v>1240021.3999999999</v>
      </c>
      <c r="Q883" s="190">
        <v>0</v>
      </c>
      <c r="R883" s="190">
        <v>0</v>
      </c>
      <c r="S883" s="190">
        <f>P883-Q883-R883</f>
        <v>1240021.3999999999</v>
      </c>
      <c r="T883" s="190">
        <f t="shared" si="105"/>
        <v>3107.8230576441101</v>
      </c>
      <c r="U883" s="190">
        <v>3107.8230576441101</v>
      </c>
      <c r="V883" s="221">
        <f>U883-T883</f>
        <v>0</v>
      </c>
      <c r="W883" s="221">
        <f>X883+Y883+Z883+AA883+AB883+AD883+AF883+AH883+AJ883+AL883+AN883+AO883</f>
        <v>7933.1755639097755</v>
      </c>
      <c r="X883" s="221">
        <v>0</v>
      </c>
      <c r="Y883" s="222">
        <v>0</v>
      </c>
      <c r="Z883" s="222">
        <v>0</v>
      </c>
      <c r="AA883" s="222">
        <v>0</v>
      </c>
      <c r="AB883" s="222">
        <v>0</v>
      </c>
      <c r="AC883" s="222">
        <v>0</v>
      </c>
      <c r="AD883" s="222">
        <v>0</v>
      </c>
      <c r="AE883" s="222">
        <v>0</v>
      </c>
      <c r="AF883" s="221">
        <v>0</v>
      </c>
      <c r="AG883" s="222">
        <v>0</v>
      </c>
      <c r="AH883" s="221">
        <v>0</v>
      </c>
      <c r="AI883" s="222">
        <v>425.5</v>
      </c>
      <c r="AJ883" s="221">
        <f>7439.1*AI883/I883</f>
        <v>7933.1755639097755</v>
      </c>
      <c r="AK883" s="222">
        <v>0</v>
      </c>
      <c r="AL883" s="222">
        <v>0</v>
      </c>
      <c r="AM883" s="222">
        <v>0</v>
      </c>
      <c r="AN883" s="222"/>
      <c r="AO883" s="222">
        <v>0</v>
      </c>
    </row>
    <row r="884" spans="1:41" s="223" customFormat="1" ht="36" customHeight="1" x14ac:dyDescent="0.25">
      <c r="B884" s="215" t="s">
        <v>836</v>
      </c>
      <c r="C884" s="227"/>
      <c r="D884" s="217" t="s">
        <v>890</v>
      </c>
      <c r="E884" s="217" t="s">
        <v>890</v>
      </c>
      <c r="F884" s="217" t="s">
        <v>890</v>
      </c>
      <c r="G884" s="217" t="s">
        <v>890</v>
      </c>
      <c r="H884" s="217" t="s">
        <v>890</v>
      </c>
      <c r="I884" s="218">
        <f>SUM(I885:I887)</f>
        <v>1854.1999999999998</v>
      </c>
      <c r="J884" s="218">
        <f>SUM(J885:J887)</f>
        <v>1598.8000000000002</v>
      </c>
      <c r="K884" s="218">
        <f>SUM(K885:K887)</f>
        <v>1394.4</v>
      </c>
      <c r="L884" s="219">
        <f>SUM(L885:L887)</f>
        <v>87</v>
      </c>
      <c r="M884" s="217" t="s">
        <v>890</v>
      </c>
      <c r="N884" s="217" t="s">
        <v>890</v>
      </c>
      <c r="O884" s="220" t="s">
        <v>890</v>
      </c>
      <c r="P884" s="190">
        <v>7316428.790000001</v>
      </c>
      <c r="Q884" s="190">
        <f>SUM(Q885:Q887)</f>
        <v>0</v>
      </c>
      <c r="R884" s="190">
        <f>SUM(R885:R887)</f>
        <v>0</v>
      </c>
      <c r="S884" s="190">
        <f>SUM(S885:S887)</f>
        <v>7316428.790000001</v>
      </c>
      <c r="T884" s="190">
        <f t="shared" si="105"/>
        <v>3945.8681857404822</v>
      </c>
      <c r="U884" s="190">
        <f>MAX(U885:U887)</f>
        <v>5497.5167155425215</v>
      </c>
      <c r="V884" s="221">
        <f t="shared" si="102"/>
        <v>1551.6485298020393</v>
      </c>
      <c r="W884" s="221"/>
      <c r="X884" s="221"/>
      <c r="Y884" s="222"/>
      <c r="Z884" s="222"/>
      <c r="AA884" s="222"/>
      <c r="AB884" s="222"/>
      <c r="AC884" s="222"/>
      <c r="AD884" s="222"/>
      <c r="AE884" s="222"/>
      <c r="AF884" s="222"/>
      <c r="AG884" s="222"/>
      <c r="AH884" s="222"/>
      <c r="AI884" s="222"/>
      <c r="AJ884" s="222"/>
      <c r="AK884" s="222"/>
      <c r="AL884" s="222"/>
      <c r="AM884" s="222"/>
      <c r="AN884" s="222"/>
      <c r="AO884" s="222"/>
    </row>
    <row r="885" spans="1:41" s="223" customFormat="1" ht="36" customHeight="1" x14ac:dyDescent="0.25">
      <c r="A885" s="223">
        <v>1</v>
      </c>
      <c r="B885" s="225">
        <f>SUBTOTAL(103,$A$552:A885)</f>
        <v>307</v>
      </c>
      <c r="C885" s="215" t="s">
        <v>176</v>
      </c>
      <c r="D885" s="217">
        <v>1968</v>
      </c>
      <c r="E885" s="217">
        <v>2009</v>
      </c>
      <c r="F885" s="226" t="s">
        <v>267</v>
      </c>
      <c r="G885" s="217">
        <v>2</v>
      </c>
      <c r="H885" s="217" t="s">
        <v>303</v>
      </c>
      <c r="I885" s="218">
        <v>791.5</v>
      </c>
      <c r="J885" s="218">
        <v>725.1</v>
      </c>
      <c r="K885" s="218">
        <v>725.1</v>
      </c>
      <c r="L885" s="219">
        <v>42</v>
      </c>
      <c r="M885" s="217" t="s">
        <v>265</v>
      </c>
      <c r="N885" s="217" t="s">
        <v>266</v>
      </c>
      <c r="O885" s="220" t="s">
        <v>268</v>
      </c>
      <c r="P885" s="190">
        <v>3268266.38</v>
      </c>
      <c r="Q885" s="190">
        <v>0</v>
      </c>
      <c r="R885" s="190">
        <v>0</v>
      </c>
      <c r="S885" s="190">
        <f>P885-Q885-R885</f>
        <v>3268266.38</v>
      </c>
      <c r="T885" s="190">
        <f t="shared" si="105"/>
        <v>4129.2057864813642</v>
      </c>
      <c r="U885" s="190">
        <v>5344.2893240682251</v>
      </c>
      <c r="V885" s="221">
        <f>U885-T885</f>
        <v>1215.083537586861</v>
      </c>
      <c r="W885" s="221">
        <f>X885+Y885+Z885+AA885+AB885+AD885+AF885+AH885+AJ885+AL885+AN885+AO885</f>
        <v>4314.0200884396718</v>
      </c>
      <c r="X885" s="221">
        <v>0</v>
      </c>
      <c r="Y885" s="222">
        <v>0</v>
      </c>
      <c r="Z885" s="222">
        <v>0</v>
      </c>
      <c r="AA885" s="222">
        <v>0</v>
      </c>
      <c r="AB885" s="222">
        <v>0</v>
      </c>
      <c r="AC885" s="222">
        <v>0</v>
      </c>
      <c r="AD885" s="222">
        <v>0</v>
      </c>
      <c r="AE885" s="222">
        <v>0</v>
      </c>
      <c r="AF885" s="221">
        <v>0</v>
      </c>
      <c r="AG885" s="222">
        <v>0</v>
      </c>
      <c r="AH885" s="221">
        <v>0</v>
      </c>
      <c r="AI885" s="222">
        <v>459</v>
      </c>
      <c r="AJ885" s="221">
        <f>7439.1*AI885/I885</f>
        <v>4314.0200884396718</v>
      </c>
      <c r="AK885" s="222">
        <v>0</v>
      </c>
      <c r="AL885" s="222">
        <v>0</v>
      </c>
      <c r="AM885" s="222">
        <v>0</v>
      </c>
      <c r="AN885" s="222"/>
      <c r="AO885" s="222">
        <v>0</v>
      </c>
    </row>
    <row r="886" spans="1:41" s="223" customFormat="1" ht="36" customHeight="1" x14ac:dyDescent="0.25">
      <c r="A886" s="223">
        <v>1</v>
      </c>
      <c r="B886" s="225">
        <f>SUBTOTAL(103,$A$552:A886)</f>
        <v>308</v>
      </c>
      <c r="C886" s="215" t="s">
        <v>181</v>
      </c>
      <c r="D886" s="217">
        <v>1955</v>
      </c>
      <c r="E886" s="217"/>
      <c r="F886" s="226" t="s">
        <v>267</v>
      </c>
      <c r="G886" s="217">
        <v>2</v>
      </c>
      <c r="H886" s="217" t="s">
        <v>304</v>
      </c>
      <c r="I886" s="218">
        <v>545.6</v>
      </c>
      <c r="J886" s="218">
        <v>501.6</v>
      </c>
      <c r="K886" s="218">
        <v>384.3</v>
      </c>
      <c r="L886" s="219">
        <v>27</v>
      </c>
      <c r="M886" s="217" t="s">
        <v>265</v>
      </c>
      <c r="N886" s="217" t="s">
        <v>266</v>
      </c>
      <c r="O886" s="220" t="s">
        <v>268</v>
      </c>
      <c r="P886" s="190">
        <v>2209514.9300000002</v>
      </c>
      <c r="Q886" s="190">
        <v>0</v>
      </c>
      <c r="R886" s="190">
        <v>0</v>
      </c>
      <c r="S886" s="190">
        <f>P886-Q886-R886</f>
        <v>2209514.9300000002</v>
      </c>
      <c r="T886" s="190">
        <f t="shared" si="105"/>
        <v>4049.6974523460412</v>
      </c>
      <c r="U886" s="190">
        <v>5497.5167155425215</v>
      </c>
      <c r="V886" s="221">
        <f>U886-T886</f>
        <v>1447.8192631964803</v>
      </c>
      <c r="W886" s="221">
        <f>X886+Y886+Z886+AA886+AB886+AD886+AF886+AH886+AJ886+AL886+AN886+AO886</f>
        <v>5801.5708394428157</v>
      </c>
      <c r="X886" s="221">
        <v>0</v>
      </c>
      <c r="Y886" s="222">
        <v>0</v>
      </c>
      <c r="Z886" s="222">
        <v>0</v>
      </c>
      <c r="AA886" s="222">
        <v>0</v>
      </c>
      <c r="AB886" s="222">
        <v>0</v>
      </c>
      <c r="AC886" s="222">
        <v>0</v>
      </c>
      <c r="AD886" s="222">
        <v>0</v>
      </c>
      <c r="AE886" s="222">
        <v>0</v>
      </c>
      <c r="AF886" s="221">
        <v>0</v>
      </c>
      <c r="AG886" s="222">
        <v>0</v>
      </c>
      <c r="AH886" s="221">
        <v>0</v>
      </c>
      <c r="AI886" s="222">
        <v>425.5</v>
      </c>
      <c r="AJ886" s="221">
        <f>7439.1*AI886/I886</f>
        <v>5801.5708394428157</v>
      </c>
      <c r="AK886" s="222">
        <v>0</v>
      </c>
      <c r="AL886" s="222">
        <v>0</v>
      </c>
      <c r="AM886" s="222">
        <v>0</v>
      </c>
      <c r="AN886" s="222"/>
      <c r="AO886" s="222">
        <v>0</v>
      </c>
    </row>
    <row r="887" spans="1:41" s="223" customFormat="1" ht="36" customHeight="1" x14ac:dyDescent="0.25">
      <c r="A887" s="223">
        <v>1</v>
      </c>
      <c r="B887" s="225">
        <f>SUBTOTAL(103,$A$552:A887)</f>
        <v>309</v>
      </c>
      <c r="C887" s="215" t="s">
        <v>1568</v>
      </c>
      <c r="D887" s="217">
        <v>1976</v>
      </c>
      <c r="E887" s="217"/>
      <c r="F887" s="226" t="s">
        <v>1571</v>
      </c>
      <c r="G887" s="217">
        <v>2</v>
      </c>
      <c r="H887" s="217" t="s">
        <v>304</v>
      </c>
      <c r="I887" s="218">
        <v>517.1</v>
      </c>
      <c r="J887" s="218">
        <v>372.1</v>
      </c>
      <c r="K887" s="218">
        <v>285</v>
      </c>
      <c r="L887" s="219">
        <v>18</v>
      </c>
      <c r="M887" s="217" t="s">
        <v>265</v>
      </c>
      <c r="N887" s="217" t="s">
        <v>266</v>
      </c>
      <c r="O887" s="220" t="s">
        <v>268</v>
      </c>
      <c r="P887" s="190">
        <v>1838647.48</v>
      </c>
      <c r="Q887" s="190">
        <v>0</v>
      </c>
      <c r="R887" s="190">
        <v>0</v>
      </c>
      <c r="S887" s="190">
        <f>P887-Q887-R887</f>
        <v>1838647.48</v>
      </c>
      <c r="T887" s="190">
        <f t="shared" si="105"/>
        <v>3555.6903500290077</v>
      </c>
      <c r="U887" s="190">
        <v>3555.6903500290077</v>
      </c>
      <c r="V887" s="221">
        <f>U887-T887</f>
        <v>0</v>
      </c>
      <c r="W887" s="221">
        <f>X887+Y887+Z887+AA887+AB887+AD887+AF887+AH887+AJ887+AL887+AN887+AO887</f>
        <v>7842.3738155095725</v>
      </c>
      <c r="X887" s="221">
        <v>0</v>
      </c>
      <c r="Y887" s="222">
        <v>0</v>
      </c>
      <c r="Z887" s="222">
        <v>0</v>
      </c>
      <c r="AA887" s="222">
        <v>0</v>
      </c>
      <c r="AB887" s="222">
        <v>0</v>
      </c>
      <c r="AC887" s="222">
        <v>0</v>
      </c>
      <c r="AD887" s="222">
        <v>0</v>
      </c>
      <c r="AE887" s="222">
        <v>650</v>
      </c>
      <c r="AF887" s="221">
        <f>6238.91*AE887/I887</f>
        <v>7842.3738155095725</v>
      </c>
      <c r="AG887" s="222">
        <v>0</v>
      </c>
      <c r="AH887" s="221">
        <v>0</v>
      </c>
      <c r="AI887" s="222">
        <v>0</v>
      </c>
      <c r="AJ887" s="221">
        <v>0</v>
      </c>
      <c r="AK887" s="222">
        <v>0</v>
      </c>
      <c r="AL887" s="222">
        <v>0</v>
      </c>
      <c r="AM887" s="222">
        <v>0</v>
      </c>
      <c r="AN887" s="222"/>
      <c r="AO887" s="222">
        <v>0</v>
      </c>
    </row>
    <row r="888" spans="1:41" s="223" customFormat="1" ht="36" customHeight="1" x14ac:dyDescent="0.25">
      <c r="B888" s="215" t="s">
        <v>835</v>
      </c>
      <c r="C888" s="215"/>
      <c r="D888" s="217" t="s">
        <v>890</v>
      </c>
      <c r="E888" s="217" t="s">
        <v>890</v>
      </c>
      <c r="F888" s="217" t="s">
        <v>890</v>
      </c>
      <c r="G888" s="217" t="s">
        <v>890</v>
      </c>
      <c r="H888" s="217" t="s">
        <v>890</v>
      </c>
      <c r="I888" s="190">
        <f>SUM(I889:I890)</f>
        <v>889.09999999999991</v>
      </c>
      <c r="J888" s="190">
        <f>SUM(J889:J890)</f>
        <v>796.59999999999991</v>
      </c>
      <c r="K888" s="190">
        <f>SUM(K889:K890)</f>
        <v>753.7</v>
      </c>
      <c r="L888" s="219">
        <f>SUM(L889:L890)</f>
        <v>44</v>
      </c>
      <c r="M888" s="217" t="s">
        <v>890</v>
      </c>
      <c r="N888" s="217" t="s">
        <v>890</v>
      </c>
      <c r="O888" s="220" t="s">
        <v>890</v>
      </c>
      <c r="P888" s="190">
        <v>5162888.5</v>
      </c>
      <c r="Q888" s="190">
        <f>SUM(Q889:Q890)</f>
        <v>0</v>
      </c>
      <c r="R888" s="190">
        <f>SUM(R889:R890)</f>
        <v>0</v>
      </c>
      <c r="S888" s="190">
        <f>SUM(S889:S890)</f>
        <v>5162888.5</v>
      </c>
      <c r="T888" s="190">
        <f t="shared" si="105"/>
        <v>5806.8704307726921</v>
      </c>
      <c r="U888" s="190">
        <f>MAX(U889:U890)</f>
        <v>7744.4928555227953</v>
      </c>
      <c r="V888" s="221">
        <f t="shared" si="102"/>
        <v>1937.6224247501032</v>
      </c>
      <c r="W888" s="221"/>
      <c r="X888" s="221"/>
      <c r="Y888" s="222"/>
      <c r="Z888" s="222"/>
      <c r="AA888" s="222"/>
      <c r="AB888" s="222"/>
      <c r="AC888" s="222"/>
      <c r="AD888" s="222"/>
      <c r="AE888" s="222"/>
      <c r="AF888" s="222"/>
      <c r="AG888" s="222"/>
      <c r="AH888" s="222"/>
      <c r="AI888" s="222"/>
      <c r="AJ888" s="222"/>
      <c r="AK888" s="222"/>
      <c r="AL888" s="222"/>
      <c r="AM888" s="222"/>
      <c r="AN888" s="222"/>
      <c r="AO888" s="222"/>
    </row>
    <row r="889" spans="1:41" s="223" customFormat="1" ht="36" customHeight="1" x14ac:dyDescent="0.25">
      <c r="A889" s="223">
        <v>1</v>
      </c>
      <c r="B889" s="225">
        <f>SUBTOTAL(103,$A$552:A889)</f>
        <v>310</v>
      </c>
      <c r="C889" s="215" t="s">
        <v>174</v>
      </c>
      <c r="D889" s="217">
        <v>1955</v>
      </c>
      <c r="E889" s="217"/>
      <c r="F889" s="226" t="s">
        <v>267</v>
      </c>
      <c r="G889" s="217">
        <v>2</v>
      </c>
      <c r="H889" s="217" t="s">
        <v>303</v>
      </c>
      <c r="I889" s="218">
        <v>440.9</v>
      </c>
      <c r="J889" s="218">
        <v>395.2</v>
      </c>
      <c r="K889" s="218">
        <v>395.2</v>
      </c>
      <c r="L889" s="219">
        <v>23</v>
      </c>
      <c r="M889" s="217" t="s">
        <v>265</v>
      </c>
      <c r="N889" s="217" t="s">
        <v>337</v>
      </c>
      <c r="O889" s="220" t="s">
        <v>339</v>
      </c>
      <c r="P889" s="190">
        <v>2662806.4000000004</v>
      </c>
      <c r="Q889" s="190">
        <v>0</v>
      </c>
      <c r="R889" s="190">
        <v>0</v>
      </c>
      <c r="S889" s="190">
        <f>P889-Q889-R889</f>
        <v>2662806.4000000004</v>
      </c>
      <c r="T889" s="190">
        <f t="shared" si="105"/>
        <v>6039.4792469947843</v>
      </c>
      <c r="U889" s="190">
        <v>7744.4928555227953</v>
      </c>
      <c r="V889" s="221">
        <f t="shared" si="102"/>
        <v>1705.013608528011</v>
      </c>
      <c r="W889" s="221">
        <f>X889+Y889+Z889+AA889+AB889+AD889+AF889+AH889+AJ889+AL889+AN889+AO889</f>
        <v>7744.4928555227953</v>
      </c>
      <c r="X889" s="221">
        <v>0</v>
      </c>
      <c r="Y889" s="222">
        <v>0</v>
      </c>
      <c r="Z889" s="222">
        <v>0</v>
      </c>
      <c r="AA889" s="222">
        <v>0</v>
      </c>
      <c r="AB889" s="222">
        <v>0</v>
      </c>
      <c r="AC889" s="222">
        <v>0</v>
      </c>
      <c r="AD889" s="222">
        <v>0</v>
      </c>
      <c r="AE889" s="222">
        <v>0</v>
      </c>
      <c r="AF889" s="221">
        <v>0</v>
      </c>
      <c r="AG889" s="222">
        <v>0</v>
      </c>
      <c r="AH889" s="221">
        <v>0</v>
      </c>
      <c r="AI889" s="222">
        <v>459</v>
      </c>
      <c r="AJ889" s="221">
        <f>7439.1*AI889/I889</f>
        <v>7744.4928555227953</v>
      </c>
      <c r="AK889" s="222">
        <v>0</v>
      </c>
      <c r="AL889" s="222">
        <v>0</v>
      </c>
      <c r="AM889" s="222">
        <v>0</v>
      </c>
      <c r="AN889" s="222"/>
      <c r="AO889" s="222">
        <v>0</v>
      </c>
    </row>
    <row r="890" spans="1:41" s="223" customFormat="1" ht="36" customHeight="1" x14ac:dyDescent="0.25">
      <c r="A890" s="223">
        <v>1</v>
      </c>
      <c r="B890" s="225">
        <f>SUBTOTAL(103,$A$552:A890)</f>
        <v>311</v>
      </c>
      <c r="C890" s="215" t="s">
        <v>175</v>
      </c>
      <c r="D890" s="217">
        <v>1955</v>
      </c>
      <c r="E890" s="217">
        <v>2010</v>
      </c>
      <c r="F890" s="226" t="s">
        <v>267</v>
      </c>
      <c r="G890" s="217">
        <v>2</v>
      </c>
      <c r="H890" s="217" t="s">
        <v>303</v>
      </c>
      <c r="I890" s="218">
        <v>448.2</v>
      </c>
      <c r="J890" s="218">
        <v>401.4</v>
      </c>
      <c r="K890" s="218">
        <v>358.5</v>
      </c>
      <c r="L890" s="219">
        <v>21</v>
      </c>
      <c r="M890" s="217" t="s">
        <v>265</v>
      </c>
      <c r="N890" s="217" t="s">
        <v>337</v>
      </c>
      <c r="O890" s="220" t="s">
        <v>339</v>
      </c>
      <c r="P890" s="190">
        <v>2500082.1</v>
      </c>
      <c r="Q890" s="190">
        <v>0</v>
      </c>
      <c r="R890" s="190">
        <v>0</v>
      </c>
      <c r="S890" s="190">
        <f>P890-Q890-R890</f>
        <v>2500082.1</v>
      </c>
      <c r="T890" s="190">
        <f t="shared" si="105"/>
        <v>5578.0502008032136</v>
      </c>
      <c r="U890" s="190">
        <v>7062.331659973227</v>
      </c>
      <c r="V890" s="221">
        <f t="shared" si="102"/>
        <v>1484.2814591700135</v>
      </c>
      <c r="W890" s="221">
        <f>X890+Y890+Z890+AA890+AB890+AD890+AF890+AH890+AJ890+AL890+AN890+AO890</f>
        <v>7062.331659973227</v>
      </c>
      <c r="X890" s="221">
        <v>0</v>
      </c>
      <c r="Y890" s="222">
        <v>0</v>
      </c>
      <c r="Z890" s="222">
        <v>0</v>
      </c>
      <c r="AA890" s="222">
        <v>0</v>
      </c>
      <c r="AB890" s="222">
        <v>0</v>
      </c>
      <c r="AC890" s="222">
        <v>0</v>
      </c>
      <c r="AD890" s="222">
        <v>0</v>
      </c>
      <c r="AE890" s="222">
        <v>0</v>
      </c>
      <c r="AF890" s="221">
        <v>0</v>
      </c>
      <c r="AG890" s="222">
        <v>0</v>
      </c>
      <c r="AH890" s="221">
        <v>0</v>
      </c>
      <c r="AI890" s="222">
        <v>425.5</v>
      </c>
      <c r="AJ890" s="221">
        <f>7439.1*AI890/I890</f>
        <v>7062.331659973227</v>
      </c>
      <c r="AK890" s="222">
        <v>0</v>
      </c>
      <c r="AL890" s="222">
        <v>0</v>
      </c>
      <c r="AM890" s="222">
        <v>0</v>
      </c>
      <c r="AN890" s="222"/>
      <c r="AO890" s="222">
        <v>0</v>
      </c>
    </row>
    <row r="891" spans="1:41" s="223" customFormat="1" ht="36" customHeight="1" x14ac:dyDescent="0.25">
      <c r="B891" s="215" t="s">
        <v>871</v>
      </c>
      <c r="C891" s="215"/>
      <c r="D891" s="217" t="s">
        <v>890</v>
      </c>
      <c r="E891" s="217" t="s">
        <v>890</v>
      </c>
      <c r="F891" s="217" t="s">
        <v>890</v>
      </c>
      <c r="G891" s="217" t="s">
        <v>890</v>
      </c>
      <c r="H891" s="217" t="s">
        <v>890</v>
      </c>
      <c r="I891" s="190">
        <f>SUM(I892:I893)</f>
        <v>1323.09</v>
      </c>
      <c r="J891" s="190">
        <f>SUM(J892:J893)</f>
        <v>1207.72</v>
      </c>
      <c r="K891" s="190">
        <f>SUM(K892:K893)</f>
        <v>1207.72</v>
      </c>
      <c r="L891" s="219">
        <f>SUM(L892:L893)</f>
        <v>68</v>
      </c>
      <c r="M891" s="217" t="s">
        <v>890</v>
      </c>
      <c r="N891" s="217" t="s">
        <v>890</v>
      </c>
      <c r="O891" s="220" t="s">
        <v>890</v>
      </c>
      <c r="P891" s="190">
        <v>6623229.2899999991</v>
      </c>
      <c r="Q891" s="190">
        <f>SUM(Q892:Q893)</f>
        <v>0</v>
      </c>
      <c r="R891" s="190">
        <f>SUM(R892:R893)</f>
        <v>0</v>
      </c>
      <c r="S891" s="190">
        <f>SUM(S892:S893)</f>
        <v>6623229.2899999991</v>
      </c>
      <c r="T891" s="190">
        <f t="shared" si="105"/>
        <v>5005.879637817533</v>
      </c>
      <c r="U891" s="190">
        <f>MAX(U892:U893)</f>
        <v>8614.3424317617864</v>
      </c>
      <c r="V891" s="221">
        <f t="shared" si="102"/>
        <v>3608.4627939442535</v>
      </c>
      <c r="W891" s="221"/>
      <c r="X891" s="221"/>
      <c r="Y891" s="222"/>
      <c r="Z891" s="222"/>
      <c r="AA891" s="222"/>
      <c r="AB891" s="222"/>
      <c r="AC891" s="222"/>
      <c r="AD891" s="222"/>
      <c r="AE891" s="222"/>
      <c r="AF891" s="222"/>
      <c r="AG891" s="222"/>
      <c r="AH891" s="222"/>
      <c r="AI891" s="222"/>
      <c r="AJ891" s="222"/>
      <c r="AK891" s="222"/>
      <c r="AL891" s="222"/>
      <c r="AM891" s="222"/>
      <c r="AN891" s="222"/>
      <c r="AO891" s="222"/>
    </row>
    <row r="892" spans="1:41" s="223" customFormat="1" ht="36" customHeight="1" x14ac:dyDescent="0.25">
      <c r="A892" s="223">
        <v>1</v>
      </c>
      <c r="B892" s="225">
        <f>SUBTOTAL(103,$A$552:A892)</f>
        <v>312</v>
      </c>
      <c r="C892" s="215" t="s">
        <v>173</v>
      </c>
      <c r="D892" s="217">
        <v>1969</v>
      </c>
      <c r="E892" s="217"/>
      <c r="F892" s="226" t="s">
        <v>267</v>
      </c>
      <c r="G892" s="217">
        <v>2</v>
      </c>
      <c r="H892" s="217" t="s">
        <v>312</v>
      </c>
      <c r="I892" s="218">
        <v>960.39</v>
      </c>
      <c r="J892" s="218">
        <v>880.42</v>
      </c>
      <c r="K892" s="218">
        <v>880.42</v>
      </c>
      <c r="L892" s="219">
        <v>47</v>
      </c>
      <c r="M892" s="217" t="s">
        <v>265</v>
      </c>
      <c r="N892" s="217" t="s">
        <v>337</v>
      </c>
      <c r="O892" s="220" t="s">
        <v>338</v>
      </c>
      <c r="P892" s="190">
        <v>4128275.26</v>
      </c>
      <c r="Q892" s="190">
        <v>0</v>
      </c>
      <c r="R892" s="190">
        <v>0</v>
      </c>
      <c r="S892" s="190">
        <f>P892-Q892-R892</f>
        <v>4128275.26</v>
      </c>
      <c r="T892" s="190">
        <f t="shared" si="105"/>
        <v>4298.5404471100283</v>
      </c>
      <c r="U892" s="190">
        <v>5529.2987223940281</v>
      </c>
      <c r="V892" s="221">
        <f>U892-T892</f>
        <v>1230.7582752839999</v>
      </c>
      <c r="W892" s="221">
        <f>X892+Y892+Z892+AA892+AB892+AD892+AF892+AH892+AJ892+AL892+AN892+AO892</f>
        <v>5300.9200012494921</v>
      </c>
      <c r="X892" s="221">
        <v>0</v>
      </c>
      <c r="Y892" s="222">
        <v>0</v>
      </c>
      <c r="Z892" s="222">
        <v>0</v>
      </c>
      <c r="AA892" s="222">
        <v>0</v>
      </c>
      <c r="AB892" s="222">
        <v>0</v>
      </c>
      <c r="AC892" s="222">
        <v>0</v>
      </c>
      <c r="AD892" s="222">
        <v>0</v>
      </c>
      <c r="AE892" s="222">
        <v>816</v>
      </c>
      <c r="AF892" s="221">
        <f>6238.91*AE892/I892</f>
        <v>5300.9200012494921</v>
      </c>
      <c r="AG892" s="222">
        <v>0</v>
      </c>
      <c r="AH892" s="221">
        <v>0</v>
      </c>
      <c r="AI892" s="222">
        <v>0</v>
      </c>
      <c r="AJ892" s="221">
        <v>0</v>
      </c>
      <c r="AK892" s="222">
        <v>0</v>
      </c>
      <c r="AL892" s="222">
        <v>0</v>
      </c>
      <c r="AM892" s="222">
        <v>0</v>
      </c>
      <c r="AN892" s="222"/>
      <c r="AO892" s="222">
        <v>0</v>
      </c>
    </row>
    <row r="893" spans="1:41" s="223" customFormat="1" ht="36" customHeight="1" x14ac:dyDescent="0.25">
      <c r="A893" s="223">
        <v>1</v>
      </c>
      <c r="B893" s="225">
        <f>SUBTOTAL(103,$A$552:A893)</f>
        <v>313</v>
      </c>
      <c r="C893" s="215" t="s">
        <v>1956</v>
      </c>
      <c r="D893" s="217">
        <v>1966</v>
      </c>
      <c r="E893" s="217"/>
      <c r="F893" s="226" t="s">
        <v>1571</v>
      </c>
      <c r="G893" s="217" t="s">
        <v>303</v>
      </c>
      <c r="H893" s="217" t="s">
        <v>304</v>
      </c>
      <c r="I893" s="218">
        <v>362.7</v>
      </c>
      <c r="J893" s="218">
        <v>327.3</v>
      </c>
      <c r="K893" s="218">
        <v>327.3</v>
      </c>
      <c r="L893" s="219">
        <v>21</v>
      </c>
      <c r="M893" s="217" t="s">
        <v>265</v>
      </c>
      <c r="N893" s="217" t="s">
        <v>269</v>
      </c>
      <c r="O893" s="220" t="s">
        <v>2273</v>
      </c>
      <c r="P893" s="190">
        <v>2494954.0299999998</v>
      </c>
      <c r="Q893" s="190">
        <v>0</v>
      </c>
      <c r="R893" s="190">
        <v>0</v>
      </c>
      <c r="S893" s="190">
        <f>P893-Q893-R893</f>
        <v>2494954.0299999998</v>
      </c>
      <c r="T893" s="190">
        <f t="shared" si="105"/>
        <v>6878.8365867107796</v>
      </c>
      <c r="U893" s="190">
        <v>8614.3424317617864</v>
      </c>
      <c r="V893" s="221">
        <f>U893-T893</f>
        <v>1735.5058450510069</v>
      </c>
      <c r="W893" s="221">
        <f>X893+Y893+Z893+AA893+AB893+AD893+AF893+AH893+AJ893+AL893+AN893+AO893</f>
        <v>14036.257402812242</v>
      </c>
      <c r="X893" s="221">
        <v>0</v>
      </c>
      <c r="Y893" s="222">
        <v>0</v>
      </c>
      <c r="Z893" s="222">
        <v>0</v>
      </c>
      <c r="AA893" s="222">
        <v>0</v>
      </c>
      <c r="AB893" s="222">
        <v>0</v>
      </c>
      <c r="AC893" s="222">
        <v>0</v>
      </c>
      <c r="AD893" s="222">
        <v>0</v>
      </c>
      <c r="AE893" s="222">
        <v>816</v>
      </c>
      <c r="AF893" s="221">
        <f>6238.91*AE893/I893</f>
        <v>14036.257402812242</v>
      </c>
      <c r="AG893" s="222">
        <v>0</v>
      </c>
      <c r="AH893" s="221">
        <v>0</v>
      </c>
      <c r="AI893" s="222">
        <v>0</v>
      </c>
      <c r="AJ893" s="221">
        <v>0</v>
      </c>
      <c r="AK893" s="222">
        <v>0</v>
      </c>
      <c r="AL893" s="222">
        <v>0</v>
      </c>
      <c r="AM893" s="222">
        <v>0</v>
      </c>
      <c r="AN893" s="222"/>
      <c r="AO893" s="222">
        <v>0</v>
      </c>
    </row>
    <row r="894" spans="1:41" s="223" customFormat="1" ht="36" customHeight="1" x14ac:dyDescent="0.25">
      <c r="B894" s="215" t="s">
        <v>837</v>
      </c>
      <c r="C894" s="215"/>
      <c r="D894" s="217" t="s">
        <v>890</v>
      </c>
      <c r="E894" s="217" t="s">
        <v>890</v>
      </c>
      <c r="F894" s="217" t="s">
        <v>890</v>
      </c>
      <c r="G894" s="217" t="s">
        <v>890</v>
      </c>
      <c r="H894" s="217" t="s">
        <v>890</v>
      </c>
      <c r="I894" s="190">
        <f>SUM(I895:I896)</f>
        <v>804.7</v>
      </c>
      <c r="J894" s="190">
        <f>SUM(J895:J896)</f>
        <v>706.5</v>
      </c>
      <c r="K894" s="190">
        <f>SUM(K895:K896)</f>
        <v>662.5</v>
      </c>
      <c r="L894" s="219">
        <f>SUM(L895:L896)</f>
        <v>36</v>
      </c>
      <c r="M894" s="217" t="s">
        <v>890</v>
      </c>
      <c r="N894" s="217" t="s">
        <v>890</v>
      </c>
      <c r="O894" s="220" t="s">
        <v>890</v>
      </c>
      <c r="P894" s="190">
        <v>3151634.72</v>
      </c>
      <c r="Q894" s="190">
        <f>SUM(Q895:Q896)</f>
        <v>0</v>
      </c>
      <c r="R894" s="190">
        <f>SUM(R895:R896)</f>
        <v>0</v>
      </c>
      <c r="S894" s="190">
        <f>SUM(S895:S896)</f>
        <v>3151634.72</v>
      </c>
      <c r="T894" s="190">
        <f t="shared" si="105"/>
        <v>3916.5337641357028</v>
      </c>
      <c r="U894" s="190">
        <f>MAX(U895:U896)</f>
        <v>6050.1273437499995</v>
      </c>
      <c r="V894" s="221">
        <f t="shared" si="102"/>
        <v>2133.5935796142967</v>
      </c>
      <c r="W894" s="221"/>
      <c r="X894" s="221"/>
      <c r="Y894" s="222"/>
      <c r="Z894" s="222"/>
      <c r="AA894" s="222"/>
      <c r="AB894" s="222"/>
      <c r="AC894" s="222"/>
      <c r="AD894" s="222"/>
      <c r="AE894" s="222"/>
      <c r="AF894" s="222"/>
      <c r="AG894" s="222"/>
      <c r="AH894" s="222"/>
      <c r="AI894" s="222"/>
      <c r="AJ894" s="222"/>
      <c r="AK894" s="222"/>
      <c r="AL894" s="222"/>
      <c r="AM894" s="222"/>
      <c r="AN894" s="222"/>
      <c r="AO894" s="222"/>
    </row>
    <row r="895" spans="1:41" s="223" customFormat="1" ht="36" customHeight="1" x14ac:dyDescent="0.25">
      <c r="A895" s="223">
        <v>1</v>
      </c>
      <c r="B895" s="225">
        <f>SUBTOTAL(103,$A$552:A895)</f>
        <v>314</v>
      </c>
      <c r="C895" s="215" t="s">
        <v>172</v>
      </c>
      <c r="D895" s="217">
        <v>1969</v>
      </c>
      <c r="E895" s="217"/>
      <c r="F895" s="226" t="s">
        <v>267</v>
      </c>
      <c r="G895" s="217">
        <v>2</v>
      </c>
      <c r="H895" s="217" t="s">
        <v>304</v>
      </c>
      <c r="I895" s="218">
        <v>396.8</v>
      </c>
      <c r="J895" s="218">
        <v>354.2</v>
      </c>
      <c r="K895" s="218">
        <v>354.2</v>
      </c>
      <c r="L895" s="219">
        <v>15</v>
      </c>
      <c r="M895" s="217" t="s">
        <v>265</v>
      </c>
      <c r="N895" s="217" t="s">
        <v>337</v>
      </c>
      <c r="O895" s="220" t="s">
        <v>338</v>
      </c>
      <c r="P895" s="190">
        <v>1831907.8</v>
      </c>
      <c r="Q895" s="190">
        <v>0</v>
      </c>
      <c r="R895" s="190">
        <v>0</v>
      </c>
      <c r="S895" s="190">
        <f>P895-Q895-R895</f>
        <v>1831907.8</v>
      </c>
      <c r="T895" s="190">
        <f t="shared" si="105"/>
        <v>4616.703125</v>
      </c>
      <c r="U895" s="190">
        <v>6050.1273437499995</v>
      </c>
      <c r="V895" s="221">
        <f>U895-T895</f>
        <v>1433.4242187499995</v>
      </c>
      <c r="W895" s="221">
        <f>X895+Y895+Z895+AA895+AB895+AD895+AF895+AH895+AJ895+AL895+AN895+AO895</f>
        <v>5800.2366406249994</v>
      </c>
      <c r="X895" s="221">
        <v>0</v>
      </c>
      <c r="Y895" s="222">
        <v>0</v>
      </c>
      <c r="Z895" s="222">
        <v>0</v>
      </c>
      <c r="AA895" s="222">
        <v>0</v>
      </c>
      <c r="AB895" s="222">
        <v>0</v>
      </c>
      <c r="AC895" s="222">
        <v>0</v>
      </c>
      <c r="AD895" s="222">
        <v>0</v>
      </c>
      <c r="AE895" s="222">
        <v>368.9</v>
      </c>
      <c r="AF895" s="221">
        <f>6238.91*AE895/I895</f>
        <v>5800.2366406249994</v>
      </c>
      <c r="AG895" s="222">
        <v>0</v>
      </c>
      <c r="AH895" s="221">
        <v>0</v>
      </c>
      <c r="AI895" s="222">
        <v>0</v>
      </c>
      <c r="AJ895" s="221">
        <v>0</v>
      </c>
      <c r="AK895" s="222">
        <v>0</v>
      </c>
      <c r="AL895" s="222">
        <v>0</v>
      </c>
      <c r="AM895" s="222">
        <v>0</v>
      </c>
      <c r="AN895" s="222"/>
      <c r="AO895" s="222">
        <v>0</v>
      </c>
    </row>
    <row r="896" spans="1:41" s="223" customFormat="1" ht="36" customHeight="1" x14ac:dyDescent="0.25">
      <c r="A896" s="223">
        <v>1</v>
      </c>
      <c r="B896" s="225">
        <f>SUBTOTAL(103,$A$552:A896)</f>
        <v>315</v>
      </c>
      <c r="C896" s="215" t="s">
        <v>167</v>
      </c>
      <c r="D896" s="217">
        <v>1954</v>
      </c>
      <c r="E896" s="217"/>
      <c r="F896" s="226" t="s">
        <v>267</v>
      </c>
      <c r="G896" s="217">
        <v>2</v>
      </c>
      <c r="H896" s="217" t="s">
        <v>304</v>
      </c>
      <c r="I896" s="218">
        <v>407.9</v>
      </c>
      <c r="J896" s="218">
        <v>352.3</v>
      </c>
      <c r="K896" s="218">
        <v>308.3</v>
      </c>
      <c r="L896" s="219">
        <v>21</v>
      </c>
      <c r="M896" s="217" t="s">
        <v>265</v>
      </c>
      <c r="N896" s="217" t="s">
        <v>266</v>
      </c>
      <c r="O896" s="220" t="s">
        <v>268</v>
      </c>
      <c r="P896" s="190">
        <v>1319726.9200000002</v>
      </c>
      <c r="Q896" s="190">
        <v>0</v>
      </c>
      <c r="R896" s="190">
        <v>0</v>
      </c>
      <c r="S896" s="190">
        <f>P896-Q896-R896</f>
        <v>1319726.9200000002</v>
      </c>
      <c r="T896" s="190">
        <f t="shared" si="105"/>
        <v>3235.4177984800203</v>
      </c>
      <c r="U896" s="190">
        <v>5362.8298063250795</v>
      </c>
      <c r="V896" s="221">
        <f>U896-T896</f>
        <v>2127.4120078450592</v>
      </c>
      <c r="W896" s="221">
        <f>X896+Y896+Z896+AA896+AB896+AD896+AF896+AH896+AJ896+AL896+AN896+AO896</f>
        <v>5642.3973988722719</v>
      </c>
      <c r="X896" s="221">
        <v>0</v>
      </c>
      <c r="Y896" s="222">
        <v>0</v>
      </c>
      <c r="Z896" s="222">
        <v>0</v>
      </c>
      <c r="AA896" s="222">
        <v>0</v>
      </c>
      <c r="AB896" s="222">
        <v>0</v>
      </c>
      <c r="AC896" s="222">
        <v>0</v>
      </c>
      <c r="AD896" s="222">
        <v>0</v>
      </c>
      <c r="AE896" s="222">
        <v>368.9</v>
      </c>
      <c r="AF896" s="221">
        <f>6238.91*AE896/I896</f>
        <v>5642.3973988722719</v>
      </c>
      <c r="AG896" s="222">
        <v>0</v>
      </c>
      <c r="AH896" s="221">
        <v>0</v>
      </c>
      <c r="AI896" s="222">
        <v>0</v>
      </c>
      <c r="AJ896" s="221">
        <v>0</v>
      </c>
      <c r="AK896" s="222">
        <v>0</v>
      </c>
      <c r="AL896" s="222">
        <v>0</v>
      </c>
      <c r="AM896" s="222">
        <v>0</v>
      </c>
      <c r="AN896" s="222"/>
      <c r="AO896" s="222">
        <v>0</v>
      </c>
    </row>
    <row r="897" spans="1:41" s="223" customFormat="1" ht="36" customHeight="1" x14ac:dyDescent="0.25">
      <c r="B897" s="215" t="s">
        <v>838</v>
      </c>
      <c r="C897" s="227"/>
      <c r="D897" s="217" t="s">
        <v>890</v>
      </c>
      <c r="E897" s="217" t="s">
        <v>890</v>
      </c>
      <c r="F897" s="217" t="s">
        <v>890</v>
      </c>
      <c r="G897" s="217" t="s">
        <v>890</v>
      </c>
      <c r="H897" s="217" t="s">
        <v>890</v>
      </c>
      <c r="I897" s="218">
        <f>SUM(I898:I905)</f>
        <v>6122.7</v>
      </c>
      <c r="J897" s="218">
        <f>SUM(J898:J905)</f>
        <v>5641.0999999999995</v>
      </c>
      <c r="K897" s="218">
        <f>SUM(K898:K905)</f>
        <v>4582.5999999999995</v>
      </c>
      <c r="L897" s="219">
        <f>SUM(L898:L905)</f>
        <v>226</v>
      </c>
      <c r="M897" s="217" t="s">
        <v>890</v>
      </c>
      <c r="N897" s="217" t="s">
        <v>890</v>
      </c>
      <c r="O897" s="220" t="s">
        <v>890</v>
      </c>
      <c r="P897" s="190">
        <v>25708169.950000003</v>
      </c>
      <c r="Q897" s="190">
        <f>SUM(Q898:Q905)</f>
        <v>0</v>
      </c>
      <c r="R897" s="190">
        <f>SUM(R898:R905)</f>
        <v>0</v>
      </c>
      <c r="S897" s="190">
        <f>SUM(S898:S905)</f>
        <v>25708169.950000003</v>
      </c>
      <c r="T897" s="190">
        <f t="shared" si="105"/>
        <v>4198.8289398468005</v>
      </c>
      <c r="U897" s="190">
        <f>MAX(U898:U905)</f>
        <v>8559.8877628159698</v>
      </c>
      <c r="V897" s="221">
        <f t="shared" si="102"/>
        <v>4361.0588229691693</v>
      </c>
      <c r="W897" s="221"/>
      <c r="X897" s="221"/>
      <c r="Y897" s="222"/>
      <c r="Z897" s="222"/>
      <c r="AA897" s="222"/>
      <c r="AB897" s="222"/>
      <c r="AC897" s="222"/>
      <c r="AD897" s="222"/>
      <c r="AE897" s="222"/>
      <c r="AF897" s="222"/>
      <c r="AG897" s="222"/>
      <c r="AH897" s="222"/>
      <c r="AI897" s="222"/>
      <c r="AJ897" s="222"/>
      <c r="AK897" s="222"/>
      <c r="AL897" s="222"/>
      <c r="AM897" s="222"/>
      <c r="AN897" s="222"/>
      <c r="AO897" s="222"/>
    </row>
    <row r="898" spans="1:41" s="223" customFormat="1" ht="36" customHeight="1" x14ac:dyDescent="0.25">
      <c r="A898" s="223">
        <v>1</v>
      </c>
      <c r="B898" s="225">
        <f>SUBTOTAL(103,$A$552:A898)</f>
        <v>316</v>
      </c>
      <c r="C898" s="215" t="s">
        <v>1676</v>
      </c>
      <c r="D898" s="217">
        <v>1982</v>
      </c>
      <c r="E898" s="217"/>
      <c r="F898" s="226" t="s">
        <v>318</v>
      </c>
      <c r="G898" s="217">
        <v>2</v>
      </c>
      <c r="H898" s="217" t="s">
        <v>303</v>
      </c>
      <c r="I898" s="218">
        <v>626.1</v>
      </c>
      <c r="J898" s="218">
        <v>566.6</v>
      </c>
      <c r="K898" s="218">
        <v>566.6</v>
      </c>
      <c r="L898" s="219">
        <v>21</v>
      </c>
      <c r="M898" s="217" t="s">
        <v>265</v>
      </c>
      <c r="N898" s="217" t="s">
        <v>266</v>
      </c>
      <c r="O898" s="220" t="s">
        <v>268</v>
      </c>
      <c r="P898" s="190">
        <v>2987360.15</v>
      </c>
      <c r="Q898" s="190">
        <v>0</v>
      </c>
      <c r="R898" s="190">
        <v>0</v>
      </c>
      <c r="S898" s="190">
        <f t="shared" ref="S898:S904" si="110">P898-Q898-R898</f>
        <v>2987360.15</v>
      </c>
      <c r="T898" s="190">
        <f t="shared" si="105"/>
        <v>4771.3786136399931</v>
      </c>
      <c r="U898" s="190">
        <v>4771.3786136399931</v>
      </c>
      <c r="V898" s="221">
        <f t="shared" si="102"/>
        <v>0</v>
      </c>
      <c r="W898" s="221">
        <f>T898</f>
        <v>4771.3786136399931</v>
      </c>
      <c r="X898" s="221">
        <v>0</v>
      </c>
      <c r="Y898" s="222">
        <v>0</v>
      </c>
      <c r="Z898" s="222">
        <v>0</v>
      </c>
      <c r="AA898" s="222">
        <v>0</v>
      </c>
      <c r="AB898" s="222">
        <v>0</v>
      </c>
      <c r="AC898" s="222">
        <v>0</v>
      </c>
      <c r="AD898" s="222">
        <v>0</v>
      </c>
      <c r="AE898" s="222">
        <v>368.29</v>
      </c>
      <c r="AF898" s="221">
        <f>6436.53*AE898/I898</f>
        <v>3786.1517867752755</v>
      </c>
      <c r="AG898" s="222">
        <v>0</v>
      </c>
      <c r="AH898" s="221">
        <v>0</v>
      </c>
      <c r="AI898" s="222">
        <v>0</v>
      </c>
      <c r="AJ898" s="221">
        <v>0</v>
      </c>
      <c r="AK898" s="222">
        <v>0</v>
      </c>
      <c r="AL898" s="222">
        <v>0</v>
      </c>
      <c r="AM898" s="222">
        <v>0</v>
      </c>
      <c r="AN898" s="222"/>
      <c r="AO898" s="222">
        <v>0</v>
      </c>
    </row>
    <row r="899" spans="1:41" s="223" customFormat="1" ht="36" customHeight="1" x14ac:dyDescent="0.25">
      <c r="A899" s="223">
        <v>1</v>
      </c>
      <c r="B899" s="225">
        <f>SUBTOTAL(103,$A$552:A899)</f>
        <v>317</v>
      </c>
      <c r="C899" s="215" t="s">
        <v>79</v>
      </c>
      <c r="D899" s="217">
        <v>1962</v>
      </c>
      <c r="E899" s="217"/>
      <c r="F899" s="226" t="s">
        <v>267</v>
      </c>
      <c r="G899" s="217">
        <v>2</v>
      </c>
      <c r="H899" s="217" t="s">
        <v>303</v>
      </c>
      <c r="I899" s="218">
        <v>355.8</v>
      </c>
      <c r="J899" s="218">
        <v>326.10000000000002</v>
      </c>
      <c r="K899" s="218">
        <v>212</v>
      </c>
      <c r="L899" s="219">
        <v>21</v>
      </c>
      <c r="M899" s="217" t="s">
        <v>265</v>
      </c>
      <c r="N899" s="217" t="s">
        <v>266</v>
      </c>
      <c r="O899" s="220" t="s">
        <v>268</v>
      </c>
      <c r="P899" s="190">
        <v>1670230.3</v>
      </c>
      <c r="Q899" s="190">
        <v>0</v>
      </c>
      <c r="R899" s="190">
        <v>0</v>
      </c>
      <c r="S899" s="190">
        <f t="shared" si="110"/>
        <v>1670230.3</v>
      </c>
      <c r="T899" s="190">
        <f t="shared" si="105"/>
        <v>4694.2953906689154</v>
      </c>
      <c r="U899" s="190">
        <v>7864.8426082068572</v>
      </c>
      <c r="V899" s="221">
        <f t="shared" si="102"/>
        <v>3170.5472175379418</v>
      </c>
      <c r="W899" s="221">
        <f t="shared" ref="W899:W905" si="111">X899+Y899+Z899+AA899+AB899+AD899+AF899+AH899+AJ899+AL899+AN899+AO899</f>
        <v>7539.9980326025852</v>
      </c>
      <c r="X899" s="221">
        <v>0</v>
      </c>
      <c r="Y899" s="222">
        <v>0</v>
      </c>
      <c r="Z899" s="222">
        <v>0</v>
      </c>
      <c r="AA899" s="222">
        <v>0</v>
      </c>
      <c r="AB899" s="222">
        <v>0</v>
      </c>
      <c r="AC899" s="222">
        <v>0</v>
      </c>
      <c r="AD899" s="222">
        <v>0</v>
      </c>
      <c r="AE899" s="222">
        <v>430</v>
      </c>
      <c r="AF899" s="221">
        <f t="shared" ref="AF899:AF905" si="112">6238.91*AE899/I899</f>
        <v>7539.9980326025852</v>
      </c>
      <c r="AG899" s="222">
        <v>0</v>
      </c>
      <c r="AH899" s="221">
        <v>0</v>
      </c>
      <c r="AI899" s="222">
        <v>0</v>
      </c>
      <c r="AJ899" s="221">
        <v>0</v>
      </c>
      <c r="AK899" s="222">
        <v>0</v>
      </c>
      <c r="AL899" s="222">
        <v>0</v>
      </c>
      <c r="AM899" s="222">
        <v>0</v>
      </c>
      <c r="AN899" s="222"/>
      <c r="AO899" s="222">
        <v>0</v>
      </c>
    </row>
    <row r="900" spans="1:41" s="223" customFormat="1" ht="36" customHeight="1" x14ac:dyDescent="0.25">
      <c r="A900" s="223">
        <v>1</v>
      </c>
      <c r="B900" s="225">
        <f>SUBTOTAL(103,$A$552:A900)</f>
        <v>318</v>
      </c>
      <c r="C900" s="215" t="s">
        <v>80</v>
      </c>
      <c r="D900" s="217">
        <v>1964</v>
      </c>
      <c r="E900" s="217"/>
      <c r="F900" s="226" t="s">
        <v>267</v>
      </c>
      <c r="G900" s="217">
        <v>2</v>
      </c>
      <c r="H900" s="217" t="s">
        <v>303</v>
      </c>
      <c r="I900" s="218">
        <v>651.6</v>
      </c>
      <c r="J900" s="218">
        <v>628.9</v>
      </c>
      <c r="K900" s="218">
        <v>385</v>
      </c>
      <c r="L900" s="219">
        <v>42</v>
      </c>
      <c r="M900" s="217" t="s">
        <v>265</v>
      </c>
      <c r="N900" s="217" t="s">
        <v>266</v>
      </c>
      <c r="O900" s="220" t="s">
        <v>268</v>
      </c>
      <c r="P900" s="190">
        <v>2548951.23</v>
      </c>
      <c r="Q900" s="190">
        <v>0</v>
      </c>
      <c r="R900" s="190">
        <v>0</v>
      </c>
      <c r="S900" s="190">
        <f t="shared" si="110"/>
        <v>2548951.23</v>
      </c>
      <c r="T900" s="190">
        <f t="shared" si="105"/>
        <v>3911.8343001841617</v>
      </c>
      <c r="U900" s="190">
        <v>4294.5227133210556</v>
      </c>
      <c r="V900" s="221">
        <f>U900-T900</f>
        <v>382.68841313689381</v>
      </c>
      <c r="W900" s="221">
        <f>X900+Y900+Z900+AA900+AB900+AD900+AF900+AH900+AJ900+AL900+AN900+AO900</f>
        <v>4117.1444137507669</v>
      </c>
      <c r="X900" s="221">
        <v>0</v>
      </c>
      <c r="Y900" s="222">
        <v>0</v>
      </c>
      <c r="Z900" s="222">
        <v>0</v>
      </c>
      <c r="AA900" s="222">
        <v>0</v>
      </c>
      <c r="AB900" s="222">
        <v>0</v>
      </c>
      <c r="AC900" s="222">
        <v>0</v>
      </c>
      <c r="AD900" s="222">
        <v>0</v>
      </c>
      <c r="AE900" s="222">
        <v>430</v>
      </c>
      <c r="AF900" s="221">
        <f t="shared" si="112"/>
        <v>4117.1444137507669</v>
      </c>
      <c r="AG900" s="222">
        <v>0</v>
      </c>
      <c r="AH900" s="221">
        <v>0</v>
      </c>
      <c r="AI900" s="222">
        <v>0</v>
      </c>
      <c r="AJ900" s="221">
        <v>0</v>
      </c>
      <c r="AK900" s="222">
        <v>0</v>
      </c>
      <c r="AL900" s="222">
        <v>0</v>
      </c>
      <c r="AM900" s="222">
        <v>0</v>
      </c>
      <c r="AN900" s="222"/>
      <c r="AO900" s="222">
        <v>0</v>
      </c>
    </row>
    <row r="901" spans="1:41" s="223" customFormat="1" ht="36" customHeight="1" x14ac:dyDescent="0.25">
      <c r="A901" s="223">
        <v>1</v>
      </c>
      <c r="B901" s="225">
        <f>SUBTOTAL(103,$A$552:A901)</f>
        <v>319</v>
      </c>
      <c r="C901" s="215" t="s">
        <v>78</v>
      </c>
      <c r="D901" s="217">
        <v>1929</v>
      </c>
      <c r="E901" s="217"/>
      <c r="F901" s="226" t="s">
        <v>267</v>
      </c>
      <c r="G901" s="217" t="s">
        <v>303</v>
      </c>
      <c r="H901" s="217" t="s">
        <v>304</v>
      </c>
      <c r="I901" s="218">
        <v>475.3</v>
      </c>
      <c r="J901" s="218">
        <v>435.5</v>
      </c>
      <c r="K901" s="218">
        <v>253</v>
      </c>
      <c r="L901" s="219">
        <v>5</v>
      </c>
      <c r="M901" s="217" t="s">
        <v>265</v>
      </c>
      <c r="N901" s="217" t="s">
        <v>266</v>
      </c>
      <c r="O901" s="220" t="s">
        <v>268</v>
      </c>
      <c r="P901" s="190">
        <v>2170941.85</v>
      </c>
      <c r="Q901" s="190">
        <v>0</v>
      </c>
      <c r="R901" s="190">
        <v>0</v>
      </c>
      <c r="S901" s="190">
        <f t="shared" si="110"/>
        <v>2170941.85</v>
      </c>
      <c r="T901" s="190">
        <f t="shared" si="105"/>
        <v>4567.5191458026511</v>
      </c>
      <c r="U901" s="190">
        <v>5271.3328424153169</v>
      </c>
      <c r="V901" s="221">
        <f>U901-T901</f>
        <v>703.81369661266581</v>
      </c>
      <c r="W901" s="221">
        <f>X901+Y901+Z901+AA901+AB901+AD901+AF901+AH901+AJ901+AL901+AN901+AO901</f>
        <v>5053.6089837997051</v>
      </c>
      <c r="X901" s="221">
        <v>0</v>
      </c>
      <c r="Y901" s="222">
        <v>0</v>
      </c>
      <c r="Z901" s="222">
        <v>0</v>
      </c>
      <c r="AA901" s="222">
        <v>0</v>
      </c>
      <c r="AB901" s="222">
        <v>0</v>
      </c>
      <c r="AC901" s="222">
        <v>0</v>
      </c>
      <c r="AD901" s="222">
        <v>0</v>
      </c>
      <c r="AE901" s="222">
        <v>385</v>
      </c>
      <c r="AF901" s="221">
        <f t="shared" si="112"/>
        <v>5053.6089837997051</v>
      </c>
      <c r="AG901" s="222">
        <v>0</v>
      </c>
      <c r="AH901" s="221">
        <v>0</v>
      </c>
      <c r="AI901" s="222">
        <v>0</v>
      </c>
      <c r="AJ901" s="221">
        <v>0</v>
      </c>
      <c r="AK901" s="222">
        <v>0</v>
      </c>
      <c r="AL901" s="222">
        <v>0</v>
      </c>
      <c r="AM901" s="222">
        <v>0</v>
      </c>
      <c r="AN901" s="222"/>
      <c r="AO901" s="222">
        <v>0</v>
      </c>
    </row>
    <row r="902" spans="1:41" s="223" customFormat="1" ht="36" customHeight="1" x14ac:dyDescent="0.25">
      <c r="A902" s="223">
        <v>1</v>
      </c>
      <c r="B902" s="225">
        <f>SUBTOTAL(103,$A$552:A902)</f>
        <v>320</v>
      </c>
      <c r="C902" s="215" t="s">
        <v>1675</v>
      </c>
      <c r="D902" s="217">
        <v>1953</v>
      </c>
      <c r="E902" s="217"/>
      <c r="F902" s="226" t="s">
        <v>267</v>
      </c>
      <c r="G902" s="217">
        <v>2</v>
      </c>
      <c r="H902" s="217" t="s">
        <v>312</v>
      </c>
      <c r="I902" s="218">
        <v>996.1</v>
      </c>
      <c r="J902" s="218">
        <v>882.6</v>
      </c>
      <c r="K902" s="218">
        <v>782.6</v>
      </c>
      <c r="L902" s="219">
        <v>30</v>
      </c>
      <c r="M902" s="217" t="s">
        <v>265</v>
      </c>
      <c r="N902" s="217" t="s">
        <v>266</v>
      </c>
      <c r="O902" s="220" t="s">
        <v>268</v>
      </c>
      <c r="P902" s="190">
        <v>4891218.01</v>
      </c>
      <c r="Q902" s="190">
        <v>0</v>
      </c>
      <c r="R902" s="190">
        <v>0</v>
      </c>
      <c r="S902" s="190">
        <f t="shared" si="110"/>
        <v>4891218.01</v>
      </c>
      <c r="T902" s="190">
        <f t="shared" si="105"/>
        <v>4910.3684469430773</v>
      </c>
      <c r="U902" s="190">
        <v>6206.5204296757356</v>
      </c>
      <c r="V902" s="221">
        <f>U902-T902</f>
        <v>1296.1519827326583</v>
      </c>
      <c r="W902" s="221">
        <f>X902+Y902+Z902+AA902+AB902+AD902+AF902+AH902+AJ902+AL902+AN902+AO902</f>
        <v>5950.1701636381886</v>
      </c>
      <c r="X902" s="221">
        <v>0</v>
      </c>
      <c r="Y902" s="222">
        <v>0</v>
      </c>
      <c r="Z902" s="222">
        <v>0</v>
      </c>
      <c r="AA902" s="222">
        <v>0</v>
      </c>
      <c r="AB902" s="222">
        <v>0</v>
      </c>
      <c r="AC902" s="222">
        <v>0</v>
      </c>
      <c r="AD902" s="222">
        <v>0</v>
      </c>
      <c r="AE902" s="222">
        <v>950</v>
      </c>
      <c r="AF902" s="221">
        <f t="shared" si="112"/>
        <v>5950.1701636381886</v>
      </c>
      <c r="AG902" s="222">
        <v>0</v>
      </c>
      <c r="AH902" s="221">
        <v>0</v>
      </c>
      <c r="AI902" s="222">
        <v>0</v>
      </c>
      <c r="AJ902" s="221">
        <v>0</v>
      </c>
      <c r="AK902" s="222">
        <v>0</v>
      </c>
      <c r="AL902" s="222">
        <v>0</v>
      </c>
      <c r="AM902" s="222">
        <v>0</v>
      </c>
      <c r="AN902" s="222"/>
      <c r="AO902" s="222">
        <v>0</v>
      </c>
    </row>
    <row r="903" spans="1:41" s="223" customFormat="1" ht="36" customHeight="1" x14ac:dyDescent="0.25">
      <c r="A903" s="223">
        <v>1</v>
      </c>
      <c r="B903" s="225">
        <f>SUBTOTAL(103,$A$552:A903)</f>
        <v>321</v>
      </c>
      <c r="C903" s="215" t="s">
        <v>76</v>
      </c>
      <c r="D903" s="217">
        <v>1948</v>
      </c>
      <c r="E903" s="217"/>
      <c r="F903" s="226" t="s">
        <v>267</v>
      </c>
      <c r="G903" s="217">
        <v>4</v>
      </c>
      <c r="H903" s="217" t="s">
        <v>312</v>
      </c>
      <c r="I903" s="218">
        <v>1954.5</v>
      </c>
      <c r="J903" s="218">
        <v>1781</v>
      </c>
      <c r="K903" s="218">
        <v>1540</v>
      </c>
      <c r="L903" s="219">
        <v>58</v>
      </c>
      <c r="M903" s="217" t="s">
        <v>265</v>
      </c>
      <c r="N903" s="217" t="s">
        <v>269</v>
      </c>
      <c r="O903" s="220" t="s">
        <v>278</v>
      </c>
      <c r="P903" s="190">
        <v>5421953.8200000003</v>
      </c>
      <c r="Q903" s="190">
        <v>0</v>
      </c>
      <c r="R903" s="190">
        <v>0</v>
      </c>
      <c r="S903" s="190">
        <f t="shared" si="110"/>
        <v>5421953.8200000003</v>
      </c>
      <c r="T903" s="190">
        <f t="shared" si="105"/>
        <v>2774.0873983115889</v>
      </c>
      <c r="U903" s="190">
        <v>3176.4368380660017</v>
      </c>
      <c r="V903" s="221">
        <f t="shared" si="102"/>
        <v>402.34943975441274</v>
      </c>
      <c r="W903" s="221">
        <f t="shared" si="111"/>
        <v>1372.5921207469939</v>
      </c>
      <c r="X903" s="221">
        <v>0</v>
      </c>
      <c r="Y903" s="222">
        <v>0</v>
      </c>
      <c r="Z903" s="222">
        <v>0</v>
      </c>
      <c r="AA903" s="222">
        <v>0</v>
      </c>
      <c r="AB903" s="222">
        <v>0</v>
      </c>
      <c r="AC903" s="222">
        <v>0</v>
      </c>
      <c r="AD903" s="222">
        <v>0</v>
      </c>
      <c r="AE903" s="222">
        <v>430</v>
      </c>
      <c r="AF903" s="221">
        <f t="shared" si="112"/>
        <v>1372.5921207469939</v>
      </c>
      <c r="AG903" s="222">
        <v>0</v>
      </c>
      <c r="AH903" s="221">
        <v>0</v>
      </c>
      <c r="AI903" s="222">
        <v>0</v>
      </c>
      <c r="AJ903" s="221">
        <v>0</v>
      </c>
      <c r="AK903" s="222">
        <v>0</v>
      </c>
      <c r="AL903" s="222">
        <v>0</v>
      </c>
      <c r="AM903" s="222">
        <v>0</v>
      </c>
      <c r="AN903" s="222"/>
      <c r="AO903" s="222">
        <v>0</v>
      </c>
    </row>
    <row r="904" spans="1:41" s="223" customFormat="1" ht="36" customHeight="1" x14ac:dyDescent="0.25">
      <c r="A904" s="223">
        <v>1</v>
      </c>
      <c r="B904" s="225">
        <f>SUBTOTAL(103,$A$552:A904)</f>
        <v>322</v>
      </c>
      <c r="C904" s="215" t="s">
        <v>1232</v>
      </c>
      <c r="D904" s="217">
        <v>1955</v>
      </c>
      <c r="E904" s="217"/>
      <c r="F904" s="226" t="s">
        <v>267</v>
      </c>
      <c r="G904" s="217">
        <v>2</v>
      </c>
      <c r="H904" s="217" t="s">
        <v>303</v>
      </c>
      <c r="I904" s="218">
        <v>640</v>
      </c>
      <c r="J904" s="218">
        <v>629</v>
      </c>
      <c r="K904" s="218">
        <v>452</v>
      </c>
      <c r="L904" s="219">
        <v>27</v>
      </c>
      <c r="M904" s="217" t="s">
        <v>265</v>
      </c>
      <c r="N904" s="217" t="s">
        <v>269</v>
      </c>
      <c r="O904" s="220" t="s">
        <v>1303</v>
      </c>
      <c r="P904" s="190">
        <v>2394114.0999999996</v>
      </c>
      <c r="Q904" s="190">
        <v>0</v>
      </c>
      <c r="R904" s="190">
        <v>0</v>
      </c>
      <c r="S904" s="190">
        <f t="shared" si="110"/>
        <v>2394114.0999999996</v>
      </c>
      <c r="T904" s="190">
        <f t="shared" si="105"/>
        <v>3740.8032812499996</v>
      </c>
      <c r="U904" s="190">
        <v>6100.96875</v>
      </c>
      <c r="V904" s="221">
        <f t="shared" si="102"/>
        <v>2360.1654687500004</v>
      </c>
      <c r="W904" s="221">
        <f t="shared" si="111"/>
        <v>3753.0942968750001</v>
      </c>
      <c r="X904" s="221">
        <v>0</v>
      </c>
      <c r="Y904" s="222">
        <v>0</v>
      </c>
      <c r="Z904" s="222">
        <v>0</v>
      </c>
      <c r="AA904" s="222">
        <v>0</v>
      </c>
      <c r="AB904" s="222">
        <v>0</v>
      </c>
      <c r="AC904" s="222">
        <v>0</v>
      </c>
      <c r="AD904" s="222">
        <v>0</v>
      </c>
      <c r="AE904" s="222">
        <v>385</v>
      </c>
      <c r="AF904" s="221">
        <f t="shared" si="112"/>
        <v>3753.0942968750001</v>
      </c>
      <c r="AG904" s="222">
        <v>0</v>
      </c>
      <c r="AH904" s="221">
        <v>0</v>
      </c>
      <c r="AI904" s="222">
        <v>0</v>
      </c>
      <c r="AJ904" s="221">
        <v>0</v>
      </c>
      <c r="AK904" s="222">
        <v>0</v>
      </c>
      <c r="AL904" s="222">
        <v>0</v>
      </c>
      <c r="AM904" s="222">
        <v>0</v>
      </c>
      <c r="AN904" s="222"/>
      <c r="AO904" s="222">
        <v>0</v>
      </c>
    </row>
    <row r="905" spans="1:41" s="223" customFormat="1" ht="36" customHeight="1" x14ac:dyDescent="0.25">
      <c r="A905" s="223">
        <v>1</v>
      </c>
      <c r="B905" s="225">
        <f>SUBTOTAL(103,$A$552:A905)</f>
        <v>323</v>
      </c>
      <c r="C905" s="215" t="s">
        <v>2276</v>
      </c>
      <c r="D905" s="217">
        <v>1958</v>
      </c>
      <c r="E905" s="217"/>
      <c r="F905" s="226" t="s">
        <v>267</v>
      </c>
      <c r="G905" s="217">
        <v>2</v>
      </c>
      <c r="H905" s="217">
        <v>1</v>
      </c>
      <c r="I905" s="218">
        <v>423.3</v>
      </c>
      <c r="J905" s="218">
        <v>391.4</v>
      </c>
      <c r="K905" s="218">
        <f>J905</f>
        <v>391.4</v>
      </c>
      <c r="L905" s="219">
        <v>22</v>
      </c>
      <c r="M905" s="217" t="s">
        <v>265</v>
      </c>
      <c r="N905" s="217" t="s">
        <v>269</v>
      </c>
      <c r="O905" s="220" t="s">
        <v>2277</v>
      </c>
      <c r="P905" s="190">
        <v>3623400.49</v>
      </c>
      <c r="Q905" s="190">
        <v>0</v>
      </c>
      <c r="R905" s="190">
        <v>0</v>
      </c>
      <c r="S905" s="190">
        <f>P905-Q905-R905</f>
        <v>3623400.49</v>
      </c>
      <c r="T905" s="190">
        <f t="shared" si="105"/>
        <v>8559.8877628159698</v>
      </c>
      <c r="U905" s="190">
        <v>8559.8877628159698</v>
      </c>
      <c r="V905" s="221">
        <f t="shared" si="102"/>
        <v>0</v>
      </c>
      <c r="W905" s="221">
        <f t="shared" si="111"/>
        <v>14001.806047720293</v>
      </c>
      <c r="X905" s="221">
        <v>0</v>
      </c>
      <c r="Y905" s="222">
        <v>0</v>
      </c>
      <c r="Z905" s="222">
        <v>0</v>
      </c>
      <c r="AA905" s="222">
        <v>0</v>
      </c>
      <c r="AB905" s="222">
        <v>0</v>
      </c>
      <c r="AC905" s="222">
        <v>0</v>
      </c>
      <c r="AD905" s="222">
        <v>0</v>
      </c>
      <c r="AE905" s="222">
        <v>950</v>
      </c>
      <c r="AF905" s="221">
        <f t="shared" si="112"/>
        <v>14001.806047720293</v>
      </c>
      <c r="AG905" s="222">
        <v>0</v>
      </c>
      <c r="AH905" s="221">
        <v>0</v>
      </c>
      <c r="AI905" s="222">
        <v>0</v>
      </c>
      <c r="AJ905" s="221">
        <v>0</v>
      </c>
      <c r="AK905" s="222">
        <v>0</v>
      </c>
      <c r="AL905" s="222">
        <v>0</v>
      </c>
      <c r="AM905" s="222">
        <v>0</v>
      </c>
      <c r="AN905" s="222"/>
      <c r="AO905" s="222">
        <v>0</v>
      </c>
    </row>
    <row r="906" spans="1:41" s="223" customFormat="1" ht="36" customHeight="1" x14ac:dyDescent="0.25">
      <c r="B906" s="215" t="s">
        <v>872</v>
      </c>
      <c r="C906" s="215"/>
      <c r="D906" s="217" t="s">
        <v>890</v>
      </c>
      <c r="E906" s="217" t="s">
        <v>890</v>
      </c>
      <c r="F906" s="217" t="s">
        <v>890</v>
      </c>
      <c r="G906" s="217" t="s">
        <v>890</v>
      </c>
      <c r="H906" s="217" t="s">
        <v>890</v>
      </c>
      <c r="I906" s="190">
        <f>SUM(I907:I909)</f>
        <v>1222.5999999999999</v>
      </c>
      <c r="J906" s="190">
        <f>SUM(J907:J909)</f>
        <v>1134.8</v>
      </c>
      <c r="K906" s="190">
        <f>SUM(K907:K909)</f>
        <v>1109.2</v>
      </c>
      <c r="L906" s="219">
        <f>SUM(L907:L909)</f>
        <v>66</v>
      </c>
      <c r="M906" s="217" t="s">
        <v>890</v>
      </c>
      <c r="N906" s="217" t="s">
        <v>890</v>
      </c>
      <c r="O906" s="220" t="s">
        <v>890</v>
      </c>
      <c r="P906" s="190">
        <v>2999636.55</v>
      </c>
      <c r="Q906" s="190">
        <f>SUM(Q907:Q909)</f>
        <v>0</v>
      </c>
      <c r="R906" s="190">
        <f>SUM(R907:R909)</f>
        <v>0</v>
      </c>
      <c r="S906" s="190">
        <f>SUM(S907:S909)</f>
        <v>2999636.55</v>
      </c>
      <c r="T906" s="190">
        <f t="shared" si="105"/>
        <v>2453.4897349910029</v>
      </c>
      <c r="U906" s="190">
        <f>MAX(U907:U909)</f>
        <v>5789.2318168646761</v>
      </c>
      <c r="V906" s="221">
        <f t="shared" si="102"/>
        <v>3335.7420818736732</v>
      </c>
      <c r="W906" s="221"/>
      <c r="X906" s="221"/>
      <c r="Y906" s="222"/>
      <c r="Z906" s="222"/>
      <c r="AA906" s="222"/>
      <c r="AB906" s="222"/>
      <c r="AC906" s="222"/>
      <c r="AD906" s="222"/>
      <c r="AE906" s="222"/>
      <c r="AF906" s="222"/>
      <c r="AG906" s="222"/>
      <c r="AH906" s="222"/>
      <c r="AI906" s="222"/>
      <c r="AJ906" s="222"/>
      <c r="AK906" s="222"/>
      <c r="AL906" s="222"/>
      <c r="AM906" s="222"/>
      <c r="AN906" s="222"/>
      <c r="AO906" s="222"/>
    </row>
    <row r="907" spans="1:41" s="223" customFormat="1" ht="36" customHeight="1" x14ac:dyDescent="0.25">
      <c r="A907" s="223">
        <v>1</v>
      </c>
      <c r="B907" s="225">
        <f>SUBTOTAL(103,$A$552:A907)</f>
        <v>324</v>
      </c>
      <c r="C907" s="215" t="s">
        <v>81</v>
      </c>
      <c r="D907" s="217">
        <v>1931</v>
      </c>
      <c r="E907" s="217"/>
      <c r="F907" s="226" t="s">
        <v>267</v>
      </c>
      <c r="G907" s="217">
        <v>2</v>
      </c>
      <c r="H907" s="217" t="s">
        <v>304</v>
      </c>
      <c r="I907" s="218">
        <v>345.1</v>
      </c>
      <c r="J907" s="218">
        <v>319.60000000000002</v>
      </c>
      <c r="K907" s="218">
        <v>297</v>
      </c>
      <c r="L907" s="219">
        <v>9</v>
      </c>
      <c r="M907" s="217" t="s">
        <v>265</v>
      </c>
      <c r="N907" s="217" t="s">
        <v>266</v>
      </c>
      <c r="O907" s="220" t="s">
        <v>268</v>
      </c>
      <c r="P907" s="190">
        <v>1774373.57</v>
      </c>
      <c r="Q907" s="190">
        <v>0</v>
      </c>
      <c r="R907" s="190">
        <v>0</v>
      </c>
      <c r="S907" s="190">
        <f>P907-Q907-R907</f>
        <v>1774373.57</v>
      </c>
      <c r="T907" s="190">
        <f t="shared" si="105"/>
        <v>5141.6214720370908</v>
      </c>
      <c r="U907" s="190">
        <v>5789.2318168646761</v>
      </c>
      <c r="V907" s="221">
        <f t="shared" si="102"/>
        <v>647.61034482758532</v>
      </c>
      <c r="W907" s="221">
        <f>X907+Y907+Z907+AA907+AB907+AD907+AF907+AH907+AJ907+AL907+AN907+AO907</f>
        <v>5550.1169805853369</v>
      </c>
      <c r="X907" s="221">
        <v>0</v>
      </c>
      <c r="Y907" s="222">
        <v>0</v>
      </c>
      <c r="Z907" s="222">
        <v>0</v>
      </c>
      <c r="AA907" s="222">
        <v>0</v>
      </c>
      <c r="AB907" s="222">
        <v>0</v>
      </c>
      <c r="AC907" s="222">
        <v>0</v>
      </c>
      <c r="AD907" s="222">
        <v>0</v>
      </c>
      <c r="AE907" s="222">
        <v>307</v>
      </c>
      <c r="AF907" s="221">
        <f>6238.91*AE907/I907</f>
        <v>5550.1169805853369</v>
      </c>
      <c r="AG907" s="222">
        <v>0</v>
      </c>
      <c r="AH907" s="221">
        <v>0</v>
      </c>
      <c r="AI907" s="222">
        <v>0</v>
      </c>
      <c r="AJ907" s="221">
        <v>0</v>
      </c>
      <c r="AK907" s="222">
        <v>0</v>
      </c>
      <c r="AL907" s="222">
        <v>0</v>
      </c>
      <c r="AM907" s="222">
        <v>0</v>
      </c>
      <c r="AN907" s="222"/>
      <c r="AO907" s="222">
        <v>0</v>
      </c>
    </row>
    <row r="908" spans="1:41" s="223" customFormat="1" ht="36" customHeight="1" x14ac:dyDescent="0.25">
      <c r="A908" s="223">
        <v>1</v>
      </c>
      <c r="B908" s="225">
        <f>SUBTOTAL(103,$A$552:A908)</f>
        <v>325</v>
      </c>
      <c r="C908" s="215" t="s">
        <v>82</v>
      </c>
      <c r="D908" s="217">
        <v>1965</v>
      </c>
      <c r="E908" s="217"/>
      <c r="F908" s="226" t="s">
        <v>267</v>
      </c>
      <c r="G908" s="217">
        <v>2</v>
      </c>
      <c r="H908" s="217" t="s">
        <v>304</v>
      </c>
      <c r="I908" s="218">
        <v>210.5</v>
      </c>
      <c r="J908" s="218">
        <v>187.3</v>
      </c>
      <c r="K908" s="218">
        <v>184.3</v>
      </c>
      <c r="L908" s="219">
        <v>15</v>
      </c>
      <c r="M908" s="217" t="s">
        <v>265</v>
      </c>
      <c r="N908" s="217" t="s">
        <v>269</v>
      </c>
      <c r="O908" s="220" t="s">
        <v>279</v>
      </c>
      <c r="P908" s="190">
        <v>901962.98</v>
      </c>
      <c r="Q908" s="190">
        <v>0</v>
      </c>
      <c r="R908" s="190">
        <v>0</v>
      </c>
      <c r="S908" s="190">
        <f>P908-Q908-R908</f>
        <v>901962.98</v>
      </c>
      <c r="T908" s="190">
        <f t="shared" si="105"/>
        <v>4284.8597624703089</v>
      </c>
      <c r="U908" s="190">
        <v>4946.4703087885982</v>
      </c>
      <c r="V908" s="221">
        <f>U908-T908</f>
        <v>661.61054631828938</v>
      </c>
      <c r="W908" s="221">
        <f>X908+Y908+Z908+AA908+AB908+AD908+AF908+AH908+AJ908+AL908+AN908+AO908</f>
        <v>4742.1643705463184</v>
      </c>
      <c r="X908" s="221">
        <v>0</v>
      </c>
      <c r="Y908" s="222">
        <v>0</v>
      </c>
      <c r="Z908" s="222">
        <v>0</v>
      </c>
      <c r="AA908" s="222">
        <v>0</v>
      </c>
      <c r="AB908" s="222">
        <v>0</v>
      </c>
      <c r="AC908" s="222">
        <v>0</v>
      </c>
      <c r="AD908" s="222">
        <v>0</v>
      </c>
      <c r="AE908" s="222">
        <v>160</v>
      </c>
      <c r="AF908" s="221">
        <f>6238.91*AE908/I908</f>
        <v>4742.1643705463184</v>
      </c>
      <c r="AG908" s="222">
        <v>0</v>
      </c>
      <c r="AH908" s="221">
        <v>0</v>
      </c>
      <c r="AI908" s="222">
        <v>0</v>
      </c>
      <c r="AJ908" s="221">
        <v>0</v>
      </c>
      <c r="AK908" s="222">
        <v>0</v>
      </c>
      <c r="AL908" s="222">
        <v>0</v>
      </c>
      <c r="AM908" s="222">
        <v>0</v>
      </c>
      <c r="AN908" s="222"/>
      <c r="AO908" s="222">
        <v>0</v>
      </c>
    </row>
    <row r="909" spans="1:41" s="223" customFormat="1" ht="36" customHeight="1" x14ac:dyDescent="0.25">
      <c r="A909" s="223">
        <v>1</v>
      </c>
      <c r="B909" s="225">
        <f>SUBTOTAL(103,$A$552:A909)</f>
        <v>326</v>
      </c>
      <c r="C909" s="215" t="s">
        <v>2278</v>
      </c>
      <c r="D909" s="217">
        <v>1966</v>
      </c>
      <c r="E909" s="217"/>
      <c r="F909" s="226" t="s">
        <v>267</v>
      </c>
      <c r="G909" s="217">
        <v>2</v>
      </c>
      <c r="H909" s="217">
        <v>2</v>
      </c>
      <c r="I909" s="218">
        <v>667</v>
      </c>
      <c r="J909" s="218">
        <v>627.9</v>
      </c>
      <c r="K909" s="218">
        <f>J909</f>
        <v>627.9</v>
      </c>
      <c r="L909" s="219">
        <v>42</v>
      </c>
      <c r="M909" s="217" t="s">
        <v>265</v>
      </c>
      <c r="N909" s="217" t="s">
        <v>266</v>
      </c>
      <c r="O909" s="220" t="s">
        <v>268</v>
      </c>
      <c r="P909" s="190">
        <v>323300</v>
      </c>
      <c r="Q909" s="190">
        <v>0</v>
      </c>
      <c r="R909" s="190">
        <v>0</v>
      </c>
      <c r="S909" s="190">
        <f>P909-Q909-R909</f>
        <v>323300</v>
      </c>
      <c r="T909" s="190">
        <f t="shared" ref="T909:T972" si="113">P909/I909</f>
        <v>484.70764617691157</v>
      </c>
      <c r="U909" s="190">
        <v>484.70764617691157</v>
      </c>
      <c r="V909" s="221">
        <f t="shared" si="102"/>
        <v>0</v>
      </c>
      <c r="W909" s="221">
        <f>X909+Y909+Z909+AA909+AB909+AD909+AF909+AH909+AJ909+AL909+AN909+AO909</f>
        <v>1496.5901049475262</v>
      </c>
      <c r="X909" s="221">
        <v>0</v>
      </c>
      <c r="Y909" s="222">
        <v>0</v>
      </c>
      <c r="Z909" s="222">
        <v>0</v>
      </c>
      <c r="AA909" s="222">
        <v>0</v>
      </c>
      <c r="AB909" s="222">
        <v>0</v>
      </c>
      <c r="AC909" s="222">
        <v>0</v>
      </c>
      <c r="AD909" s="222">
        <v>0</v>
      </c>
      <c r="AE909" s="222">
        <v>160</v>
      </c>
      <c r="AF909" s="221">
        <f>6238.91*AE909/I909</f>
        <v>1496.5901049475262</v>
      </c>
      <c r="AG909" s="222">
        <v>0</v>
      </c>
      <c r="AH909" s="221">
        <v>0</v>
      </c>
      <c r="AI909" s="222">
        <v>0</v>
      </c>
      <c r="AJ909" s="221">
        <v>0</v>
      </c>
      <c r="AK909" s="222">
        <v>0</v>
      </c>
      <c r="AL909" s="222">
        <v>0</v>
      </c>
      <c r="AM909" s="222">
        <v>0</v>
      </c>
      <c r="AN909" s="222"/>
      <c r="AO909" s="222">
        <v>0</v>
      </c>
    </row>
    <row r="910" spans="1:41" s="223" customFormat="1" ht="36" customHeight="1" x14ac:dyDescent="0.25">
      <c r="B910" s="215" t="s">
        <v>873</v>
      </c>
      <c r="C910" s="215"/>
      <c r="D910" s="217" t="s">
        <v>890</v>
      </c>
      <c r="E910" s="217" t="s">
        <v>890</v>
      </c>
      <c r="F910" s="217" t="s">
        <v>890</v>
      </c>
      <c r="G910" s="217" t="s">
        <v>890</v>
      </c>
      <c r="H910" s="217" t="s">
        <v>890</v>
      </c>
      <c r="I910" s="218">
        <f>I911</f>
        <v>654.5</v>
      </c>
      <c r="J910" s="218">
        <f>J911</f>
        <v>614.5</v>
      </c>
      <c r="K910" s="218">
        <f>K911</f>
        <v>614.5</v>
      </c>
      <c r="L910" s="219">
        <f>L911</f>
        <v>32</v>
      </c>
      <c r="M910" s="217" t="s">
        <v>890</v>
      </c>
      <c r="N910" s="217" t="s">
        <v>890</v>
      </c>
      <c r="O910" s="220" t="s">
        <v>890</v>
      </c>
      <c r="P910" s="190">
        <v>3037413.17</v>
      </c>
      <c r="Q910" s="190">
        <f>Q911</f>
        <v>0</v>
      </c>
      <c r="R910" s="190">
        <f>R911</f>
        <v>0</v>
      </c>
      <c r="S910" s="190">
        <f>S911</f>
        <v>3037413.17</v>
      </c>
      <c r="T910" s="190">
        <f t="shared" si="113"/>
        <v>4640.8146218487391</v>
      </c>
      <c r="U910" s="190">
        <f>U911</f>
        <v>4640.8146218487391</v>
      </c>
      <c r="V910" s="221">
        <f t="shared" si="102"/>
        <v>0</v>
      </c>
      <c r="W910" s="221"/>
      <c r="X910" s="221"/>
      <c r="Y910" s="222"/>
      <c r="Z910" s="222"/>
      <c r="AA910" s="222"/>
      <c r="AB910" s="222"/>
      <c r="AC910" s="222"/>
      <c r="AD910" s="222"/>
      <c r="AE910" s="222"/>
      <c r="AF910" s="222"/>
      <c r="AG910" s="222"/>
      <c r="AH910" s="222"/>
      <c r="AI910" s="222"/>
      <c r="AJ910" s="222"/>
      <c r="AK910" s="222"/>
      <c r="AL910" s="222"/>
      <c r="AM910" s="222"/>
      <c r="AN910" s="222"/>
      <c r="AO910" s="222"/>
    </row>
    <row r="911" spans="1:41" s="223" customFormat="1" ht="36" customHeight="1" x14ac:dyDescent="0.25">
      <c r="A911" s="223">
        <v>1</v>
      </c>
      <c r="B911" s="225">
        <f>SUBTOTAL(103,$A$552:A911)</f>
        <v>327</v>
      </c>
      <c r="C911" s="215" t="s">
        <v>83</v>
      </c>
      <c r="D911" s="217">
        <v>1964</v>
      </c>
      <c r="E911" s="217"/>
      <c r="F911" s="226" t="s">
        <v>267</v>
      </c>
      <c r="G911" s="217">
        <v>2</v>
      </c>
      <c r="H911" s="217" t="s">
        <v>303</v>
      </c>
      <c r="I911" s="218">
        <v>654.5</v>
      </c>
      <c r="J911" s="218">
        <v>614.5</v>
      </c>
      <c r="K911" s="218">
        <v>614.5</v>
      </c>
      <c r="L911" s="219">
        <v>32</v>
      </c>
      <c r="M911" s="217" t="s">
        <v>265</v>
      </c>
      <c r="N911" s="217" t="s">
        <v>266</v>
      </c>
      <c r="O911" s="220" t="s">
        <v>268</v>
      </c>
      <c r="P911" s="190">
        <v>3037413.17</v>
      </c>
      <c r="Q911" s="190">
        <v>0</v>
      </c>
      <c r="R911" s="190">
        <v>0</v>
      </c>
      <c r="S911" s="190">
        <f>P911-Q911-R911</f>
        <v>3037413.17</v>
      </c>
      <c r="T911" s="190">
        <f t="shared" si="113"/>
        <v>4640.8146218487391</v>
      </c>
      <c r="U911" s="190">
        <v>4640.8146218487391</v>
      </c>
      <c r="V911" s="221">
        <f>U911-T911</f>
        <v>0</v>
      </c>
      <c r="W911" s="221">
        <f>X911+Y911+Z911+AA911+AB911+AD911+AF911+AH911+AJ911+AL911+AN911+AO911</f>
        <v>3928.1026400305577</v>
      </c>
      <c r="X911" s="221">
        <v>0</v>
      </c>
      <c r="Y911" s="222">
        <v>0</v>
      </c>
      <c r="Z911" s="222">
        <v>0</v>
      </c>
      <c r="AA911" s="222">
        <v>0</v>
      </c>
      <c r="AB911" s="222">
        <v>0</v>
      </c>
      <c r="AC911" s="222">
        <v>0</v>
      </c>
      <c r="AD911" s="222">
        <v>0</v>
      </c>
      <c r="AE911" s="222">
        <v>399.43</v>
      </c>
      <c r="AF911" s="221">
        <f>6436.53*AE911/I911</f>
        <v>3928.1026400305577</v>
      </c>
      <c r="AG911" s="222">
        <v>0</v>
      </c>
      <c r="AH911" s="221">
        <v>0</v>
      </c>
      <c r="AI911" s="222">
        <v>0</v>
      </c>
      <c r="AJ911" s="221">
        <v>0</v>
      </c>
      <c r="AK911" s="222">
        <v>0</v>
      </c>
      <c r="AL911" s="222">
        <v>0</v>
      </c>
      <c r="AM911" s="222">
        <v>0</v>
      </c>
      <c r="AN911" s="222"/>
      <c r="AO911" s="222">
        <v>0</v>
      </c>
    </row>
    <row r="912" spans="1:41" s="223" customFormat="1" ht="36" customHeight="1" x14ac:dyDescent="0.25">
      <c r="B912" s="215" t="s">
        <v>840</v>
      </c>
      <c r="C912" s="227"/>
      <c r="D912" s="217" t="s">
        <v>890</v>
      </c>
      <c r="E912" s="217" t="s">
        <v>890</v>
      </c>
      <c r="F912" s="217" t="s">
        <v>890</v>
      </c>
      <c r="G912" s="217" t="s">
        <v>890</v>
      </c>
      <c r="H912" s="217" t="s">
        <v>890</v>
      </c>
      <c r="I912" s="218">
        <f>SUM(I913:I916)</f>
        <v>7388.82</v>
      </c>
      <c r="J912" s="218">
        <f>SUM(J913:J916)</f>
        <v>4560.7</v>
      </c>
      <c r="K912" s="218">
        <f>SUM(K913:K916)</f>
        <v>4073.3</v>
      </c>
      <c r="L912" s="219">
        <f>SUM(L913:L916)</f>
        <v>208</v>
      </c>
      <c r="M912" s="217" t="s">
        <v>890</v>
      </c>
      <c r="N912" s="217" t="s">
        <v>890</v>
      </c>
      <c r="O912" s="220" t="s">
        <v>890</v>
      </c>
      <c r="P912" s="190">
        <v>12893957.77</v>
      </c>
      <c r="Q912" s="190">
        <f>SUM(Q913:Q916)</f>
        <v>0</v>
      </c>
      <c r="R912" s="190">
        <f>SUM(R913:R916)</f>
        <v>0</v>
      </c>
      <c r="S912" s="190">
        <f>SUM(S913:S916)</f>
        <v>12893957.77</v>
      </c>
      <c r="T912" s="190">
        <f t="shared" si="113"/>
        <v>1745.0631860026365</v>
      </c>
      <c r="U912" s="190">
        <f>MAX(U913:U916)</f>
        <v>3567.4193435754191</v>
      </c>
      <c r="V912" s="221">
        <f t="shared" si="102"/>
        <v>1822.3561575727826</v>
      </c>
      <c r="W912" s="221"/>
      <c r="X912" s="221"/>
      <c r="Y912" s="222"/>
      <c r="Z912" s="222"/>
      <c r="AA912" s="222"/>
      <c r="AB912" s="222"/>
      <c r="AC912" s="222"/>
      <c r="AD912" s="222"/>
      <c r="AE912" s="222"/>
      <c r="AF912" s="222"/>
      <c r="AG912" s="222"/>
      <c r="AH912" s="222"/>
      <c r="AI912" s="222"/>
      <c r="AJ912" s="222"/>
      <c r="AK912" s="222"/>
      <c r="AL912" s="222"/>
      <c r="AM912" s="222"/>
      <c r="AN912" s="222"/>
      <c r="AO912" s="222"/>
    </row>
    <row r="913" spans="1:41" s="223" customFormat="1" ht="36" customHeight="1" x14ac:dyDescent="0.25">
      <c r="A913" s="223">
        <v>1</v>
      </c>
      <c r="B913" s="225">
        <f>SUBTOTAL(103,$A$552:A913)</f>
        <v>328</v>
      </c>
      <c r="C913" s="215" t="s">
        <v>106</v>
      </c>
      <c r="D913" s="217">
        <v>1975</v>
      </c>
      <c r="E913" s="217"/>
      <c r="F913" s="226" t="s">
        <v>267</v>
      </c>
      <c r="G913" s="217">
        <v>2</v>
      </c>
      <c r="H913" s="217" t="s">
        <v>303</v>
      </c>
      <c r="I913" s="218">
        <v>1244.4000000000001</v>
      </c>
      <c r="J913" s="218">
        <v>727.8</v>
      </c>
      <c r="K913" s="218">
        <v>584.79999999999995</v>
      </c>
      <c r="L913" s="219">
        <v>34</v>
      </c>
      <c r="M913" s="217" t="s">
        <v>265</v>
      </c>
      <c r="N913" s="217" t="s">
        <v>266</v>
      </c>
      <c r="O913" s="220" t="s">
        <v>268</v>
      </c>
      <c r="P913" s="190">
        <v>2957529.62</v>
      </c>
      <c r="Q913" s="190">
        <v>0</v>
      </c>
      <c r="R913" s="190">
        <v>0</v>
      </c>
      <c r="S913" s="190">
        <f>P913-Q913-R913</f>
        <v>2957529.62</v>
      </c>
      <c r="T913" s="190">
        <f t="shared" si="113"/>
        <v>2376.6711828993894</v>
      </c>
      <c r="U913" s="190">
        <v>2986.0950658952102</v>
      </c>
      <c r="V913" s="221">
        <f t="shared" si="102"/>
        <v>609.4238829958208</v>
      </c>
      <c r="W913" s="221">
        <f>X913+Y913+Z913+AA913+AB913+AD913+AF913+AH913+AJ913+AL913+AN913+AO913</f>
        <v>2862.7592494374794</v>
      </c>
      <c r="X913" s="221">
        <v>0</v>
      </c>
      <c r="Y913" s="222">
        <v>0</v>
      </c>
      <c r="Z913" s="222">
        <v>0</v>
      </c>
      <c r="AA913" s="222">
        <v>0</v>
      </c>
      <c r="AB913" s="222">
        <v>0</v>
      </c>
      <c r="AC913" s="222">
        <v>0</v>
      </c>
      <c r="AD913" s="222">
        <v>0</v>
      </c>
      <c r="AE913" s="222">
        <v>571</v>
      </c>
      <c r="AF913" s="221">
        <f>6238.91*AE913/I913</f>
        <v>2862.7592494374794</v>
      </c>
      <c r="AG913" s="222">
        <v>0</v>
      </c>
      <c r="AH913" s="221">
        <v>0</v>
      </c>
      <c r="AI913" s="222">
        <v>0</v>
      </c>
      <c r="AJ913" s="221">
        <v>0</v>
      </c>
      <c r="AK913" s="222">
        <v>0</v>
      </c>
      <c r="AL913" s="222">
        <v>0</v>
      </c>
      <c r="AM913" s="222">
        <v>0</v>
      </c>
      <c r="AN913" s="222"/>
      <c r="AO913" s="222">
        <v>0</v>
      </c>
    </row>
    <row r="914" spans="1:41" s="223" customFormat="1" ht="36" customHeight="1" x14ac:dyDescent="0.25">
      <c r="A914" s="223">
        <v>1</v>
      </c>
      <c r="B914" s="225">
        <f>SUBTOTAL(103,$A$552:A914)</f>
        <v>329</v>
      </c>
      <c r="C914" s="215" t="s">
        <v>1236</v>
      </c>
      <c r="D914" s="217">
        <v>1962</v>
      </c>
      <c r="E914" s="217"/>
      <c r="F914" s="226" t="s">
        <v>330</v>
      </c>
      <c r="G914" s="217">
        <v>2</v>
      </c>
      <c r="H914" s="217" t="s">
        <v>304</v>
      </c>
      <c r="I914" s="190">
        <v>620.52</v>
      </c>
      <c r="J914" s="190">
        <v>390.8</v>
      </c>
      <c r="K914" s="190">
        <v>355.2</v>
      </c>
      <c r="L914" s="219">
        <v>21</v>
      </c>
      <c r="M914" s="217" t="s">
        <v>265</v>
      </c>
      <c r="N914" s="217" t="s">
        <v>266</v>
      </c>
      <c r="O914" s="220" t="s">
        <v>268</v>
      </c>
      <c r="P914" s="190">
        <v>1183452.6399999999</v>
      </c>
      <c r="Q914" s="190">
        <v>0</v>
      </c>
      <c r="R914" s="190">
        <v>0</v>
      </c>
      <c r="S914" s="190">
        <f>P914-Q914-R914</f>
        <v>1183452.6399999999</v>
      </c>
      <c r="T914" s="190">
        <f t="shared" si="113"/>
        <v>1907.1949977438276</v>
      </c>
      <c r="U914" s="190">
        <v>3513.3106104557469</v>
      </c>
      <c r="V914" s="221">
        <f>U914-T914</f>
        <v>1606.1156127119193</v>
      </c>
      <c r="W914" s="221">
        <f>X914+Y914+Z914+AA914+AB914+AD914+AF914+AH914+AJ914+AL914+AN914+AO914</f>
        <v>3368.1990105073164</v>
      </c>
      <c r="X914" s="221">
        <v>0</v>
      </c>
      <c r="Y914" s="222">
        <v>0</v>
      </c>
      <c r="Z914" s="222">
        <v>0</v>
      </c>
      <c r="AA914" s="222">
        <v>0</v>
      </c>
      <c r="AB914" s="222">
        <v>0</v>
      </c>
      <c r="AC914" s="222">
        <v>0</v>
      </c>
      <c r="AD914" s="222">
        <v>0</v>
      </c>
      <c r="AE914" s="222">
        <v>335</v>
      </c>
      <c r="AF914" s="221">
        <f>6238.91*AE914/I914</f>
        <v>3368.1990105073164</v>
      </c>
      <c r="AG914" s="222">
        <v>0</v>
      </c>
      <c r="AH914" s="221">
        <v>0</v>
      </c>
      <c r="AI914" s="222">
        <v>0</v>
      </c>
      <c r="AJ914" s="221">
        <v>0</v>
      </c>
      <c r="AK914" s="222">
        <v>0</v>
      </c>
      <c r="AL914" s="222">
        <v>0</v>
      </c>
      <c r="AM914" s="222">
        <v>0</v>
      </c>
      <c r="AN914" s="222"/>
      <c r="AO914" s="222">
        <v>0</v>
      </c>
    </row>
    <row r="915" spans="1:41" s="223" customFormat="1" ht="36" customHeight="1" x14ac:dyDescent="0.25">
      <c r="A915" s="223">
        <v>1</v>
      </c>
      <c r="B915" s="225">
        <f>SUBTOTAL(103,$A$552:A915)</f>
        <v>330</v>
      </c>
      <c r="C915" s="215" t="s">
        <v>1235</v>
      </c>
      <c r="D915" s="217">
        <v>1985</v>
      </c>
      <c r="E915" s="217"/>
      <c r="F915" s="226" t="s">
        <v>267</v>
      </c>
      <c r="G915" s="217">
        <v>5</v>
      </c>
      <c r="H915" s="217" t="s">
        <v>308</v>
      </c>
      <c r="I915" s="190">
        <v>4091.9</v>
      </c>
      <c r="J915" s="190">
        <v>2619.4</v>
      </c>
      <c r="K915" s="190">
        <v>2310.6</v>
      </c>
      <c r="L915" s="219">
        <v>119</v>
      </c>
      <c r="M915" s="217" t="s">
        <v>265</v>
      </c>
      <c r="N915" s="217" t="s">
        <v>269</v>
      </c>
      <c r="O915" s="220" t="s">
        <v>1337</v>
      </c>
      <c r="P915" s="190">
        <v>4801204.26</v>
      </c>
      <c r="Q915" s="190">
        <v>0</v>
      </c>
      <c r="R915" s="190">
        <v>0</v>
      </c>
      <c r="S915" s="190">
        <f>P915-Q915-R915</f>
        <v>4801204.26</v>
      </c>
      <c r="T915" s="190">
        <f t="shared" si="113"/>
        <v>1173.3434981304529</v>
      </c>
      <c r="U915" s="190">
        <v>1289.8216539016105</v>
      </c>
      <c r="V915" s="221">
        <f t="shared" ref="V915" si="114">U915-T915</f>
        <v>116.47815577115762</v>
      </c>
      <c r="W915" s="221">
        <f>X915+Y915+Z915+AA915+AB915+AD915+AF915+AH915+AJ915+AL915+AN915+AO915</f>
        <v>510.77368704025019</v>
      </c>
      <c r="X915" s="221">
        <v>0</v>
      </c>
      <c r="Y915" s="222">
        <v>0</v>
      </c>
      <c r="Z915" s="222">
        <v>0</v>
      </c>
      <c r="AA915" s="222">
        <v>0</v>
      </c>
      <c r="AB915" s="222">
        <v>0</v>
      </c>
      <c r="AC915" s="222">
        <v>0</v>
      </c>
      <c r="AD915" s="222">
        <v>0</v>
      </c>
      <c r="AE915" s="222">
        <v>335</v>
      </c>
      <c r="AF915" s="221">
        <f>6238.91*AE915/I915</f>
        <v>510.77368704025019</v>
      </c>
      <c r="AG915" s="222">
        <v>0</v>
      </c>
      <c r="AH915" s="221">
        <v>0</v>
      </c>
      <c r="AI915" s="222">
        <v>0</v>
      </c>
      <c r="AJ915" s="221">
        <v>0</v>
      </c>
      <c r="AK915" s="222">
        <v>0</v>
      </c>
      <c r="AL915" s="222">
        <v>0</v>
      </c>
      <c r="AM915" s="222">
        <v>0</v>
      </c>
      <c r="AN915" s="222"/>
      <c r="AO915" s="222">
        <v>0</v>
      </c>
    </row>
    <row r="916" spans="1:41" s="223" customFormat="1" ht="36" customHeight="1" x14ac:dyDescent="0.25">
      <c r="A916" s="223">
        <v>1</v>
      </c>
      <c r="B916" s="225">
        <f>SUBTOTAL(103,$A$552:A916)</f>
        <v>331</v>
      </c>
      <c r="C916" s="215" t="s">
        <v>2317</v>
      </c>
      <c r="D916" s="217">
        <v>1979</v>
      </c>
      <c r="E916" s="217"/>
      <c r="F916" s="226" t="s">
        <v>267</v>
      </c>
      <c r="G916" s="217">
        <v>2</v>
      </c>
      <c r="H916" s="217">
        <v>3</v>
      </c>
      <c r="I916" s="190">
        <v>1432</v>
      </c>
      <c r="J916" s="190">
        <v>822.7</v>
      </c>
      <c r="K916" s="190">
        <v>822.7</v>
      </c>
      <c r="L916" s="219">
        <v>34</v>
      </c>
      <c r="M916" s="217" t="s">
        <v>265</v>
      </c>
      <c r="N916" s="217" t="s">
        <v>266</v>
      </c>
      <c r="O916" s="220" t="s">
        <v>268</v>
      </c>
      <c r="P916" s="190">
        <v>3951771.25</v>
      </c>
      <c r="Q916" s="190">
        <v>0</v>
      </c>
      <c r="R916" s="190">
        <v>0</v>
      </c>
      <c r="S916" s="190">
        <f>P916-Q916-R916</f>
        <v>3951771.25</v>
      </c>
      <c r="T916" s="190">
        <f t="shared" si="113"/>
        <v>2759.6167946927376</v>
      </c>
      <c r="U916" s="190">
        <v>3567.4193435754191</v>
      </c>
      <c r="V916" s="221">
        <f t="shared" si="102"/>
        <v>807.80254888268155</v>
      </c>
      <c r="W916" s="221">
        <f>X916+Y916+Z916+AA916+AB916+AD916+AF916+AH916+AJ916+AL916+AN916+AO916</f>
        <v>1459.5215432960892</v>
      </c>
      <c r="X916" s="221">
        <v>0</v>
      </c>
      <c r="Y916" s="222">
        <v>0</v>
      </c>
      <c r="Z916" s="222">
        <v>0</v>
      </c>
      <c r="AA916" s="222">
        <v>0</v>
      </c>
      <c r="AB916" s="222">
        <v>0</v>
      </c>
      <c r="AC916" s="222">
        <v>0</v>
      </c>
      <c r="AD916" s="222">
        <v>0</v>
      </c>
      <c r="AE916" s="222">
        <v>335</v>
      </c>
      <c r="AF916" s="221">
        <f>6238.91*AE916/I916</f>
        <v>1459.5215432960892</v>
      </c>
      <c r="AG916" s="222">
        <v>0</v>
      </c>
      <c r="AH916" s="221">
        <v>0</v>
      </c>
      <c r="AI916" s="222">
        <v>0</v>
      </c>
      <c r="AJ916" s="221">
        <v>0</v>
      </c>
      <c r="AK916" s="222">
        <v>0</v>
      </c>
      <c r="AL916" s="222">
        <v>0</v>
      </c>
      <c r="AM916" s="222">
        <v>0</v>
      </c>
      <c r="AN916" s="222"/>
      <c r="AO916" s="222">
        <v>0</v>
      </c>
    </row>
    <row r="917" spans="1:41" s="223" customFormat="1" ht="36" customHeight="1" x14ac:dyDescent="0.25">
      <c r="B917" s="215" t="s">
        <v>2314</v>
      </c>
      <c r="C917" s="215"/>
      <c r="D917" s="217" t="s">
        <v>890</v>
      </c>
      <c r="E917" s="217" t="s">
        <v>890</v>
      </c>
      <c r="F917" s="217" t="s">
        <v>890</v>
      </c>
      <c r="G917" s="217" t="s">
        <v>890</v>
      </c>
      <c r="H917" s="217" t="s">
        <v>890</v>
      </c>
      <c r="I917" s="218">
        <f>I918</f>
        <v>327.60000000000002</v>
      </c>
      <c r="J917" s="218">
        <f>J918</f>
        <v>295.2</v>
      </c>
      <c r="K917" s="218">
        <f>K918</f>
        <v>295.2</v>
      </c>
      <c r="L917" s="219">
        <f>L918</f>
        <v>21</v>
      </c>
      <c r="M917" s="217" t="s">
        <v>890</v>
      </c>
      <c r="N917" s="217" t="s">
        <v>890</v>
      </c>
      <c r="O917" s="220" t="s">
        <v>890</v>
      </c>
      <c r="P917" s="190">
        <v>738468</v>
      </c>
      <c r="Q917" s="190">
        <f>Q918</f>
        <v>0</v>
      </c>
      <c r="R917" s="190">
        <f>R918</f>
        <v>0</v>
      </c>
      <c r="S917" s="190">
        <f>S918</f>
        <v>738468</v>
      </c>
      <c r="T917" s="190">
        <f t="shared" si="113"/>
        <v>2254.1758241758239</v>
      </c>
      <c r="U917" s="190">
        <f>U918</f>
        <v>2900.2570207570202</v>
      </c>
      <c r="V917" s="221">
        <f t="shared" si="102"/>
        <v>646.08119658119631</v>
      </c>
      <c r="W917" s="221"/>
      <c r="X917" s="221"/>
      <c r="Y917" s="222"/>
      <c r="Z917" s="222"/>
      <c r="AA917" s="222"/>
      <c r="AB917" s="222"/>
      <c r="AC917" s="222"/>
      <c r="AD917" s="222"/>
      <c r="AE917" s="222"/>
      <c r="AF917" s="222"/>
      <c r="AG917" s="222"/>
      <c r="AH917" s="222"/>
      <c r="AI917" s="222"/>
      <c r="AJ917" s="222"/>
      <c r="AK917" s="222"/>
      <c r="AL917" s="222"/>
      <c r="AM917" s="222"/>
      <c r="AN917" s="222"/>
      <c r="AO917" s="222"/>
    </row>
    <row r="918" spans="1:41" s="223" customFormat="1" ht="36" customHeight="1" x14ac:dyDescent="0.25">
      <c r="A918" s="223">
        <v>1</v>
      </c>
      <c r="B918" s="225">
        <f>SUBTOTAL(103,$A$552:A918)</f>
        <v>332</v>
      </c>
      <c r="C918" s="215" t="s">
        <v>2315</v>
      </c>
      <c r="D918" s="217">
        <v>1964</v>
      </c>
      <c r="E918" s="217"/>
      <c r="F918" s="226" t="s">
        <v>267</v>
      </c>
      <c r="G918" s="217">
        <v>2</v>
      </c>
      <c r="H918" s="217">
        <v>1</v>
      </c>
      <c r="I918" s="218">
        <v>327.60000000000002</v>
      </c>
      <c r="J918" s="218">
        <v>295.2</v>
      </c>
      <c r="K918" s="218">
        <v>295.2</v>
      </c>
      <c r="L918" s="219">
        <v>21</v>
      </c>
      <c r="M918" s="217" t="s">
        <v>265</v>
      </c>
      <c r="N918" s="217" t="s">
        <v>266</v>
      </c>
      <c r="O918" s="220" t="s">
        <v>268</v>
      </c>
      <c r="P918" s="190">
        <v>738468</v>
      </c>
      <c r="Q918" s="190">
        <v>0</v>
      </c>
      <c r="R918" s="190">
        <v>0</v>
      </c>
      <c r="S918" s="190">
        <f>P918-Q918-R918</f>
        <v>738468</v>
      </c>
      <c r="T918" s="190">
        <f t="shared" si="113"/>
        <v>2254.1758241758239</v>
      </c>
      <c r="U918" s="190">
        <v>2900.2570207570202</v>
      </c>
      <c r="V918" s="221">
        <f>U918-T918</f>
        <v>646.08119658119631</v>
      </c>
      <c r="W918" s="221">
        <f>X918+Y918+Z918+AA918+AB918+AD918+AF918+AH918+AJ918+AL918+AN918+AO918</f>
        <v>15646.790158730159</v>
      </c>
      <c r="X918" s="221">
        <v>0</v>
      </c>
      <c r="Y918" s="222">
        <v>0</v>
      </c>
      <c r="Z918" s="222">
        <v>0</v>
      </c>
      <c r="AA918" s="222">
        <v>0</v>
      </c>
      <c r="AB918" s="222">
        <v>0</v>
      </c>
      <c r="AC918" s="222">
        <v>0</v>
      </c>
      <c r="AD918" s="222">
        <v>0</v>
      </c>
      <c r="AE918" s="222">
        <v>821.6</v>
      </c>
      <c r="AF918" s="221">
        <f>6238.91*AE918/I918</f>
        <v>15646.790158730159</v>
      </c>
      <c r="AG918" s="222">
        <v>0</v>
      </c>
      <c r="AH918" s="221">
        <v>0</v>
      </c>
      <c r="AI918" s="222">
        <v>0</v>
      </c>
      <c r="AJ918" s="221">
        <v>0</v>
      </c>
      <c r="AK918" s="222">
        <v>0</v>
      </c>
      <c r="AL918" s="222">
        <v>0</v>
      </c>
      <c r="AM918" s="222">
        <v>0</v>
      </c>
      <c r="AN918" s="222"/>
      <c r="AO918" s="222">
        <v>0</v>
      </c>
    </row>
    <row r="919" spans="1:41" s="223" customFormat="1" ht="36" customHeight="1" x14ac:dyDescent="0.25">
      <c r="B919" s="215" t="s">
        <v>874</v>
      </c>
      <c r="C919" s="215"/>
      <c r="D919" s="217" t="s">
        <v>890</v>
      </c>
      <c r="E919" s="217" t="s">
        <v>890</v>
      </c>
      <c r="F919" s="217" t="s">
        <v>890</v>
      </c>
      <c r="G919" s="217" t="s">
        <v>890</v>
      </c>
      <c r="H919" s="217" t="s">
        <v>890</v>
      </c>
      <c r="I919" s="218">
        <f>I920</f>
        <v>948.3</v>
      </c>
      <c r="J919" s="218">
        <f>J920</f>
        <v>848.3</v>
      </c>
      <c r="K919" s="218">
        <f>K920</f>
        <v>803.9</v>
      </c>
      <c r="L919" s="219">
        <f>L920</f>
        <v>64</v>
      </c>
      <c r="M919" s="217" t="s">
        <v>890</v>
      </c>
      <c r="N919" s="217" t="s">
        <v>890</v>
      </c>
      <c r="O919" s="220" t="s">
        <v>890</v>
      </c>
      <c r="P919" s="190">
        <v>4290230.8800000008</v>
      </c>
      <c r="Q919" s="190">
        <f>Q920</f>
        <v>0</v>
      </c>
      <c r="R919" s="190">
        <f>R920</f>
        <v>0</v>
      </c>
      <c r="S919" s="190">
        <f>S920</f>
        <v>4290230.8800000008</v>
      </c>
      <c r="T919" s="190">
        <f t="shared" si="113"/>
        <v>4524.12831382474</v>
      </c>
      <c r="U919" s="190">
        <f>U920</f>
        <v>5638.2224190656971</v>
      </c>
      <c r="V919" s="221">
        <f t="shared" si="102"/>
        <v>1114.0941052409571</v>
      </c>
      <c r="W919" s="221"/>
      <c r="X919" s="221"/>
      <c r="Y919" s="222"/>
      <c r="Z919" s="222"/>
      <c r="AA919" s="222"/>
      <c r="AB919" s="222"/>
      <c r="AC919" s="222"/>
      <c r="AD919" s="222"/>
      <c r="AE919" s="222"/>
      <c r="AF919" s="222"/>
      <c r="AG919" s="222"/>
      <c r="AH919" s="222"/>
      <c r="AI919" s="222"/>
      <c r="AJ919" s="222"/>
      <c r="AK919" s="222"/>
      <c r="AL919" s="222"/>
      <c r="AM919" s="222"/>
      <c r="AN919" s="222"/>
      <c r="AO919" s="222"/>
    </row>
    <row r="920" spans="1:41" s="223" customFormat="1" ht="36" customHeight="1" x14ac:dyDescent="0.25">
      <c r="A920" s="223">
        <v>1</v>
      </c>
      <c r="B920" s="225">
        <f>SUBTOTAL(103,$A$552:A920)</f>
        <v>333</v>
      </c>
      <c r="C920" s="215" t="s">
        <v>112</v>
      </c>
      <c r="D920" s="217">
        <v>1978</v>
      </c>
      <c r="E920" s="217"/>
      <c r="F920" s="226" t="s">
        <v>267</v>
      </c>
      <c r="G920" s="217">
        <v>2</v>
      </c>
      <c r="H920" s="217" t="s">
        <v>312</v>
      </c>
      <c r="I920" s="218">
        <v>948.3</v>
      </c>
      <c r="J920" s="218">
        <v>848.3</v>
      </c>
      <c r="K920" s="218">
        <v>803.9</v>
      </c>
      <c r="L920" s="219">
        <v>64</v>
      </c>
      <c r="M920" s="217" t="s">
        <v>265</v>
      </c>
      <c r="N920" s="217" t="s">
        <v>266</v>
      </c>
      <c r="O920" s="220" t="s">
        <v>268</v>
      </c>
      <c r="P920" s="190">
        <v>4290230.8800000008</v>
      </c>
      <c r="Q920" s="190">
        <v>0</v>
      </c>
      <c r="R920" s="190">
        <v>0</v>
      </c>
      <c r="S920" s="190">
        <f>P920-Q920-R920</f>
        <v>4290230.8800000008</v>
      </c>
      <c r="T920" s="190">
        <f t="shared" si="113"/>
        <v>4524.12831382474</v>
      </c>
      <c r="U920" s="190">
        <v>5638.2224190656971</v>
      </c>
      <c r="V920" s="221">
        <f>U920-T920</f>
        <v>1114.0941052409571</v>
      </c>
      <c r="W920" s="221">
        <f>X920+Y920+Z920+AA920+AB920+AD920+AF920+AH920+AJ920+AL920+AN920+AO920</f>
        <v>5405.3447811873884</v>
      </c>
      <c r="X920" s="221">
        <v>0</v>
      </c>
      <c r="Y920" s="222">
        <v>0</v>
      </c>
      <c r="Z920" s="222">
        <v>0</v>
      </c>
      <c r="AA920" s="222">
        <v>0</v>
      </c>
      <c r="AB920" s="222">
        <v>0</v>
      </c>
      <c r="AC920" s="222">
        <v>0</v>
      </c>
      <c r="AD920" s="222">
        <v>0</v>
      </c>
      <c r="AE920" s="222">
        <v>821.6</v>
      </c>
      <c r="AF920" s="221">
        <f>6238.91*AE920/I920</f>
        <v>5405.3447811873884</v>
      </c>
      <c r="AG920" s="222">
        <v>0</v>
      </c>
      <c r="AH920" s="221">
        <v>0</v>
      </c>
      <c r="AI920" s="222">
        <v>0</v>
      </c>
      <c r="AJ920" s="221">
        <v>0</v>
      </c>
      <c r="AK920" s="222">
        <v>0</v>
      </c>
      <c r="AL920" s="222">
        <v>0</v>
      </c>
      <c r="AM920" s="222">
        <v>0</v>
      </c>
      <c r="AN920" s="222"/>
      <c r="AO920" s="222">
        <v>0</v>
      </c>
    </row>
    <row r="921" spans="1:41" s="223" customFormat="1" ht="36" customHeight="1" x14ac:dyDescent="0.25">
      <c r="B921" s="215" t="s">
        <v>875</v>
      </c>
      <c r="C921" s="215"/>
      <c r="D921" s="217" t="s">
        <v>890</v>
      </c>
      <c r="E921" s="217" t="s">
        <v>890</v>
      </c>
      <c r="F921" s="217" t="s">
        <v>890</v>
      </c>
      <c r="G921" s="217" t="s">
        <v>890</v>
      </c>
      <c r="H921" s="217" t="s">
        <v>890</v>
      </c>
      <c r="I921" s="218">
        <f>I922</f>
        <v>779.2</v>
      </c>
      <c r="J921" s="218">
        <f>J922</f>
        <v>778.9</v>
      </c>
      <c r="K921" s="218">
        <f>K922</f>
        <v>720.2</v>
      </c>
      <c r="L921" s="219">
        <f>L922</f>
        <v>33</v>
      </c>
      <c r="M921" s="217" t="s">
        <v>890</v>
      </c>
      <c r="N921" s="217" t="s">
        <v>890</v>
      </c>
      <c r="O921" s="220" t="s">
        <v>890</v>
      </c>
      <c r="P921" s="190">
        <v>2903320.8000000003</v>
      </c>
      <c r="Q921" s="190">
        <f>Q922</f>
        <v>0</v>
      </c>
      <c r="R921" s="190">
        <f>R922</f>
        <v>0</v>
      </c>
      <c r="S921" s="190">
        <f>S922</f>
        <v>2903320.8000000003</v>
      </c>
      <c r="T921" s="190">
        <f t="shared" si="113"/>
        <v>3726.0277207392201</v>
      </c>
      <c r="U921" s="190">
        <f>U922</f>
        <v>4643.5847022587259</v>
      </c>
      <c r="V921" s="221">
        <f t="shared" si="102"/>
        <v>917.55698151950583</v>
      </c>
      <c r="W921" s="221"/>
      <c r="X921" s="221"/>
      <c r="Y921" s="222"/>
      <c r="Z921" s="222"/>
      <c r="AA921" s="222"/>
      <c r="AB921" s="222"/>
      <c r="AC921" s="222"/>
      <c r="AD921" s="222"/>
      <c r="AE921" s="222"/>
      <c r="AF921" s="222"/>
      <c r="AG921" s="222"/>
      <c r="AH921" s="222"/>
      <c r="AI921" s="222"/>
      <c r="AJ921" s="222"/>
      <c r="AK921" s="222"/>
      <c r="AL921" s="222"/>
      <c r="AM921" s="222"/>
      <c r="AN921" s="222"/>
      <c r="AO921" s="222"/>
    </row>
    <row r="922" spans="1:41" s="223" customFormat="1" ht="36" customHeight="1" x14ac:dyDescent="0.25">
      <c r="A922" s="223">
        <v>1</v>
      </c>
      <c r="B922" s="225">
        <f>SUBTOTAL(103,$A$552:A922)</f>
        <v>334</v>
      </c>
      <c r="C922" s="215" t="s">
        <v>111</v>
      </c>
      <c r="D922" s="217">
        <v>1974</v>
      </c>
      <c r="E922" s="217"/>
      <c r="F922" s="226" t="s">
        <v>267</v>
      </c>
      <c r="G922" s="217">
        <v>2</v>
      </c>
      <c r="H922" s="217" t="s">
        <v>303</v>
      </c>
      <c r="I922" s="218">
        <v>779.2</v>
      </c>
      <c r="J922" s="218">
        <v>778.9</v>
      </c>
      <c r="K922" s="218">
        <v>720.2</v>
      </c>
      <c r="L922" s="219">
        <v>33</v>
      </c>
      <c r="M922" s="217" t="s">
        <v>265</v>
      </c>
      <c r="N922" s="217" t="s">
        <v>266</v>
      </c>
      <c r="O922" s="220" t="s">
        <v>268</v>
      </c>
      <c r="P922" s="190">
        <v>2903320.8000000003</v>
      </c>
      <c r="Q922" s="190">
        <v>0</v>
      </c>
      <c r="R922" s="190">
        <v>0</v>
      </c>
      <c r="S922" s="190">
        <f>P922-Q922-R922</f>
        <v>2903320.8000000003</v>
      </c>
      <c r="T922" s="190">
        <f t="shared" si="113"/>
        <v>3726.0277207392201</v>
      </c>
      <c r="U922" s="190">
        <v>4643.5847022587259</v>
      </c>
      <c r="V922" s="221">
        <f>U922-T922</f>
        <v>917.55698151950583</v>
      </c>
      <c r="W922" s="221">
        <f>X922+Y922+Z922+AA922+AB922+AD922+AF922+AH922+AJ922+AL922+AN922+AO922</f>
        <v>4451.7889630390137</v>
      </c>
      <c r="X922" s="221">
        <v>0</v>
      </c>
      <c r="Y922" s="222">
        <v>0</v>
      </c>
      <c r="Z922" s="222">
        <v>0</v>
      </c>
      <c r="AA922" s="222">
        <v>0</v>
      </c>
      <c r="AB922" s="222">
        <v>0</v>
      </c>
      <c r="AC922" s="222">
        <v>0</v>
      </c>
      <c r="AD922" s="222">
        <v>0</v>
      </c>
      <c r="AE922" s="222">
        <v>556</v>
      </c>
      <c r="AF922" s="221">
        <f>6238.91*AE922/I922</f>
        <v>4451.7889630390137</v>
      </c>
      <c r="AG922" s="222">
        <v>0</v>
      </c>
      <c r="AH922" s="221">
        <v>0</v>
      </c>
      <c r="AI922" s="222">
        <v>0</v>
      </c>
      <c r="AJ922" s="221">
        <v>0</v>
      </c>
      <c r="AK922" s="222">
        <v>0</v>
      </c>
      <c r="AL922" s="222">
        <v>0</v>
      </c>
      <c r="AM922" s="222">
        <v>0</v>
      </c>
      <c r="AN922" s="222"/>
      <c r="AO922" s="222">
        <v>0</v>
      </c>
    </row>
    <row r="923" spans="1:41" s="223" customFormat="1" ht="36" customHeight="1" x14ac:dyDescent="0.25">
      <c r="B923" s="215" t="s">
        <v>841</v>
      </c>
      <c r="C923" s="227"/>
      <c r="D923" s="217" t="s">
        <v>890</v>
      </c>
      <c r="E923" s="217" t="s">
        <v>890</v>
      </c>
      <c r="F923" s="217" t="s">
        <v>890</v>
      </c>
      <c r="G923" s="217" t="s">
        <v>890</v>
      </c>
      <c r="H923" s="217" t="s">
        <v>890</v>
      </c>
      <c r="I923" s="218">
        <f>I924</f>
        <v>1015.6</v>
      </c>
      <c r="J923" s="218">
        <f>J924</f>
        <v>497.5</v>
      </c>
      <c r="K923" s="218">
        <f>K924</f>
        <v>497.5</v>
      </c>
      <c r="L923" s="219">
        <f>L924</f>
        <v>45</v>
      </c>
      <c r="M923" s="217" t="s">
        <v>890</v>
      </c>
      <c r="N923" s="217" t="s">
        <v>890</v>
      </c>
      <c r="O923" s="220" t="s">
        <v>890</v>
      </c>
      <c r="P923" s="190">
        <v>3826397.3</v>
      </c>
      <c r="Q923" s="190">
        <f>Q924</f>
        <v>0</v>
      </c>
      <c r="R923" s="190">
        <f>R924</f>
        <v>2523423.19</v>
      </c>
      <c r="S923" s="190">
        <f>S924</f>
        <v>1302974.1099999999</v>
      </c>
      <c r="T923" s="190">
        <f t="shared" si="113"/>
        <v>3767.6223907050016</v>
      </c>
      <c r="U923" s="190">
        <f>U924</f>
        <v>5769.9635683339893</v>
      </c>
      <c r="V923" s="221">
        <f t="shared" si="102"/>
        <v>2002.3411776289877</v>
      </c>
      <c r="W923" s="221"/>
      <c r="X923" s="221"/>
      <c r="Y923" s="222"/>
      <c r="Z923" s="222"/>
      <c r="AA923" s="222"/>
      <c r="AB923" s="222"/>
      <c r="AC923" s="222"/>
      <c r="AD923" s="222"/>
      <c r="AE923" s="222"/>
      <c r="AF923" s="222"/>
      <c r="AG923" s="222"/>
      <c r="AH923" s="222"/>
      <c r="AI923" s="222"/>
      <c r="AJ923" s="222"/>
      <c r="AK923" s="222"/>
      <c r="AL923" s="222"/>
      <c r="AM923" s="222"/>
      <c r="AN923" s="222"/>
      <c r="AO923" s="222"/>
    </row>
    <row r="924" spans="1:41" s="223" customFormat="1" ht="36" customHeight="1" x14ac:dyDescent="0.25">
      <c r="A924" s="223">
        <v>1</v>
      </c>
      <c r="B924" s="225">
        <f>SUBTOTAL(103,$A$552:A924)</f>
        <v>335</v>
      </c>
      <c r="C924" s="215" t="s">
        <v>57</v>
      </c>
      <c r="D924" s="217">
        <v>1972</v>
      </c>
      <c r="E924" s="217"/>
      <c r="F924" s="226" t="s">
        <v>267</v>
      </c>
      <c r="G924" s="217">
        <v>2</v>
      </c>
      <c r="H924" s="217" t="s">
        <v>312</v>
      </c>
      <c r="I924" s="218">
        <v>1015.6</v>
      </c>
      <c r="J924" s="218">
        <v>497.5</v>
      </c>
      <c r="K924" s="218">
        <v>497.5</v>
      </c>
      <c r="L924" s="219">
        <v>45</v>
      </c>
      <c r="M924" s="217" t="s">
        <v>265</v>
      </c>
      <c r="N924" s="217" t="s">
        <v>266</v>
      </c>
      <c r="O924" s="220" t="s">
        <v>268</v>
      </c>
      <c r="P924" s="190">
        <v>3826397.3</v>
      </c>
      <c r="Q924" s="190">
        <v>0</v>
      </c>
      <c r="R924" s="190">
        <v>2523423.19</v>
      </c>
      <c r="S924" s="190">
        <f>P924-Q924-R924</f>
        <v>1302974.1099999999</v>
      </c>
      <c r="T924" s="190">
        <f t="shared" si="113"/>
        <v>3767.6223907050016</v>
      </c>
      <c r="U924" s="190">
        <v>5769.9635683339893</v>
      </c>
      <c r="V924" s="221">
        <f>U924-T924</f>
        <v>2002.3411776289877</v>
      </c>
      <c r="W924" s="221">
        <f>X924+Y924+Z924+AA924+AB924+AD924+AF924+AH924+AJ924+AL924+AN924+AO924</f>
        <v>4879.4468422607324</v>
      </c>
      <c r="X924" s="221">
        <v>0</v>
      </c>
      <c r="Y924" s="222">
        <v>0</v>
      </c>
      <c r="Z924" s="222">
        <v>0</v>
      </c>
      <c r="AA924" s="222">
        <v>0</v>
      </c>
      <c r="AB924" s="222">
        <v>0</v>
      </c>
      <c r="AC924" s="222">
        <v>0</v>
      </c>
      <c r="AD924" s="222">
        <v>0</v>
      </c>
      <c r="AE924" s="222">
        <v>794.3</v>
      </c>
      <c r="AF924" s="221">
        <f>6238.91*AE924/I924</f>
        <v>4879.4468422607324</v>
      </c>
      <c r="AG924" s="222">
        <v>0</v>
      </c>
      <c r="AH924" s="221">
        <v>0</v>
      </c>
      <c r="AI924" s="222">
        <v>0</v>
      </c>
      <c r="AJ924" s="221">
        <v>0</v>
      </c>
      <c r="AK924" s="222">
        <v>0</v>
      </c>
      <c r="AL924" s="222">
        <v>0</v>
      </c>
      <c r="AM924" s="222">
        <v>0</v>
      </c>
      <c r="AN924" s="222"/>
      <c r="AO924" s="222">
        <v>0</v>
      </c>
    </row>
    <row r="925" spans="1:41" s="223" customFormat="1" ht="36" customHeight="1" x14ac:dyDescent="0.25">
      <c r="B925" s="215" t="s">
        <v>842</v>
      </c>
      <c r="C925" s="215"/>
      <c r="D925" s="217" t="s">
        <v>890</v>
      </c>
      <c r="E925" s="217" t="s">
        <v>890</v>
      </c>
      <c r="F925" s="217" t="s">
        <v>890</v>
      </c>
      <c r="G925" s="217" t="s">
        <v>890</v>
      </c>
      <c r="H925" s="217" t="s">
        <v>890</v>
      </c>
      <c r="I925" s="218">
        <f>SUM(I926:I929)</f>
        <v>23824.84</v>
      </c>
      <c r="J925" s="218">
        <f>SUM(J926:J929)</f>
        <v>19966.379999999997</v>
      </c>
      <c r="K925" s="218">
        <f>SUM(K926:K929)</f>
        <v>14766.89</v>
      </c>
      <c r="L925" s="219">
        <f>SUM(L926:L929)</f>
        <v>837</v>
      </c>
      <c r="M925" s="217" t="s">
        <v>890</v>
      </c>
      <c r="N925" s="217" t="s">
        <v>890</v>
      </c>
      <c r="O925" s="220" t="s">
        <v>890</v>
      </c>
      <c r="P925" s="190">
        <v>27477227.949999999</v>
      </c>
      <c r="Q925" s="190">
        <f>SUM(Q926:Q929)</f>
        <v>0</v>
      </c>
      <c r="R925" s="190">
        <f>SUM(R926:R929)</f>
        <v>0</v>
      </c>
      <c r="S925" s="190">
        <f>SUM(S926:S929)</f>
        <v>27477227.949999999</v>
      </c>
      <c r="T925" s="190">
        <f t="shared" si="113"/>
        <v>1153.3016779965783</v>
      </c>
      <c r="U925" s="190">
        <f>MAX(U926:U929)</f>
        <v>1931.9766262818437</v>
      </c>
      <c r="V925" s="221">
        <f t="shared" si="102"/>
        <v>778.67494828526537</v>
      </c>
      <c r="W925" s="221"/>
      <c r="X925" s="221"/>
      <c r="Y925" s="222"/>
      <c r="Z925" s="222"/>
      <c r="AA925" s="222"/>
      <c r="AB925" s="222"/>
      <c r="AC925" s="222"/>
      <c r="AD925" s="222"/>
      <c r="AE925" s="222"/>
      <c r="AF925" s="222"/>
      <c r="AG925" s="222"/>
      <c r="AH925" s="222"/>
      <c r="AI925" s="222"/>
      <c r="AJ925" s="222"/>
      <c r="AK925" s="222"/>
      <c r="AL925" s="222"/>
      <c r="AM925" s="222"/>
      <c r="AN925" s="222"/>
      <c r="AO925" s="222"/>
    </row>
    <row r="926" spans="1:41" s="223" customFormat="1" ht="36" customHeight="1" x14ac:dyDescent="0.25">
      <c r="A926" s="223">
        <v>1</v>
      </c>
      <c r="B926" s="225">
        <f>SUBTOTAL(103,$A$552:A926)</f>
        <v>336</v>
      </c>
      <c r="C926" s="215" t="s">
        <v>41</v>
      </c>
      <c r="D926" s="217">
        <v>1974</v>
      </c>
      <c r="E926" s="217"/>
      <c r="F926" s="226" t="s">
        <v>267</v>
      </c>
      <c r="G926" s="217">
        <v>5</v>
      </c>
      <c r="H926" s="217" t="s">
        <v>371</v>
      </c>
      <c r="I926" s="218">
        <v>5979.1</v>
      </c>
      <c r="J926" s="218">
        <v>4563.9399999999996</v>
      </c>
      <c r="K926" s="218">
        <v>4563.9399999999996</v>
      </c>
      <c r="L926" s="219">
        <v>217</v>
      </c>
      <c r="M926" s="217" t="s">
        <v>265</v>
      </c>
      <c r="N926" s="217" t="s">
        <v>269</v>
      </c>
      <c r="O926" s="220" t="s">
        <v>270</v>
      </c>
      <c r="P926" s="190">
        <v>8474219.5300000012</v>
      </c>
      <c r="Q926" s="190">
        <v>0</v>
      </c>
      <c r="R926" s="190">
        <v>0</v>
      </c>
      <c r="S926" s="190">
        <f>P926-Q926-R926</f>
        <v>8474219.5300000012</v>
      </c>
      <c r="T926" s="190">
        <f t="shared" si="113"/>
        <v>1417.3068739442392</v>
      </c>
      <c r="U926" s="190">
        <v>1715.3309360940607</v>
      </c>
      <c r="V926" s="221">
        <f t="shared" si="102"/>
        <v>298.02406214982148</v>
      </c>
      <c r="W926" s="221">
        <f>X926+Y926+Z926+AA926+AB926+AD926+AF926+AH926+AJ926+AL926+AN926+AO926</f>
        <v>1644.4819722031743</v>
      </c>
      <c r="X926" s="221">
        <v>0</v>
      </c>
      <c r="Y926" s="222">
        <v>0</v>
      </c>
      <c r="Z926" s="222">
        <v>0</v>
      </c>
      <c r="AA926" s="222">
        <v>0</v>
      </c>
      <c r="AB926" s="222">
        <v>0</v>
      </c>
      <c r="AC926" s="222">
        <v>0</v>
      </c>
      <c r="AD926" s="222">
        <v>0</v>
      </c>
      <c r="AE926" s="222">
        <v>1576</v>
      </c>
      <c r="AF926" s="221">
        <f>6238.91*AE926/I926</f>
        <v>1644.4819722031743</v>
      </c>
      <c r="AG926" s="222">
        <v>0</v>
      </c>
      <c r="AH926" s="221">
        <v>0</v>
      </c>
      <c r="AI926" s="222">
        <v>0</v>
      </c>
      <c r="AJ926" s="221">
        <v>0</v>
      </c>
      <c r="AK926" s="222">
        <v>0</v>
      </c>
      <c r="AL926" s="222">
        <v>0</v>
      </c>
      <c r="AM926" s="222">
        <v>0</v>
      </c>
      <c r="AN926" s="222"/>
      <c r="AO926" s="222">
        <v>0</v>
      </c>
    </row>
    <row r="927" spans="1:41" s="223" customFormat="1" ht="36" customHeight="1" x14ac:dyDescent="0.25">
      <c r="A927" s="223">
        <v>1</v>
      </c>
      <c r="B927" s="225">
        <f>SUBTOTAL(103,$A$552:A927)</f>
        <v>337</v>
      </c>
      <c r="C927" s="215" t="s">
        <v>1547</v>
      </c>
      <c r="D927" s="217">
        <v>1971</v>
      </c>
      <c r="E927" s="217"/>
      <c r="F927" s="226" t="s">
        <v>267</v>
      </c>
      <c r="G927" s="217">
        <v>5</v>
      </c>
      <c r="H927" s="217" t="s">
        <v>371</v>
      </c>
      <c r="I927" s="190">
        <v>5891.84</v>
      </c>
      <c r="J927" s="190">
        <v>5891.84</v>
      </c>
      <c r="K927" s="190">
        <v>4081.34</v>
      </c>
      <c r="L927" s="219">
        <v>212</v>
      </c>
      <c r="M927" s="217" t="s">
        <v>265</v>
      </c>
      <c r="N927" s="217" t="s">
        <v>269</v>
      </c>
      <c r="O927" s="220" t="s">
        <v>1300</v>
      </c>
      <c r="P927" s="190">
        <v>5709104.1399999997</v>
      </c>
      <c r="Q927" s="190">
        <v>0</v>
      </c>
      <c r="R927" s="190">
        <v>0</v>
      </c>
      <c r="S927" s="190">
        <f>P927-R927-Q927</f>
        <v>5709104.1399999997</v>
      </c>
      <c r="T927" s="190">
        <f t="shared" si="113"/>
        <v>968.98492491310003</v>
      </c>
      <c r="U927" s="190">
        <v>1470.1262593688898</v>
      </c>
      <c r="V927" s="221">
        <f>U927-T927</f>
        <v>501.14133445578977</v>
      </c>
      <c r="W927" s="221">
        <f>X927+Y927+Z927+AA927+AB927+AD927+AF927+AH927+AJ927+AL927+AN927+AO927</f>
        <v>1409.4050771915056</v>
      </c>
      <c r="X927" s="221">
        <v>0</v>
      </c>
      <c r="Y927" s="222">
        <v>0</v>
      </c>
      <c r="Z927" s="222">
        <v>0</v>
      </c>
      <c r="AA927" s="222">
        <v>0</v>
      </c>
      <c r="AB927" s="222">
        <v>0</v>
      </c>
      <c r="AC927" s="222">
        <v>0</v>
      </c>
      <c r="AD927" s="222">
        <v>0</v>
      </c>
      <c r="AE927" s="222">
        <v>1331</v>
      </c>
      <c r="AF927" s="221">
        <f>6238.91*AE927/I927</f>
        <v>1409.4050771915056</v>
      </c>
      <c r="AG927" s="222">
        <v>0</v>
      </c>
      <c r="AH927" s="221">
        <v>0</v>
      </c>
      <c r="AI927" s="222">
        <v>0</v>
      </c>
      <c r="AJ927" s="221">
        <v>0</v>
      </c>
      <c r="AK927" s="222">
        <v>0</v>
      </c>
      <c r="AL927" s="222">
        <v>0</v>
      </c>
      <c r="AM927" s="222">
        <v>0</v>
      </c>
      <c r="AN927" s="222"/>
      <c r="AO927" s="222">
        <v>0</v>
      </c>
    </row>
    <row r="928" spans="1:41" s="223" customFormat="1" ht="36" customHeight="1" x14ac:dyDescent="0.25">
      <c r="A928" s="223">
        <v>1</v>
      </c>
      <c r="B928" s="225">
        <f>SUBTOTAL(103,$A$552:A928)</f>
        <v>338</v>
      </c>
      <c r="C928" s="215" t="s">
        <v>63</v>
      </c>
      <c r="D928" s="217">
        <v>1976</v>
      </c>
      <c r="E928" s="217"/>
      <c r="F928" s="226" t="s">
        <v>267</v>
      </c>
      <c r="G928" s="217">
        <v>5</v>
      </c>
      <c r="H928" s="217" t="s">
        <v>371</v>
      </c>
      <c r="I928" s="190">
        <v>4783.1499999999996</v>
      </c>
      <c r="J928" s="190">
        <v>4417.7</v>
      </c>
      <c r="K928" s="190">
        <v>3106.56</v>
      </c>
      <c r="L928" s="219">
        <v>190</v>
      </c>
      <c r="M928" s="217" t="s">
        <v>265</v>
      </c>
      <c r="N928" s="217" t="s">
        <v>269</v>
      </c>
      <c r="O928" s="220" t="s">
        <v>270</v>
      </c>
      <c r="P928" s="190">
        <v>6173366.919999999</v>
      </c>
      <c r="Q928" s="190">
        <v>0</v>
      </c>
      <c r="R928" s="190">
        <v>0</v>
      </c>
      <c r="S928" s="190">
        <f>P928-R928-Q928</f>
        <v>6173366.919999999</v>
      </c>
      <c r="T928" s="190">
        <f t="shared" si="113"/>
        <v>1290.6488234740702</v>
      </c>
      <c r="U928" s="190">
        <v>1931.9766262818437</v>
      </c>
      <c r="V928" s="221">
        <f>U928-T928</f>
        <v>641.32780280777342</v>
      </c>
      <c r="W928" s="221">
        <f>X928+Y928+Z928+AA928+AB928+AD928+AF928+AH928+AJ928+AL928+AN928+AO928</f>
        <v>1736.0921589329209</v>
      </c>
      <c r="X928" s="221">
        <v>0</v>
      </c>
      <c r="Y928" s="222">
        <v>0</v>
      </c>
      <c r="Z928" s="222">
        <v>0</v>
      </c>
      <c r="AA928" s="222">
        <v>0</v>
      </c>
      <c r="AB928" s="222">
        <v>0</v>
      </c>
      <c r="AC928" s="222">
        <v>0</v>
      </c>
      <c r="AD928" s="222">
        <v>0</v>
      </c>
      <c r="AE928" s="222">
        <v>1331</v>
      </c>
      <c r="AF928" s="221">
        <f>6238.91*AE928/I928</f>
        <v>1736.0921589329209</v>
      </c>
      <c r="AG928" s="222">
        <v>0</v>
      </c>
      <c r="AH928" s="221">
        <v>0</v>
      </c>
      <c r="AI928" s="222">
        <v>0</v>
      </c>
      <c r="AJ928" s="221">
        <v>0</v>
      </c>
      <c r="AK928" s="222">
        <v>0</v>
      </c>
      <c r="AL928" s="222">
        <v>0</v>
      </c>
      <c r="AM928" s="222">
        <v>0</v>
      </c>
      <c r="AN928" s="222"/>
      <c r="AO928" s="222">
        <v>0</v>
      </c>
    </row>
    <row r="929" spans="1:41" s="223" customFormat="1" ht="36" customHeight="1" x14ac:dyDescent="0.25">
      <c r="A929" s="223">
        <v>1</v>
      </c>
      <c r="B929" s="225">
        <f>SUBTOTAL(103,$A$552:A929)</f>
        <v>339</v>
      </c>
      <c r="C929" s="215" t="s">
        <v>52</v>
      </c>
      <c r="D929" s="217">
        <v>1981</v>
      </c>
      <c r="E929" s="217"/>
      <c r="F929" s="226" t="s">
        <v>267</v>
      </c>
      <c r="G929" s="217">
        <v>5</v>
      </c>
      <c r="H929" s="217" t="s">
        <v>2266</v>
      </c>
      <c r="I929" s="190">
        <v>7170.75</v>
      </c>
      <c r="J929" s="190">
        <v>5092.8999999999996</v>
      </c>
      <c r="K929" s="190">
        <v>3015.05</v>
      </c>
      <c r="L929" s="219">
        <v>218</v>
      </c>
      <c r="M929" s="217" t="s">
        <v>265</v>
      </c>
      <c r="N929" s="217" t="s">
        <v>269</v>
      </c>
      <c r="O929" s="220" t="s">
        <v>270</v>
      </c>
      <c r="P929" s="190">
        <v>7120537.3600000003</v>
      </c>
      <c r="Q929" s="190">
        <v>0</v>
      </c>
      <c r="R929" s="190">
        <v>0</v>
      </c>
      <c r="S929" s="190">
        <f>P929-R929-Q929</f>
        <v>7120537.3600000003</v>
      </c>
      <c r="T929" s="190">
        <f t="shared" si="113"/>
        <v>992.99757487013221</v>
      </c>
      <c r="U929" s="190">
        <v>1235.1538820904368</v>
      </c>
      <c r="V929" s="221">
        <f>U929-T929</f>
        <v>242.1563072203046</v>
      </c>
      <c r="W929" s="221">
        <f>X929+Y929+Z929+AA929+AB929+AD929+AF929+AH929+AJ929+AL929+AN929+AO929</f>
        <v>1158.0363574242583</v>
      </c>
      <c r="X929" s="221">
        <v>0</v>
      </c>
      <c r="Y929" s="222">
        <v>0</v>
      </c>
      <c r="Z929" s="222">
        <v>0</v>
      </c>
      <c r="AA929" s="222">
        <v>0</v>
      </c>
      <c r="AB929" s="222">
        <v>0</v>
      </c>
      <c r="AC929" s="222">
        <v>0</v>
      </c>
      <c r="AD929" s="222">
        <v>0</v>
      </c>
      <c r="AE929" s="222">
        <v>1331</v>
      </c>
      <c r="AF929" s="221">
        <f>6238.91*AE929/I929</f>
        <v>1158.0363574242583</v>
      </c>
      <c r="AG929" s="222">
        <v>0</v>
      </c>
      <c r="AH929" s="221">
        <v>0</v>
      </c>
      <c r="AI929" s="222">
        <v>0</v>
      </c>
      <c r="AJ929" s="221">
        <v>0</v>
      </c>
      <c r="AK929" s="222">
        <v>0</v>
      </c>
      <c r="AL929" s="222">
        <v>0</v>
      </c>
      <c r="AM929" s="222">
        <v>0</v>
      </c>
      <c r="AN929" s="222"/>
      <c r="AO929" s="222">
        <v>0</v>
      </c>
    </row>
    <row r="930" spans="1:41" s="223" customFormat="1" ht="36" customHeight="1" x14ac:dyDescent="0.25">
      <c r="B930" s="215" t="s">
        <v>876</v>
      </c>
      <c r="C930" s="215"/>
      <c r="D930" s="217" t="s">
        <v>890</v>
      </c>
      <c r="E930" s="217" t="s">
        <v>890</v>
      </c>
      <c r="F930" s="217" t="s">
        <v>890</v>
      </c>
      <c r="G930" s="217" t="s">
        <v>890</v>
      </c>
      <c r="H930" s="217" t="s">
        <v>890</v>
      </c>
      <c r="I930" s="218">
        <f>SUM(I931:I932)</f>
        <v>1431.7</v>
      </c>
      <c r="J930" s="218">
        <f>SUM(J931:J932)</f>
        <v>1325.1999999999998</v>
      </c>
      <c r="K930" s="218">
        <f>SUM(K931:K932)</f>
        <v>962.8</v>
      </c>
      <c r="L930" s="219">
        <f>SUM(L931:L932)</f>
        <v>54</v>
      </c>
      <c r="M930" s="217" t="s">
        <v>890</v>
      </c>
      <c r="N930" s="217" t="s">
        <v>890</v>
      </c>
      <c r="O930" s="220" t="s">
        <v>890</v>
      </c>
      <c r="P930" s="190">
        <v>5796065.7599999998</v>
      </c>
      <c r="Q930" s="190">
        <f>SUM(Q931:Q932)</f>
        <v>0</v>
      </c>
      <c r="R930" s="190">
        <f>SUM(R931:R932)</f>
        <v>492144.32</v>
      </c>
      <c r="S930" s="190">
        <f>SUM(S931:S932)</f>
        <v>5303921.4399999995</v>
      </c>
      <c r="T930" s="190">
        <f t="shared" si="113"/>
        <v>4048.3800796256196</v>
      </c>
      <c r="U930" s="190">
        <f>MAX(U931:U932)</f>
        <v>5464.5461197703034</v>
      </c>
      <c r="V930" s="221">
        <f t="shared" ref="V930:V1014" si="115">U930-T930</f>
        <v>1416.1660401446838</v>
      </c>
      <c r="W930" s="221"/>
      <c r="X930" s="221"/>
      <c r="Y930" s="222"/>
      <c r="Z930" s="222"/>
      <c r="AA930" s="222"/>
      <c r="AB930" s="222"/>
      <c r="AC930" s="222"/>
      <c r="AD930" s="222"/>
      <c r="AE930" s="222"/>
      <c r="AF930" s="222"/>
      <c r="AG930" s="222"/>
      <c r="AH930" s="222"/>
      <c r="AI930" s="222"/>
      <c r="AJ930" s="222"/>
      <c r="AK930" s="222"/>
      <c r="AL930" s="222"/>
      <c r="AM930" s="222"/>
      <c r="AN930" s="222"/>
      <c r="AO930" s="222"/>
    </row>
    <row r="931" spans="1:41" s="223" customFormat="1" ht="36" customHeight="1" x14ac:dyDescent="0.25">
      <c r="A931" s="223">
        <v>1</v>
      </c>
      <c r="B931" s="225">
        <f>SUBTOTAL(103,$A$552:A931)</f>
        <v>340</v>
      </c>
      <c r="C931" s="215" t="s">
        <v>55</v>
      </c>
      <c r="D931" s="217">
        <v>1968</v>
      </c>
      <c r="E931" s="217"/>
      <c r="F931" s="226" t="s">
        <v>267</v>
      </c>
      <c r="G931" s="217">
        <v>2</v>
      </c>
      <c r="H931" s="217" t="s">
        <v>303</v>
      </c>
      <c r="I931" s="218">
        <v>822.2</v>
      </c>
      <c r="J931" s="218">
        <v>760.8</v>
      </c>
      <c r="K931" s="218">
        <v>760.8</v>
      </c>
      <c r="L931" s="219">
        <v>36</v>
      </c>
      <c r="M931" s="217" t="s">
        <v>265</v>
      </c>
      <c r="N931" s="217" t="s">
        <v>269</v>
      </c>
      <c r="O931" s="220" t="s">
        <v>274</v>
      </c>
      <c r="P931" s="190">
        <v>3274450.4</v>
      </c>
      <c r="Q931" s="190">
        <v>0</v>
      </c>
      <c r="R931" s="190">
        <v>0</v>
      </c>
      <c r="S931" s="190">
        <f>P931-Q931-R931</f>
        <v>3274450.4</v>
      </c>
      <c r="T931" s="190">
        <f t="shared" si="113"/>
        <v>3982.5473120895158</v>
      </c>
      <c r="U931" s="190">
        <v>4826.5573583069799</v>
      </c>
      <c r="V931" s="221">
        <f>U931-T931</f>
        <v>844.01004621746415</v>
      </c>
      <c r="W931" s="221">
        <f>X931+Y931+Z931+AA931+AB931+AD931+AF931+AH931+AJ931+AL931+AN931+AO931</f>
        <v>4627.2042301143265</v>
      </c>
      <c r="X931" s="221">
        <v>0</v>
      </c>
      <c r="Y931" s="222">
        <v>0</v>
      </c>
      <c r="Z931" s="222">
        <v>0</v>
      </c>
      <c r="AA931" s="222">
        <v>0</v>
      </c>
      <c r="AB931" s="222">
        <v>0</v>
      </c>
      <c r="AC931" s="222">
        <v>0</v>
      </c>
      <c r="AD931" s="222">
        <v>0</v>
      </c>
      <c r="AE931" s="222">
        <v>609.79999999999995</v>
      </c>
      <c r="AF931" s="221">
        <f>6238.91*AE931/I931</f>
        <v>4627.2042301143265</v>
      </c>
      <c r="AG931" s="222">
        <v>0</v>
      </c>
      <c r="AH931" s="221">
        <v>0</v>
      </c>
      <c r="AI931" s="222">
        <v>0</v>
      </c>
      <c r="AJ931" s="221">
        <v>0</v>
      </c>
      <c r="AK931" s="222">
        <v>0</v>
      </c>
      <c r="AL931" s="222">
        <v>0</v>
      </c>
      <c r="AM931" s="222">
        <v>0</v>
      </c>
      <c r="AN931" s="222"/>
      <c r="AO931" s="222">
        <v>0</v>
      </c>
    </row>
    <row r="932" spans="1:41" s="223" customFormat="1" ht="36" customHeight="1" x14ac:dyDescent="0.25">
      <c r="A932" s="223">
        <v>1</v>
      </c>
      <c r="B932" s="225">
        <f>SUBTOTAL(103,$A$552:A932)</f>
        <v>341</v>
      </c>
      <c r="C932" s="215" t="s">
        <v>1250</v>
      </c>
      <c r="D932" s="217">
        <v>1917</v>
      </c>
      <c r="E932" s="217"/>
      <c r="F932" s="226" t="s">
        <v>267</v>
      </c>
      <c r="G932" s="217">
        <v>2</v>
      </c>
      <c r="H932" s="217" t="s">
        <v>304</v>
      </c>
      <c r="I932" s="190">
        <v>609.5</v>
      </c>
      <c r="J932" s="190">
        <v>564.4</v>
      </c>
      <c r="K932" s="190">
        <v>202</v>
      </c>
      <c r="L932" s="219">
        <v>18</v>
      </c>
      <c r="M932" s="217" t="s">
        <v>265</v>
      </c>
      <c r="N932" s="217" t="s">
        <v>266</v>
      </c>
      <c r="O932" s="220" t="s">
        <v>268</v>
      </c>
      <c r="P932" s="190">
        <v>2521615.3599999999</v>
      </c>
      <c r="Q932" s="190">
        <v>0</v>
      </c>
      <c r="R932" s="190">
        <v>492144.32</v>
      </c>
      <c r="S932" s="190">
        <f>P932-Q932-R932</f>
        <v>2029471.0399999998</v>
      </c>
      <c r="T932" s="190">
        <f t="shared" si="113"/>
        <v>4137.1868088597212</v>
      </c>
      <c r="U932" s="190">
        <v>5464.5461197703034</v>
      </c>
      <c r="V932" s="221">
        <f>U932-T932</f>
        <v>1327.3593109105823</v>
      </c>
      <c r="W932" s="221">
        <f>X932+Y932+Z932+AA932+AB932+AD932+AF932+AH932+AJ932+AL932+AN932+AO932</f>
        <v>5238.8418999179648</v>
      </c>
      <c r="X932" s="221">
        <v>0</v>
      </c>
      <c r="Y932" s="222">
        <v>0</v>
      </c>
      <c r="Z932" s="222">
        <v>0</v>
      </c>
      <c r="AA932" s="222">
        <v>0</v>
      </c>
      <c r="AB932" s="222">
        <v>0</v>
      </c>
      <c r="AC932" s="222">
        <v>0</v>
      </c>
      <c r="AD932" s="222">
        <v>0</v>
      </c>
      <c r="AE932" s="222">
        <v>511.8</v>
      </c>
      <c r="AF932" s="221">
        <f>6238.91*AE932/I932</f>
        <v>5238.8418999179648</v>
      </c>
      <c r="AG932" s="222">
        <v>0</v>
      </c>
      <c r="AH932" s="221">
        <v>0</v>
      </c>
      <c r="AI932" s="222">
        <v>0</v>
      </c>
      <c r="AJ932" s="221">
        <v>0</v>
      </c>
      <c r="AK932" s="222">
        <v>0</v>
      </c>
      <c r="AL932" s="222">
        <v>0</v>
      </c>
      <c r="AM932" s="222">
        <v>0</v>
      </c>
      <c r="AN932" s="222"/>
      <c r="AO932" s="222">
        <v>0</v>
      </c>
    </row>
    <row r="933" spans="1:41" s="223" customFormat="1" ht="36" customHeight="1" x14ac:dyDescent="0.25">
      <c r="B933" s="215" t="s">
        <v>843</v>
      </c>
      <c r="C933" s="215"/>
      <c r="D933" s="217" t="s">
        <v>890</v>
      </c>
      <c r="E933" s="217" t="s">
        <v>890</v>
      </c>
      <c r="F933" s="217" t="s">
        <v>890</v>
      </c>
      <c r="G933" s="217" t="s">
        <v>890</v>
      </c>
      <c r="H933" s="217" t="s">
        <v>890</v>
      </c>
      <c r="I933" s="218">
        <f>SUM(I934:I938)</f>
        <v>13217.54</v>
      </c>
      <c r="J933" s="218">
        <f>SUM(J934:J938)</f>
        <v>11365.689999999999</v>
      </c>
      <c r="K933" s="218">
        <f>SUM(K934:K938)</f>
        <v>10013.82</v>
      </c>
      <c r="L933" s="219">
        <f>SUM(L934:L938)</f>
        <v>505</v>
      </c>
      <c r="M933" s="217" t="s">
        <v>890</v>
      </c>
      <c r="N933" s="217" t="s">
        <v>890</v>
      </c>
      <c r="O933" s="220" t="s">
        <v>890</v>
      </c>
      <c r="P933" s="190">
        <v>25990852.659999996</v>
      </c>
      <c r="Q933" s="190">
        <f>SUM(Q934:Q938)</f>
        <v>0</v>
      </c>
      <c r="R933" s="190">
        <f>SUM(R934:R938)</f>
        <v>0</v>
      </c>
      <c r="S933" s="190">
        <f>SUM(S934:S938)</f>
        <v>25990852.659999996</v>
      </c>
      <c r="T933" s="190">
        <f t="shared" si="113"/>
        <v>1966.3910727714836</v>
      </c>
      <c r="U933" s="190">
        <f>MAX(U934:U938)</f>
        <v>6510.4251675041878</v>
      </c>
      <c r="V933" s="221">
        <f t="shared" si="115"/>
        <v>4544.034094732704</v>
      </c>
      <c r="W933" s="221"/>
      <c r="X933" s="221"/>
      <c r="Y933" s="222"/>
      <c r="Z933" s="222"/>
      <c r="AA933" s="222"/>
      <c r="AB933" s="222"/>
      <c r="AC933" s="222"/>
      <c r="AD933" s="222"/>
      <c r="AE933" s="222"/>
      <c r="AF933" s="222"/>
      <c r="AG933" s="222"/>
      <c r="AH933" s="222"/>
      <c r="AI933" s="222"/>
      <c r="AJ933" s="222"/>
      <c r="AK933" s="222"/>
      <c r="AL933" s="222"/>
      <c r="AM933" s="222"/>
      <c r="AN933" s="222"/>
      <c r="AO933" s="222"/>
    </row>
    <row r="934" spans="1:41" s="223" customFormat="1" ht="36" customHeight="1" x14ac:dyDescent="0.25">
      <c r="A934" s="223">
        <v>1</v>
      </c>
      <c r="B934" s="225">
        <f>SUBTOTAL(103,$A$552:A934)</f>
        <v>342</v>
      </c>
      <c r="C934" s="215" t="s">
        <v>56</v>
      </c>
      <c r="D934" s="217">
        <v>1972</v>
      </c>
      <c r="E934" s="217"/>
      <c r="F934" s="226" t="s">
        <v>267</v>
      </c>
      <c r="G934" s="217">
        <v>5</v>
      </c>
      <c r="H934" s="217" t="s">
        <v>2266</v>
      </c>
      <c r="I934" s="218">
        <v>4571.29</v>
      </c>
      <c r="J934" s="218">
        <v>4234.29</v>
      </c>
      <c r="K934" s="218">
        <v>2975.61</v>
      </c>
      <c r="L934" s="219">
        <v>227</v>
      </c>
      <c r="M934" s="217" t="s">
        <v>265</v>
      </c>
      <c r="N934" s="217" t="s">
        <v>269</v>
      </c>
      <c r="O934" s="220" t="s">
        <v>271</v>
      </c>
      <c r="P934" s="190">
        <v>4719977.0600000005</v>
      </c>
      <c r="Q934" s="190">
        <v>0</v>
      </c>
      <c r="R934" s="190">
        <v>0</v>
      </c>
      <c r="S934" s="190">
        <f>P934-Q934-R934</f>
        <v>4719977.0600000005</v>
      </c>
      <c r="T934" s="190">
        <f t="shared" si="113"/>
        <v>1032.5262803278727</v>
      </c>
      <c r="U934" s="190">
        <v>3811.95</v>
      </c>
      <c r="V934" s="221">
        <f t="shared" si="115"/>
        <v>2779.4237196721269</v>
      </c>
      <c r="W934" s="221">
        <f>X934+Y934+Z934+AA934+AB934+AD934+AF934+AH934+AJ934+AL934+AN934+AO934</f>
        <v>3444.64</v>
      </c>
      <c r="X934" s="221">
        <v>0</v>
      </c>
      <c r="Y934" s="222">
        <v>0</v>
      </c>
      <c r="Z934" s="222">
        <v>3259.66</v>
      </c>
      <c r="AA934" s="222">
        <v>184.98</v>
      </c>
      <c r="AB934" s="222">
        <v>0</v>
      </c>
      <c r="AC934" s="222">
        <v>0</v>
      </c>
      <c r="AD934" s="222">
        <v>0</v>
      </c>
      <c r="AE934" s="222">
        <v>0</v>
      </c>
      <c r="AF934" s="221">
        <v>0</v>
      </c>
      <c r="AG934" s="222">
        <v>0</v>
      </c>
      <c r="AH934" s="221">
        <v>0</v>
      </c>
      <c r="AI934" s="222">
        <v>0</v>
      </c>
      <c r="AJ934" s="221">
        <v>0</v>
      </c>
      <c r="AK934" s="222">
        <v>0</v>
      </c>
      <c r="AL934" s="222">
        <v>0</v>
      </c>
      <c r="AM934" s="222">
        <v>0</v>
      </c>
      <c r="AN934" s="222"/>
      <c r="AO934" s="222">
        <v>0</v>
      </c>
    </row>
    <row r="935" spans="1:41" s="223" customFormat="1" ht="36" customHeight="1" x14ac:dyDescent="0.25">
      <c r="A935" s="223">
        <v>1</v>
      </c>
      <c r="B935" s="225">
        <f>SUBTOTAL(103,$A$552:A935)</f>
        <v>343</v>
      </c>
      <c r="C935" s="215" t="s">
        <v>46</v>
      </c>
      <c r="D935" s="217">
        <v>1972</v>
      </c>
      <c r="E935" s="217"/>
      <c r="F935" s="226" t="s">
        <v>267</v>
      </c>
      <c r="G935" s="217">
        <v>2</v>
      </c>
      <c r="H935" s="217" t="s">
        <v>303</v>
      </c>
      <c r="I935" s="218">
        <v>716.4</v>
      </c>
      <c r="J935" s="218">
        <v>656.7</v>
      </c>
      <c r="K935" s="218">
        <v>656.7</v>
      </c>
      <c r="L935" s="219">
        <v>28</v>
      </c>
      <c r="M935" s="217" t="s">
        <v>265</v>
      </c>
      <c r="N935" s="217" t="s">
        <v>269</v>
      </c>
      <c r="O935" s="220" t="s">
        <v>271</v>
      </c>
      <c r="P935" s="190">
        <v>5201936.34</v>
      </c>
      <c r="Q935" s="190">
        <v>0</v>
      </c>
      <c r="R935" s="190">
        <v>0</v>
      </c>
      <c r="S935" s="190">
        <f>P935-Q935-R935</f>
        <v>5201936.34</v>
      </c>
      <c r="T935" s="190">
        <f t="shared" si="113"/>
        <v>7261.217671691792</v>
      </c>
      <c r="U935" s="190">
        <v>6510.4251675041878</v>
      </c>
      <c r="V935" s="221">
        <f>U935-T935</f>
        <v>-750.79250418760421</v>
      </c>
      <c r="W935" s="221">
        <f>X935+Y935+Z935+AA935+AB935+AD935+AF935+AH935+AJ935+AL935+AN935+AO935</f>
        <v>6241.5226088777226</v>
      </c>
      <c r="X935" s="221">
        <v>0</v>
      </c>
      <c r="Y935" s="222">
        <v>0</v>
      </c>
      <c r="Z935" s="222">
        <v>0</v>
      </c>
      <c r="AA935" s="222">
        <v>0</v>
      </c>
      <c r="AB935" s="222">
        <v>0</v>
      </c>
      <c r="AC935" s="222">
        <v>0</v>
      </c>
      <c r="AD935" s="222">
        <v>0</v>
      </c>
      <c r="AE935" s="222">
        <v>716.7</v>
      </c>
      <c r="AF935" s="221">
        <f>6238.91*AE935/I935</f>
        <v>6241.5226088777226</v>
      </c>
      <c r="AG935" s="222">
        <v>0</v>
      </c>
      <c r="AH935" s="221">
        <v>0</v>
      </c>
      <c r="AI935" s="222">
        <v>0</v>
      </c>
      <c r="AJ935" s="221">
        <v>0</v>
      </c>
      <c r="AK935" s="222">
        <v>0</v>
      </c>
      <c r="AL935" s="222">
        <v>0</v>
      </c>
      <c r="AM935" s="222">
        <v>0</v>
      </c>
      <c r="AN935" s="222"/>
      <c r="AO935" s="222">
        <v>0</v>
      </c>
    </row>
    <row r="936" spans="1:41" s="223" customFormat="1" ht="36" customHeight="1" x14ac:dyDescent="0.25">
      <c r="A936" s="223">
        <v>1</v>
      </c>
      <c r="B936" s="225">
        <f>SUBTOTAL(103,$A$552:A936)</f>
        <v>344</v>
      </c>
      <c r="C936" s="215" t="s">
        <v>1595</v>
      </c>
      <c r="D936" s="217">
        <v>1963</v>
      </c>
      <c r="E936" s="217"/>
      <c r="F936" s="226" t="s">
        <v>267</v>
      </c>
      <c r="G936" s="217">
        <v>2</v>
      </c>
      <c r="H936" s="217" t="s">
        <v>303</v>
      </c>
      <c r="I936" s="190">
        <v>636.79999999999995</v>
      </c>
      <c r="J936" s="190">
        <v>636.79999999999995</v>
      </c>
      <c r="K936" s="190">
        <v>591.59999999999991</v>
      </c>
      <c r="L936" s="219">
        <v>27</v>
      </c>
      <c r="M936" s="217" t="s">
        <v>265</v>
      </c>
      <c r="N936" s="217" t="s">
        <v>266</v>
      </c>
      <c r="O936" s="220" t="s">
        <v>268</v>
      </c>
      <c r="P936" s="190">
        <v>3531563.4499999993</v>
      </c>
      <c r="Q936" s="190">
        <v>0</v>
      </c>
      <c r="R936" s="190">
        <v>0</v>
      </c>
      <c r="S936" s="190">
        <f>P936-Q936-R936</f>
        <v>3531563.4499999993</v>
      </c>
      <c r="T936" s="190">
        <f t="shared" si="113"/>
        <v>5545.7968749999991</v>
      </c>
      <c r="U936" s="190">
        <v>6253.2374842964828</v>
      </c>
      <c r="V936" s="221">
        <f>U936-T936</f>
        <v>707.44060929648367</v>
      </c>
      <c r="W936" s="221">
        <f>X936+Y936+Z936+AA936+AB936+AD936+AF936+AH936+AJ936+AL936+AN936+AO936</f>
        <v>5994.9576460427133</v>
      </c>
      <c r="X936" s="221">
        <v>0</v>
      </c>
      <c r="Y936" s="222">
        <v>0</v>
      </c>
      <c r="Z936" s="222">
        <v>0</v>
      </c>
      <c r="AA936" s="222">
        <v>0</v>
      </c>
      <c r="AB936" s="222">
        <v>0</v>
      </c>
      <c r="AC936" s="222">
        <v>0</v>
      </c>
      <c r="AD936" s="222">
        <v>0</v>
      </c>
      <c r="AE936" s="222">
        <v>611.9</v>
      </c>
      <c r="AF936" s="221">
        <f>6238.91*AE936/I936</f>
        <v>5994.9576460427133</v>
      </c>
      <c r="AG936" s="222">
        <v>0</v>
      </c>
      <c r="AH936" s="221">
        <v>0</v>
      </c>
      <c r="AI936" s="222">
        <v>0</v>
      </c>
      <c r="AJ936" s="221">
        <v>0</v>
      </c>
      <c r="AK936" s="222">
        <v>0</v>
      </c>
      <c r="AL936" s="222">
        <v>0</v>
      </c>
      <c r="AM936" s="222">
        <v>0</v>
      </c>
      <c r="AN936" s="222"/>
      <c r="AO936" s="222">
        <v>0</v>
      </c>
    </row>
    <row r="937" spans="1:41" s="223" customFormat="1" ht="36" customHeight="1" x14ac:dyDescent="0.25">
      <c r="A937" s="223">
        <v>1</v>
      </c>
      <c r="B937" s="225">
        <f>SUBTOTAL(103,$A$552:A937)</f>
        <v>345</v>
      </c>
      <c r="C937" s="215" t="s">
        <v>47</v>
      </c>
      <c r="D937" s="217">
        <v>1964</v>
      </c>
      <c r="E937" s="217"/>
      <c r="F937" s="226" t="s">
        <v>267</v>
      </c>
      <c r="G937" s="217">
        <v>3</v>
      </c>
      <c r="H937" s="217" t="s">
        <v>303</v>
      </c>
      <c r="I937" s="218">
        <v>961.6</v>
      </c>
      <c r="J937" s="218">
        <v>723.4</v>
      </c>
      <c r="K937" s="218">
        <v>723.4</v>
      </c>
      <c r="L937" s="219">
        <v>25</v>
      </c>
      <c r="M937" s="217" t="s">
        <v>265</v>
      </c>
      <c r="N937" s="217" t="s">
        <v>269</v>
      </c>
      <c r="O937" s="220" t="s">
        <v>271</v>
      </c>
      <c r="P937" s="190">
        <v>3142502.06</v>
      </c>
      <c r="Q937" s="190">
        <v>0</v>
      </c>
      <c r="R937" s="190">
        <v>0</v>
      </c>
      <c r="S937" s="190">
        <f>P937-Q937-R937</f>
        <v>3142502.06</v>
      </c>
      <c r="T937" s="190">
        <f t="shared" si="113"/>
        <v>3267.9929908485856</v>
      </c>
      <c r="U937" s="190">
        <v>4241.2391742928457</v>
      </c>
      <c r="V937" s="221">
        <f t="shared" si="115"/>
        <v>973.24618344426017</v>
      </c>
      <c r="W937" s="221">
        <f>X937+Y937+Z937+AA937+AB937+AD937+AF937+AH937+AJ937+AL937+AN937+AO937</f>
        <v>4649.9862697587359</v>
      </c>
      <c r="X937" s="221">
        <v>0</v>
      </c>
      <c r="Y937" s="222">
        <v>0</v>
      </c>
      <c r="Z937" s="222">
        <v>0</v>
      </c>
      <c r="AA937" s="222">
        <v>0</v>
      </c>
      <c r="AB937" s="222">
        <v>0</v>
      </c>
      <c r="AC937" s="222">
        <v>0</v>
      </c>
      <c r="AD937" s="222">
        <v>0</v>
      </c>
      <c r="AE937" s="222">
        <v>716.7</v>
      </c>
      <c r="AF937" s="221">
        <f>6238.91*AE937/I937</f>
        <v>4649.9862697587359</v>
      </c>
      <c r="AG937" s="222">
        <v>0</v>
      </c>
      <c r="AH937" s="221">
        <v>0</v>
      </c>
      <c r="AI937" s="222">
        <v>0</v>
      </c>
      <c r="AJ937" s="221">
        <v>0</v>
      </c>
      <c r="AK937" s="222">
        <v>0</v>
      </c>
      <c r="AL937" s="222">
        <v>0</v>
      </c>
      <c r="AM937" s="222">
        <v>0</v>
      </c>
      <c r="AN937" s="222"/>
      <c r="AO937" s="222">
        <v>0</v>
      </c>
    </row>
    <row r="938" spans="1:41" s="223" customFormat="1" ht="36" customHeight="1" x14ac:dyDescent="0.25">
      <c r="A938" s="223">
        <v>1</v>
      </c>
      <c r="B938" s="225">
        <f>SUBTOTAL(103,$A$552:A938)</f>
        <v>346</v>
      </c>
      <c r="C938" s="215" t="s">
        <v>1240</v>
      </c>
      <c r="D938" s="217">
        <v>1982</v>
      </c>
      <c r="E938" s="217"/>
      <c r="F938" s="226" t="s">
        <v>267</v>
      </c>
      <c r="G938" s="217">
        <v>5</v>
      </c>
      <c r="H938" s="217" t="s">
        <v>2267</v>
      </c>
      <c r="I938" s="190">
        <v>6331.45</v>
      </c>
      <c r="J938" s="190">
        <v>5114.5</v>
      </c>
      <c r="K938" s="190">
        <v>5066.51</v>
      </c>
      <c r="L938" s="219">
        <v>198</v>
      </c>
      <c r="M938" s="217" t="s">
        <v>265</v>
      </c>
      <c r="N938" s="217" t="s">
        <v>269</v>
      </c>
      <c r="O938" s="220" t="s">
        <v>271</v>
      </c>
      <c r="P938" s="190">
        <v>9394873.7499999981</v>
      </c>
      <c r="Q938" s="190">
        <v>0</v>
      </c>
      <c r="R938" s="190">
        <v>0</v>
      </c>
      <c r="S938" s="190">
        <f>P938-Q938-R938</f>
        <v>9394873.7499999981</v>
      </c>
      <c r="T938" s="190">
        <f t="shared" si="113"/>
        <v>1483.8423662826049</v>
      </c>
      <c r="U938" s="190">
        <v>4998.25</v>
      </c>
      <c r="V938" s="221">
        <f t="shared" si="115"/>
        <v>3514.4076337173951</v>
      </c>
      <c r="W938" s="221">
        <f>X938+Y938+Z938+AA938+AB938+AD938+AF938+AH938+AJ938+AL938+AN938+AO938</f>
        <v>602.95651533219086</v>
      </c>
      <c r="X938" s="221">
        <v>0</v>
      </c>
      <c r="Y938" s="222">
        <v>0</v>
      </c>
      <c r="Z938" s="222">
        <v>0</v>
      </c>
      <c r="AA938" s="222">
        <v>0</v>
      </c>
      <c r="AB938" s="222">
        <v>0</v>
      </c>
      <c r="AC938" s="222">
        <v>0</v>
      </c>
      <c r="AD938" s="222">
        <v>0</v>
      </c>
      <c r="AE938" s="222">
        <v>611.9</v>
      </c>
      <c r="AF938" s="221">
        <f>6238.91*AE938/I938</f>
        <v>602.95651533219086</v>
      </c>
      <c r="AG938" s="222">
        <v>0</v>
      </c>
      <c r="AH938" s="221">
        <v>0</v>
      </c>
      <c r="AI938" s="222">
        <v>0</v>
      </c>
      <c r="AJ938" s="221">
        <v>0</v>
      </c>
      <c r="AK938" s="222">
        <v>0</v>
      </c>
      <c r="AL938" s="222">
        <v>0</v>
      </c>
      <c r="AM938" s="222">
        <v>0</v>
      </c>
      <c r="AN938" s="222"/>
      <c r="AO938" s="222">
        <v>0</v>
      </c>
    </row>
    <row r="939" spans="1:41" s="223" customFormat="1" ht="36" customHeight="1" x14ac:dyDescent="0.25">
      <c r="B939" s="215" t="s">
        <v>844</v>
      </c>
      <c r="C939" s="215"/>
      <c r="D939" s="217" t="s">
        <v>890</v>
      </c>
      <c r="E939" s="217" t="s">
        <v>890</v>
      </c>
      <c r="F939" s="217" t="s">
        <v>890</v>
      </c>
      <c r="G939" s="217" t="s">
        <v>890</v>
      </c>
      <c r="H939" s="217" t="s">
        <v>890</v>
      </c>
      <c r="I939" s="218">
        <f>SUM(I940:I942)</f>
        <v>8831.67</v>
      </c>
      <c r="J939" s="218">
        <f>SUM(J940:J942)</f>
        <v>7120.7900000000009</v>
      </c>
      <c r="K939" s="218">
        <f>SUM(K940:K942)</f>
        <v>6353.68</v>
      </c>
      <c r="L939" s="219">
        <f>SUM(L940:L942)</f>
        <v>282</v>
      </c>
      <c r="M939" s="217" t="s">
        <v>890</v>
      </c>
      <c r="N939" s="217" t="s">
        <v>890</v>
      </c>
      <c r="O939" s="220" t="s">
        <v>890</v>
      </c>
      <c r="P939" s="190">
        <v>12690176.630000001</v>
      </c>
      <c r="Q939" s="190">
        <f>SUM(Q940:Q942)</f>
        <v>0</v>
      </c>
      <c r="R939" s="190">
        <f>SUM(R940:R942)</f>
        <v>0</v>
      </c>
      <c r="S939" s="190">
        <f>SUM(S940:S942)</f>
        <v>12690176.630000001</v>
      </c>
      <c r="T939" s="190">
        <f t="shared" si="113"/>
        <v>1436.8943393491832</v>
      </c>
      <c r="U939" s="190">
        <f>MAX(U940:U942)</f>
        <v>4718.1295014633297</v>
      </c>
      <c r="V939" s="221">
        <f t="shared" si="115"/>
        <v>3281.2351621141465</v>
      </c>
      <c r="W939" s="221"/>
      <c r="X939" s="221"/>
      <c r="Y939" s="222"/>
      <c r="Z939" s="222"/>
      <c r="AA939" s="222"/>
      <c r="AB939" s="222"/>
      <c r="AC939" s="222"/>
      <c r="AD939" s="222"/>
      <c r="AE939" s="222"/>
      <c r="AF939" s="222"/>
      <c r="AG939" s="222"/>
      <c r="AH939" s="222"/>
      <c r="AI939" s="222"/>
      <c r="AJ939" s="222"/>
      <c r="AK939" s="222"/>
      <c r="AL939" s="222"/>
      <c r="AM939" s="222"/>
      <c r="AN939" s="222"/>
      <c r="AO939" s="222"/>
    </row>
    <row r="940" spans="1:41" s="223" customFormat="1" ht="36" customHeight="1" x14ac:dyDescent="0.25">
      <c r="A940" s="223">
        <v>1</v>
      </c>
      <c r="B940" s="225">
        <f>SUBTOTAL(103,$A$552:A940)</f>
        <v>347</v>
      </c>
      <c r="C940" s="215" t="s">
        <v>54</v>
      </c>
      <c r="D940" s="217">
        <v>1989</v>
      </c>
      <c r="E940" s="217"/>
      <c r="F940" s="226" t="s">
        <v>267</v>
      </c>
      <c r="G940" s="217">
        <v>5</v>
      </c>
      <c r="H940" s="217" t="s">
        <v>371</v>
      </c>
      <c r="I940" s="218">
        <v>5889.36</v>
      </c>
      <c r="J940" s="218">
        <v>4270.6000000000004</v>
      </c>
      <c r="K940" s="218">
        <v>4123.1000000000004</v>
      </c>
      <c r="L940" s="219">
        <v>193</v>
      </c>
      <c r="M940" s="217" t="s">
        <v>265</v>
      </c>
      <c r="N940" s="217" t="s">
        <v>269</v>
      </c>
      <c r="O940" s="220" t="s">
        <v>272</v>
      </c>
      <c r="P940" s="190">
        <v>8829727.5099999998</v>
      </c>
      <c r="Q940" s="190">
        <v>0</v>
      </c>
      <c r="R940" s="190">
        <v>0</v>
      </c>
      <c r="S940" s="190">
        <f>P940-Q940-R940</f>
        <v>8829727.5099999998</v>
      </c>
      <c r="T940" s="190">
        <f t="shared" si="113"/>
        <v>1499.2677489574419</v>
      </c>
      <c r="U940" s="190">
        <v>1844.4538693508293</v>
      </c>
      <c r="V940" s="221">
        <f t="shared" si="115"/>
        <v>345.18612039338745</v>
      </c>
      <c r="W940" s="221">
        <f>X940+Y940+Z940+AA940+AB940+AD940+AF940+AH940+AJ940+AL940+AN940+AO940</f>
        <v>1768.2716920004891</v>
      </c>
      <c r="X940" s="221">
        <v>0</v>
      </c>
      <c r="Y940" s="222">
        <v>0</v>
      </c>
      <c r="Z940" s="222">
        <v>0</v>
      </c>
      <c r="AA940" s="222">
        <v>0</v>
      </c>
      <c r="AB940" s="222">
        <v>0</v>
      </c>
      <c r="AC940" s="222">
        <v>0</v>
      </c>
      <c r="AD940" s="222">
        <v>0</v>
      </c>
      <c r="AE940" s="222">
        <v>1669.2</v>
      </c>
      <c r="AF940" s="221">
        <f>6238.91*AE940/I940</f>
        <v>1768.2716920004891</v>
      </c>
      <c r="AG940" s="222">
        <v>0</v>
      </c>
      <c r="AH940" s="221">
        <v>0</v>
      </c>
      <c r="AI940" s="222">
        <v>0</v>
      </c>
      <c r="AJ940" s="221">
        <v>0</v>
      </c>
      <c r="AK940" s="222">
        <v>0</v>
      </c>
      <c r="AL940" s="222">
        <v>0</v>
      </c>
      <c r="AM940" s="222">
        <v>0</v>
      </c>
      <c r="AN940" s="222"/>
      <c r="AO940" s="222">
        <v>0</v>
      </c>
    </row>
    <row r="941" spans="1:41" s="223" customFormat="1" ht="36" customHeight="1" x14ac:dyDescent="0.25">
      <c r="A941" s="223">
        <v>1</v>
      </c>
      <c r="B941" s="225">
        <f>SUBTOTAL(103,$A$552:A941)</f>
        <v>348</v>
      </c>
      <c r="C941" s="215" t="s">
        <v>1682</v>
      </c>
      <c r="D941" s="217">
        <v>1958</v>
      </c>
      <c r="E941" s="217"/>
      <c r="F941" s="226" t="s">
        <v>267</v>
      </c>
      <c r="G941" s="217">
        <v>2</v>
      </c>
      <c r="H941" s="217" t="s">
        <v>303</v>
      </c>
      <c r="I941" s="218">
        <v>796.13</v>
      </c>
      <c r="J941" s="218">
        <v>704.01</v>
      </c>
      <c r="K941" s="218">
        <v>474.19</v>
      </c>
      <c r="L941" s="219">
        <v>11</v>
      </c>
      <c r="M941" s="217" t="s">
        <v>265</v>
      </c>
      <c r="N941" s="217" t="s">
        <v>269</v>
      </c>
      <c r="O941" s="220" t="s">
        <v>272</v>
      </c>
      <c r="P941" s="190">
        <v>3224616.45</v>
      </c>
      <c r="Q941" s="190">
        <v>0</v>
      </c>
      <c r="R941" s="190">
        <v>0</v>
      </c>
      <c r="S941" s="190">
        <f>P941-Q941-R941</f>
        <v>3224616.45</v>
      </c>
      <c r="T941" s="190">
        <f t="shared" si="113"/>
        <v>4050.3641993141828</v>
      </c>
      <c r="U941" s="190">
        <v>4718.1295014633297</v>
      </c>
      <c r="V941" s="221">
        <f t="shared" si="115"/>
        <v>667.76530214914692</v>
      </c>
      <c r="W941" s="221">
        <f>X941+Y941+Z941+AA941+AB941+AD941+AF941+AH941+AJ941+AL941+AN941+AO941</f>
        <v>4523.2548101440725</v>
      </c>
      <c r="X941" s="221">
        <v>0</v>
      </c>
      <c r="Y941" s="222">
        <v>0</v>
      </c>
      <c r="Z941" s="222">
        <v>0</v>
      </c>
      <c r="AA941" s="222">
        <v>0</v>
      </c>
      <c r="AB941" s="222">
        <v>0</v>
      </c>
      <c r="AC941" s="222">
        <v>0</v>
      </c>
      <c r="AD941" s="222">
        <v>0</v>
      </c>
      <c r="AE941" s="222">
        <v>577.20000000000005</v>
      </c>
      <c r="AF941" s="221">
        <f>6238.91*AE941/I941</f>
        <v>4523.2548101440725</v>
      </c>
      <c r="AG941" s="222">
        <v>0</v>
      </c>
      <c r="AH941" s="221">
        <v>0</v>
      </c>
      <c r="AI941" s="222">
        <v>0</v>
      </c>
      <c r="AJ941" s="221">
        <v>0</v>
      </c>
      <c r="AK941" s="222">
        <v>0</v>
      </c>
      <c r="AL941" s="222">
        <v>0</v>
      </c>
      <c r="AM941" s="222">
        <v>0</v>
      </c>
      <c r="AN941" s="222"/>
      <c r="AO941" s="222">
        <v>0</v>
      </c>
    </row>
    <row r="942" spans="1:41" s="223" customFormat="1" ht="36" customHeight="1" x14ac:dyDescent="0.25">
      <c r="A942" s="223">
        <v>1</v>
      </c>
      <c r="B942" s="225">
        <f>SUBTOTAL(103,$A$552:A942)</f>
        <v>349</v>
      </c>
      <c r="C942" s="215" t="s">
        <v>1247</v>
      </c>
      <c r="D942" s="217">
        <v>1974</v>
      </c>
      <c r="E942" s="217"/>
      <c r="F942" s="226" t="s">
        <v>267</v>
      </c>
      <c r="G942" s="217">
        <v>5</v>
      </c>
      <c r="H942" s="217" t="s">
        <v>303</v>
      </c>
      <c r="I942" s="190">
        <v>2146.1799999999998</v>
      </c>
      <c r="J942" s="190">
        <v>2146.1799999999998</v>
      </c>
      <c r="K942" s="190">
        <v>1756.39</v>
      </c>
      <c r="L942" s="219">
        <v>78</v>
      </c>
      <c r="M942" s="217" t="s">
        <v>265</v>
      </c>
      <c r="N942" s="217" t="s">
        <v>269</v>
      </c>
      <c r="O942" s="220" t="s">
        <v>272</v>
      </c>
      <c r="P942" s="190">
        <v>635832.67000000004</v>
      </c>
      <c r="Q942" s="190">
        <v>0</v>
      </c>
      <c r="R942" s="190">
        <v>0</v>
      </c>
      <c r="S942" s="190">
        <f>P942-Q942-R942</f>
        <v>635832.67000000004</v>
      </c>
      <c r="T942" s="190">
        <f t="shared" si="113"/>
        <v>296.26250827050859</v>
      </c>
      <c r="U942" s="190">
        <v>184.98</v>
      </c>
      <c r="V942" s="221">
        <f t="shared" si="115"/>
        <v>-111.2825082705086</v>
      </c>
      <c r="W942" s="221">
        <f>T942</f>
        <v>296.26250827050859</v>
      </c>
      <c r="X942" s="221">
        <v>0</v>
      </c>
      <c r="Y942" s="222">
        <v>0</v>
      </c>
      <c r="Z942" s="222">
        <v>0</v>
      </c>
      <c r="AA942" s="222">
        <v>184.98</v>
      </c>
      <c r="AB942" s="222">
        <v>0</v>
      </c>
      <c r="AC942" s="222">
        <v>0</v>
      </c>
      <c r="AD942" s="222">
        <v>0</v>
      </c>
      <c r="AE942" s="222">
        <v>0</v>
      </c>
      <c r="AF942" s="221">
        <v>0</v>
      </c>
      <c r="AG942" s="222">
        <v>0</v>
      </c>
      <c r="AH942" s="221">
        <v>0</v>
      </c>
      <c r="AI942" s="222">
        <v>0</v>
      </c>
      <c r="AJ942" s="221">
        <v>0</v>
      </c>
      <c r="AK942" s="222">
        <v>0</v>
      </c>
      <c r="AL942" s="222">
        <v>0</v>
      </c>
      <c r="AM942" s="222">
        <v>0</v>
      </c>
      <c r="AN942" s="222"/>
      <c r="AO942" s="222">
        <v>0</v>
      </c>
    </row>
    <row r="943" spans="1:41" s="223" customFormat="1" ht="36" customHeight="1" x14ac:dyDescent="0.25">
      <c r="B943" s="215" t="s">
        <v>845</v>
      </c>
      <c r="C943" s="215"/>
      <c r="D943" s="217" t="s">
        <v>890</v>
      </c>
      <c r="E943" s="217" t="s">
        <v>890</v>
      </c>
      <c r="F943" s="217" t="s">
        <v>890</v>
      </c>
      <c r="G943" s="217" t="s">
        <v>890</v>
      </c>
      <c r="H943" s="217" t="s">
        <v>890</v>
      </c>
      <c r="I943" s="218">
        <f>I944</f>
        <v>485.3</v>
      </c>
      <c r="J943" s="218">
        <f>J944</f>
        <v>441.3</v>
      </c>
      <c r="K943" s="218">
        <f>K944</f>
        <v>441.3</v>
      </c>
      <c r="L943" s="219">
        <f>L944</f>
        <v>16</v>
      </c>
      <c r="M943" s="217" t="s">
        <v>890</v>
      </c>
      <c r="N943" s="217" t="s">
        <v>890</v>
      </c>
      <c r="O943" s="220" t="s">
        <v>890</v>
      </c>
      <c r="P943" s="190">
        <v>2347065.8600000003</v>
      </c>
      <c r="Q943" s="190">
        <f>Q944</f>
        <v>0</v>
      </c>
      <c r="R943" s="190">
        <f>R944</f>
        <v>0</v>
      </c>
      <c r="S943" s="190">
        <f>S944</f>
        <v>2347065.8600000003</v>
      </c>
      <c r="T943" s="190">
        <f t="shared" si="113"/>
        <v>4836.3195137028652</v>
      </c>
      <c r="U943" s="190">
        <f>U944</f>
        <v>5953.8817226457859</v>
      </c>
      <c r="V943" s="221">
        <f t="shared" si="115"/>
        <v>1117.5622089429207</v>
      </c>
      <c r="W943" s="221"/>
      <c r="X943" s="221"/>
      <c r="Y943" s="222"/>
      <c r="Z943" s="222"/>
      <c r="AA943" s="222"/>
      <c r="AB943" s="222"/>
      <c r="AC943" s="222"/>
      <c r="AD943" s="222"/>
      <c r="AE943" s="222"/>
      <c r="AF943" s="222"/>
      <c r="AG943" s="222"/>
      <c r="AH943" s="222"/>
      <c r="AI943" s="222"/>
      <c r="AJ943" s="222"/>
      <c r="AK943" s="222"/>
      <c r="AL943" s="222"/>
      <c r="AM943" s="222"/>
      <c r="AN943" s="222"/>
      <c r="AO943" s="222"/>
    </row>
    <row r="944" spans="1:41" s="223" customFormat="1" ht="36" customHeight="1" x14ac:dyDescent="0.25">
      <c r="A944" s="223">
        <v>1</v>
      </c>
      <c r="B944" s="225">
        <f>SUBTOTAL(103,$A$552:A944)</f>
        <v>350</v>
      </c>
      <c r="C944" s="215" t="s">
        <v>53</v>
      </c>
      <c r="D944" s="217">
        <v>1952</v>
      </c>
      <c r="E944" s="217"/>
      <c r="F944" s="226" t="s">
        <v>267</v>
      </c>
      <c r="G944" s="217">
        <v>2</v>
      </c>
      <c r="H944" s="217" t="s">
        <v>303</v>
      </c>
      <c r="I944" s="218">
        <v>485.3</v>
      </c>
      <c r="J944" s="218">
        <v>441.3</v>
      </c>
      <c r="K944" s="218">
        <v>441.3</v>
      </c>
      <c r="L944" s="219">
        <v>16</v>
      </c>
      <c r="M944" s="217" t="s">
        <v>265</v>
      </c>
      <c r="N944" s="217" t="s">
        <v>269</v>
      </c>
      <c r="O944" s="220" t="s">
        <v>273</v>
      </c>
      <c r="P944" s="190">
        <v>2347065.8600000003</v>
      </c>
      <c r="Q944" s="190">
        <v>0</v>
      </c>
      <c r="R944" s="190">
        <v>0</v>
      </c>
      <c r="S944" s="190">
        <f>P944-Q944-R944</f>
        <v>2347065.8600000003</v>
      </c>
      <c r="T944" s="190">
        <f t="shared" si="113"/>
        <v>4836.3195137028652</v>
      </c>
      <c r="U944" s="190">
        <v>5953.8817226457859</v>
      </c>
      <c r="V944" s="221">
        <f>U944-T944</f>
        <v>1117.5622089429207</v>
      </c>
      <c r="W944" s="221">
        <f>X944+Y944+Z944+AA944+AB944+AD944+AF944+AH944+AJ944+AL944+AN944+AO944</f>
        <v>5707.9662888934681</v>
      </c>
      <c r="X944" s="221">
        <v>0</v>
      </c>
      <c r="Y944" s="222">
        <v>0</v>
      </c>
      <c r="Z944" s="222">
        <v>0</v>
      </c>
      <c r="AA944" s="222">
        <v>0</v>
      </c>
      <c r="AB944" s="222">
        <v>0</v>
      </c>
      <c r="AC944" s="222">
        <v>0</v>
      </c>
      <c r="AD944" s="222">
        <v>0</v>
      </c>
      <c r="AE944" s="222">
        <v>444</v>
      </c>
      <c r="AF944" s="221">
        <f>6238.91*AE944/I944</f>
        <v>5707.9662888934681</v>
      </c>
      <c r="AG944" s="222">
        <v>0</v>
      </c>
      <c r="AH944" s="221">
        <v>0</v>
      </c>
      <c r="AI944" s="222">
        <v>0</v>
      </c>
      <c r="AJ944" s="221">
        <v>0</v>
      </c>
      <c r="AK944" s="222">
        <v>0</v>
      </c>
      <c r="AL944" s="222">
        <v>0</v>
      </c>
      <c r="AM944" s="222">
        <v>0</v>
      </c>
      <c r="AN944" s="222"/>
      <c r="AO944" s="222">
        <v>0</v>
      </c>
    </row>
    <row r="945" spans="1:41" s="223" customFormat="1" ht="36" customHeight="1" x14ac:dyDescent="0.25">
      <c r="B945" s="215" t="s">
        <v>846</v>
      </c>
      <c r="C945" s="215"/>
      <c r="D945" s="217" t="s">
        <v>890</v>
      </c>
      <c r="E945" s="217" t="s">
        <v>890</v>
      </c>
      <c r="F945" s="217" t="s">
        <v>890</v>
      </c>
      <c r="G945" s="217" t="s">
        <v>890</v>
      </c>
      <c r="H945" s="217" t="s">
        <v>890</v>
      </c>
      <c r="I945" s="218">
        <f>SUM(I946:I953)</f>
        <v>10895.89</v>
      </c>
      <c r="J945" s="218">
        <f>SUM(J946:J953)</f>
        <v>10456.06</v>
      </c>
      <c r="K945" s="218">
        <f>SUM(K946:K953)</f>
        <v>8905.7999999999993</v>
      </c>
      <c r="L945" s="219">
        <f>SUM(L946:L953)</f>
        <v>502</v>
      </c>
      <c r="M945" s="217" t="s">
        <v>890</v>
      </c>
      <c r="N945" s="217" t="s">
        <v>890</v>
      </c>
      <c r="O945" s="220" t="s">
        <v>890</v>
      </c>
      <c r="P945" s="190">
        <v>26983289.200000003</v>
      </c>
      <c r="Q945" s="190">
        <f>SUM(Q946:Q953)</f>
        <v>0</v>
      </c>
      <c r="R945" s="190">
        <f>SUM(R946:R953)</f>
        <v>0</v>
      </c>
      <c r="S945" s="190">
        <f>SUM(S946:S953)</f>
        <v>26983289.200000003</v>
      </c>
      <c r="T945" s="190">
        <f t="shared" si="113"/>
        <v>2476.4649055744876</v>
      </c>
      <c r="U945" s="190">
        <f>MAX(U946:U953)</f>
        <v>7277.3331074212128</v>
      </c>
      <c r="V945" s="221">
        <f t="shared" si="115"/>
        <v>4800.8682018467252</v>
      </c>
      <c r="W945" s="221"/>
      <c r="X945" s="221"/>
      <c r="Y945" s="222"/>
      <c r="Z945" s="222"/>
      <c r="AA945" s="222"/>
      <c r="AB945" s="222"/>
      <c r="AC945" s="222"/>
      <c r="AD945" s="222"/>
      <c r="AE945" s="222"/>
      <c r="AF945" s="222"/>
      <c r="AG945" s="222"/>
      <c r="AH945" s="222"/>
      <c r="AI945" s="222"/>
      <c r="AJ945" s="222"/>
      <c r="AK945" s="222"/>
      <c r="AL945" s="222"/>
      <c r="AM945" s="222"/>
      <c r="AN945" s="222"/>
      <c r="AO945" s="222"/>
    </row>
    <row r="946" spans="1:41" s="223" customFormat="1" ht="36" customHeight="1" x14ac:dyDescent="0.25">
      <c r="A946" s="223">
        <v>1</v>
      </c>
      <c r="B946" s="225">
        <f>SUBTOTAL(103,$A$552:A946)</f>
        <v>351</v>
      </c>
      <c r="C946" s="215" t="s">
        <v>60</v>
      </c>
      <c r="D946" s="217">
        <v>1970</v>
      </c>
      <c r="E946" s="217"/>
      <c r="F946" s="226" t="s">
        <v>267</v>
      </c>
      <c r="G946" s="217">
        <v>5</v>
      </c>
      <c r="H946" s="217" t="s">
        <v>303</v>
      </c>
      <c r="I946" s="218">
        <v>2323.8000000000002</v>
      </c>
      <c r="J946" s="218">
        <v>2094.89</v>
      </c>
      <c r="K946" s="218">
        <v>1789.25</v>
      </c>
      <c r="L946" s="219">
        <v>79</v>
      </c>
      <c r="M946" s="217" t="s">
        <v>265</v>
      </c>
      <c r="N946" s="217" t="s">
        <v>269</v>
      </c>
      <c r="O946" s="220" t="s">
        <v>275</v>
      </c>
      <c r="P946" s="190">
        <v>3431912.32</v>
      </c>
      <c r="Q946" s="190">
        <v>0</v>
      </c>
      <c r="R946" s="190">
        <v>0</v>
      </c>
      <c r="S946" s="190">
        <f t="shared" ref="S946:S953" si="116">P946-Q946-R946</f>
        <v>3431912.32</v>
      </c>
      <c r="T946" s="190">
        <f t="shared" si="113"/>
        <v>1476.8535674326533</v>
      </c>
      <c r="U946" s="190">
        <v>1856.7024270591269</v>
      </c>
      <c r="V946" s="221">
        <f t="shared" si="115"/>
        <v>379.84885962647354</v>
      </c>
      <c r="W946" s="221">
        <f t="shared" ref="W946:W951" si="117">X946+Y946+Z946+AA946+AB946+AD946+AF946+AH946+AJ946+AL946+AN946+AO946</f>
        <v>1780.0143428866511</v>
      </c>
      <c r="X946" s="221">
        <v>0</v>
      </c>
      <c r="Y946" s="222">
        <v>0</v>
      </c>
      <c r="Z946" s="222">
        <v>0</v>
      </c>
      <c r="AA946" s="222">
        <v>0</v>
      </c>
      <c r="AB946" s="222">
        <v>0</v>
      </c>
      <c r="AC946" s="222">
        <v>0</v>
      </c>
      <c r="AD946" s="222">
        <v>0</v>
      </c>
      <c r="AE946" s="222">
        <v>663</v>
      </c>
      <c r="AF946" s="221">
        <f t="shared" ref="AF946:AF951" si="118">6238.91*AE946/I946</f>
        <v>1780.0143428866511</v>
      </c>
      <c r="AG946" s="222">
        <v>0</v>
      </c>
      <c r="AH946" s="221">
        <v>0</v>
      </c>
      <c r="AI946" s="222">
        <v>0</v>
      </c>
      <c r="AJ946" s="221">
        <v>0</v>
      </c>
      <c r="AK946" s="222">
        <v>0</v>
      </c>
      <c r="AL946" s="222">
        <v>0</v>
      </c>
      <c r="AM946" s="222">
        <v>0</v>
      </c>
      <c r="AN946" s="222"/>
      <c r="AO946" s="222">
        <v>0</v>
      </c>
    </row>
    <row r="947" spans="1:41" s="223" customFormat="1" ht="36" customHeight="1" x14ac:dyDescent="0.25">
      <c r="A947" s="223">
        <v>1</v>
      </c>
      <c r="B947" s="225">
        <f>SUBTOTAL(103,$A$552:A947)</f>
        <v>352</v>
      </c>
      <c r="C947" s="215" t="s">
        <v>61</v>
      </c>
      <c r="D947" s="217">
        <v>1972</v>
      </c>
      <c r="E947" s="217"/>
      <c r="F947" s="226" t="s">
        <v>267</v>
      </c>
      <c r="G947" s="217">
        <v>2</v>
      </c>
      <c r="H947" s="217" t="s">
        <v>303</v>
      </c>
      <c r="I947" s="218">
        <v>590.20000000000005</v>
      </c>
      <c r="J947" s="218">
        <v>590.20000000000005</v>
      </c>
      <c r="K947" s="218">
        <v>529.79999999999995</v>
      </c>
      <c r="L947" s="219">
        <v>36</v>
      </c>
      <c r="M947" s="217" t="s">
        <v>265</v>
      </c>
      <c r="N947" s="217" t="s">
        <v>266</v>
      </c>
      <c r="O947" s="220" t="s">
        <v>268</v>
      </c>
      <c r="P947" s="190">
        <v>3384156.05</v>
      </c>
      <c r="Q947" s="190">
        <v>0</v>
      </c>
      <c r="R947" s="190">
        <v>0</v>
      </c>
      <c r="S947" s="190">
        <f t="shared" si="116"/>
        <v>3384156.05</v>
      </c>
      <c r="T947" s="190">
        <f t="shared" si="113"/>
        <v>5733.9140121992541</v>
      </c>
      <c r="U947" s="190">
        <v>7277.3331074212128</v>
      </c>
      <c r="V947" s="221">
        <f t="shared" si="115"/>
        <v>1543.4190952219587</v>
      </c>
      <c r="W947" s="221">
        <f t="shared" si="117"/>
        <v>6976.754659437478</v>
      </c>
      <c r="X947" s="221">
        <v>0</v>
      </c>
      <c r="Y947" s="222">
        <v>0</v>
      </c>
      <c r="Z947" s="222">
        <v>0</v>
      </c>
      <c r="AA947" s="222">
        <v>0</v>
      </c>
      <c r="AB947" s="222">
        <v>0</v>
      </c>
      <c r="AC947" s="222">
        <v>0</v>
      </c>
      <c r="AD947" s="222">
        <v>0</v>
      </c>
      <c r="AE947" s="222">
        <v>660</v>
      </c>
      <c r="AF947" s="221">
        <f t="shared" si="118"/>
        <v>6976.754659437478</v>
      </c>
      <c r="AG947" s="222">
        <v>0</v>
      </c>
      <c r="AH947" s="221">
        <v>0</v>
      </c>
      <c r="AI947" s="222">
        <v>0</v>
      </c>
      <c r="AJ947" s="221">
        <v>0</v>
      </c>
      <c r="AK947" s="222">
        <v>0</v>
      </c>
      <c r="AL947" s="222">
        <v>0</v>
      </c>
      <c r="AM947" s="222">
        <v>0</v>
      </c>
      <c r="AN947" s="222"/>
      <c r="AO947" s="222">
        <v>0</v>
      </c>
    </row>
    <row r="948" spans="1:41" s="223" customFormat="1" ht="36" customHeight="1" x14ac:dyDescent="0.25">
      <c r="A948" s="223">
        <v>1</v>
      </c>
      <c r="B948" s="225">
        <f>SUBTOTAL(103,$A$552:A948)</f>
        <v>353</v>
      </c>
      <c r="C948" s="215" t="s">
        <v>59</v>
      </c>
      <c r="D948" s="217">
        <v>1973</v>
      </c>
      <c r="E948" s="217"/>
      <c r="F948" s="226" t="s">
        <v>267</v>
      </c>
      <c r="G948" s="217">
        <v>2</v>
      </c>
      <c r="H948" s="217" t="s">
        <v>303</v>
      </c>
      <c r="I948" s="218">
        <v>701.7</v>
      </c>
      <c r="J948" s="218">
        <v>600.70000000000005</v>
      </c>
      <c r="K948" s="218">
        <v>482.5</v>
      </c>
      <c r="L948" s="219">
        <v>31</v>
      </c>
      <c r="M948" s="217" t="s">
        <v>265</v>
      </c>
      <c r="N948" s="217" t="s">
        <v>266</v>
      </c>
      <c r="O948" s="220" t="s">
        <v>268</v>
      </c>
      <c r="P948" s="190">
        <v>2934622.81</v>
      </c>
      <c r="Q948" s="190">
        <v>0</v>
      </c>
      <c r="R948" s="190">
        <v>0</v>
      </c>
      <c r="S948" s="190">
        <f t="shared" si="116"/>
        <v>2934622.81</v>
      </c>
      <c r="T948" s="190">
        <f t="shared" si="113"/>
        <v>4182.1616217756873</v>
      </c>
      <c r="U948" s="190">
        <v>6000.4017386347432</v>
      </c>
      <c r="V948" s="221">
        <f>U948-T948</f>
        <v>1818.2401168590559</v>
      </c>
      <c r="W948" s="221">
        <f t="shared" si="117"/>
        <v>5752.5648710275045</v>
      </c>
      <c r="X948" s="221">
        <v>0</v>
      </c>
      <c r="Y948" s="222">
        <v>0</v>
      </c>
      <c r="Z948" s="222">
        <v>0</v>
      </c>
      <c r="AA948" s="222">
        <v>0</v>
      </c>
      <c r="AB948" s="222">
        <v>0</v>
      </c>
      <c r="AC948" s="222">
        <v>0</v>
      </c>
      <c r="AD948" s="222">
        <v>0</v>
      </c>
      <c r="AE948" s="222">
        <v>647</v>
      </c>
      <c r="AF948" s="221">
        <f t="shared" si="118"/>
        <v>5752.5648710275045</v>
      </c>
      <c r="AG948" s="222">
        <v>0</v>
      </c>
      <c r="AH948" s="221">
        <v>0</v>
      </c>
      <c r="AI948" s="222">
        <v>0</v>
      </c>
      <c r="AJ948" s="221">
        <v>0</v>
      </c>
      <c r="AK948" s="222">
        <v>0</v>
      </c>
      <c r="AL948" s="222">
        <v>0</v>
      </c>
      <c r="AM948" s="222">
        <v>0</v>
      </c>
      <c r="AN948" s="222"/>
      <c r="AO948" s="222">
        <v>0</v>
      </c>
    </row>
    <row r="949" spans="1:41" s="223" customFormat="1" ht="36" customHeight="1" x14ac:dyDescent="0.25">
      <c r="A949" s="223">
        <v>1</v>
      </c>
      <c r="B949" s="225">
        <f>SUBTOTAL(103,$A$552:A949)</f>
        <v>354</v>
      </c>
      <c r="C949" s="215" t="s">
        <v>62</v>
      </c>
      <c r="D949" s="217">
        <v>1982</v>
      </c>
      <c r="E949" s="217"/>
      <c r="F949" s="226" t="s">
        <v>267</v>
      </c>
      <c r="G949" s="217">
        <v>2</v>
      </c>
      <c r="H949" s="217" t="s">
        <v>303</v>
      </c>
      <c r="I949" s="218">
        <v>549.6</v>
      </c>
      <c r="J949" s="218">
        <v>502.6</v>
      </c>
      <c r="K949" s="218">
        <v>318.10000000000002</v>
      </c>
      <c r="L949" s="219">
        <v>28</v>
      </c>
      <c r="M949" s="217" t="s">
        <v>265</v>
      </c>
      <c r="N949" s="217" t="s">
        <v>266</v>
      </c>
      <c r="O949" s="220" t="s">
        <v>268</v>
      </c>
      <c r="P949" s="190">
        <v>2725491.0199999996</v>
      </c>
      <c r="Q949" s="190">
        <v>0</v>
      </c>
      <c r="R949" s="190">
        <v>0</v>
      </c>
      <c r="S949" s="190">
        <f t="shared" si="116"/>
        <v>2725491.0199999996</v>
      </c>
      <c r="T949" s="190">
        <f t="shared" si="113"/>
        <v>4959.0447962154285</v>
      </c>
      <c r="U949" s="190">
        <v>6349.0333697234355</v>
      </c>
      <c r="V949" s="221">
        <f>U949-T949</f>
        <v>1389.988573508007</v>
      </c>
      <c r="W949" s="221">
        <f t="shared" si="117"/>
        <v>6086.7968377001462</v>
      </c>
      <c r="X949" s="221">
        <v>0</v>
      </c>
      <c r="Y949" s="222">
        <v>0</v>
      </c>
      <c r="Z949" s="222">
        <v>0</v>
      </c>
      <c r="AA949" s="222">
        <v>0</v>
      </c>
      <c r="AB949" s="222">
        <v>0</v>
      </c>
      <c r="AC949" s="222">
        <v>0</v>
      </c>
      <c r="AD949" s="222">
        <v>0</v>
      </c>
      <c r="AE949" s="222">
        <v>536.20000000000005</v>
      </c>
      <c r="AF949" s="221">
        <f t="shared" si="118"/>
        <v>6086.7968377001462</v>
      </c>
      <c r="AG949" s="222">
        <v>0</v>
      </c>
      <c r="AH949" s="221">
        <v>0</v>
      </c>
      <c r="AI949" s="222">
        <v>0</v>
      </c>
      <c r="AJ949" s="221">
        <v>0</v>
      </c>
      <c r="AK949" s="222">
        <v>0</v>
      </c>
      <c r="AL949" s="222">
        <v>0</v>
      </c>
      <c r="AM949" s="222">
        <v>0</v>
      </c>
      <c r="AN949" s="222"/>
      <c r="AO949" s="222">
        <v>0</v>
      </c>
    </row>
    <row r="950" spans="1:41" s="223" customFormat="1" ht="36" customHeight="1" x14ac:dyDescent="0.25">
      <c r="A950" s="223">
        <v>1</v>
      </c>
      <c r="B950" s="225">
        <f>SUBTOTAL(103,$A$552:A950)</f>
        <v>355</v>
      </c>
      <c r="C950" s="215" t="s">
        <v>58</v>
      </c>
      <c r="D950" s="217">
        <v>1970</v>
      </c>
      <c r="E950" s="217"/>
      <c r="F950" s="226" t="s">
        <v>267</v>
      </c>
      <c r="G950" s="217">
        <v>2</v>
      </c>
      <c r="H950" s="217" t="s">
        <v>303</v>
      </c>
      <c r="I950" s="218">
        <v>726.6</v>
      </c>
      <c r="J950" s="218">
        <v>665.68</v>
      </c>
      <c r="K950" s="218">
        <v>482.19</v>
      </c>
      <c r="L950" s="219">
        <v>33</v>
      </c>
      <c r="M950" s="217" t="s">
        <v>265</v>
      </c>
      <c r="N950" s="217" t="s">
        <v>266</v>
      </c>
      <c r="O950" s="220" t="s">
        <v>268</v>
      </c>
      <c r="P950" s="190">
        <v>2871578.12</v>
      </c>
      <c r="Q950" s="190">
        <v>0</v>
      </c>
      <c r="R950" s="190">
        <v>0</v>
      </c>
      <c r="S950" s="190">
        <f t="shared" si="116"/>
        <v>2871578.12</v>
      </c>
      <c r="T950" s="190">
        <f t="shared" si="113"/>
        <v>3952.0755849160473</v>
      </c>
      <c r="U950" s="190">
        <v>5832.3895403248007</v>
      </c>
      <c r="V950" s="221">
        <f t="shared" si="115"/>
        <v>1880.3139554087534</v>
      </c>
      <c r="W950" s="221">
        <f t="shared" si="117"/>
        <v>5555.429080649601</v>
      </c>
      <c r="X950" s="221">
        <v>0</v>
      </c>
      <c r="Y950" s="222">
        <v>0</v>
      </c>
      <c r="Z950" s="222">
        <v>0</v>
      </c>
      <c r="AA950" s="222">
        <v>0</v>
      </c>
      <c r="AB950" s="222">
        <v>0</v>
      </c>
      <c r="AC950" s="222">
        <v>0</v>
      </c>
      <c r="AD950" s="222">
        <v>0</v>
      </c>
      <c r="AE950" s="222">
        <v>647</v>
      </c>
      <c r="AF950" s="221">
        <f t="shared" si="118"/>
        <v>5555.429080649601</v>
      </c>
      <c r="AG950" s="222">
        <v>0</v>
      </c>
      <c r="AH950" s="221">
        <v>0</v>
      </c>
      <c r="AI950" s="222">
        <v>0</v>
      </c>
      <c r="AJ950" s="221">
        <v>0</v>
      </c>
      <c r="AK950" s="222">
        <v>0</v>
      </c>
      <c r="AL950" s="222">
        <v>0</v>
      </c>
      <c r="AM950" s="222">
        <v>0</v>
      </c>
      <c r="AN950" s="222"/>
      <c r="AO950" s="222">
        <v>0</v>
      </c>
    </row>
    <row r="951" spans="1:41" s="223" customFormat="1" ht="36" customHeight="1" x14ac:dyDescent="0.25">
      <c r="A951" s="223">
        <v>1</v>
      </c>
      <c r="B951" s="225">
        <f>SUBTOTAL(103,$A$552:A951)</f>
        <v>356</v>
      </c>
      <c r="C951" s="215" t="s">
        <v>1244</v>
      </c>
      <c r="D951" s="217">
        <v>1974</v>
      </c>
      <c r="E951" s="217"/>
      <c r="F951" s="226" t="s">
        <v>311</v>
      </c>
      <c r="G951" s="217">
        <v>5</v>
      </c>
      <c r="H951" s="217" t="s">
        <v>351</v>
      </c>
      <c r="I951" s="218">
        <v>3399.85</v>
      </c>
      <c r="J951" s="218">
        <v>3399.85</v>
      </c>
      <c r="K951" s="218">
        <v>2776.82</v>
      </c>
      <c r="L951" s="219">
        <v>166</v>
      </c>
      <c r="M951" s="217" t="s">
        <v>265</v>
      </c>
      <c r="N951" s="217" t="s">
        <v>269</v>
      </c>
      <c r="O951" s="220" t="s">
        <v>1301</v>
      </c>
      <c r="P951" s="190">
        <v>4087052.6</v>
      </c>
      <c r="Q951" s="190">
        <v>0</v>
      </c>
      <c r="R951" s="190">
        <v>0</v>
      </c>
      <c r="S951" s="190">
        <f t="shared" si="116"/>
        <v>4087052.6</v>
      </c>
      <c r="T951" s="190">
        <f t="shared" si="113"/>
        <v>1202.1273291468742</v>
      </c>
      <c r="U951" s="190">
        <v>6624.3639085547884</v>
      </c>
      <c r="V951" s="221">
        <f>U951-T951</f>
        <v>5422.2365794079142</v>
      </c>
      <c r="W951" s="221">
        <f t="shared" si="117"/>
        <v>983.95621630366054</v>
      </c>
      <c r="X951" s="221">
        <v>0</v>
      </c>
      <c r="Y951" s="222">
        <v>0</v>
      </c>
      <c r="Z951" s="222">
        <v>0</v>
      </c>
      <c r="AA951" s="222">
        <v>0</v>
      </c>
      <c r="AB951" s="222">
        <v>0</v>
      </c>
      <c r="AC951" s="222">
        <v>0</v>
      </c>
      <c r="AD951" s="222">
        <v>0</v>
      </c>
      <c r="AE951" s="222">
        <v>536.20000000000005</v>
      </c>
      <c r="AF951" s="221">
        <f t="shared" si="118"/>
        <v>983.95621630366054</v>
      </c>
      <c r="AG951" s="222">
        <v>0</v>
      </c>
      <c r="AH951" s="221">
        <v>0</v>
      </c>
      <c r="AI951" s="222">
        <v>0</v>
      </c>
      <c r="AJ951" s="221">
        <v>0</v>
      </c>
      <c r="AK951" s="222">
        <v>0</v>
      </c>
      <c r="AL951" s="222">
        <v>0</v>
      </c>
      <c r="AM951" s="222">
        <v>0</v>
      </c>
      <c r="AN951" s="222"/>
      <c r="AO951" s="222">
        <v>0</v>
      </c>
    </row>
    <row r="952" spans="1:41" s="223" customFormat="1" ht="36" customHeight="1" x14ac:dyDescent="0.25">
      <c r="A952" s="223">
        <v>1</v>
      </c>
      <c r="B952" s="225">
        <f>SUBTOTAL(103,$A$552:A952)</f>
        <v>357</v>
      </c>
      <c r="C952" s="215" t="s">
        <v>49</v>
      </c>
      <c r="D952" s="217">
        <v>1962</v>
      </c>
      <c r="E952" s="217"/>
      <c r="F952" s="226" t="s">
        <v>267</v>
      </c>
      <c r="G952" s="217">
        <v>4</v>
      </c>
      <c r="H952" s="217" t="s">
        <v>312</v>
      </c>
      <c r="I952" s="190">
        <v>1905.34</v>
      </c>
      <c r="J952" s="190">
        <v>1905.34</v>
      </c>
      <c r="K952" s="190">
        <v>1830.34</v>
      </c>
      <c r="L952" s="219">
        <v>101</v>
      </c>
      <c r="M952" s="217" t="s">
        <v>265</v>
      </c>
      <c r="N952" s="217" t="s">
        <v>266</v>
      </c>
      <c r="O952" s="220" t="s">
        <v>268</v>
      </c>
      <c r="P952" s="190">
        <v>4302586.0199999996</v>
      </c>
      <c r="Q952" s="190">
        <v>0</v>
      </c>
      <c r="R952" s="190">
        <v>0</v>
      </c>
      <c r="S952" s="190">
        <f t="shared" si="116"/>
        <v>4302586.0199999996</v>
      </c>
      <c r="T952" s="190">
        <f t="shared" si="113"/>
        <v>2258.1723052053699</v>
      </c>
      <c r="U952" s="190">
        <v>3121.1917510785479</v>
      </c>
      <c r="V952" s="221">
        <v>194.03382650865387</v>
      </c>
      <c r="W952" s="221">
        <v>2936.8398180902095</v>
      </c>
      <c r="X952" s="221">
        <v>0</v>
      </c>
      <c r="Y952" s="222">
        <v>0</v>
      </c>
      <c r="Z952" s="222">
        <v>0</v>
      </c>
      <c r="AA952" s="222">
        <v>0</v>
      </c>
      <c r="AB952" s="222">
        <v>0</v>
      </c>
      <c r="AC952" s="222">
        <v>0</v>
      </c>
      <c r="AD952" s="222">
        <v>0</v>
      </c>
      <c r="AE952" s="222">
        <v>896.9</v>
      </c>
      <c r="AF952" s="221">
        <v>2936.8398180902095</v>
      </c>
      <c r="AG952" s="222">
        <v>0</v>
      </c>
      <c r="AH952" s="221">
        <v>0</v>
      </c>
      <c r="AI952" s="222">
        <v>0</v>
      </c>
      <c r="AJ952" s="221">
        <v>0</v>
      </c>
      <c r="AK952" s="222">
        <v>0</v>
      </c>
      <c r="AL952" s="222">
        <v>0</v>
      </c>
      <c r="AM952" s="222">
        <v>0</v>
      </c>
      <c r="AN952" s="222"/>
      <c r="AO952" s="222">
        <v>0</v>
      </c>
    </row>
    <row r="953" spans="1:41" s="223" customFormat="1" ht="36" customHeight="1" x14ac:dyDescent="0.25">
      <c r="A953" s="223">
        <v>1</v>
      </c>
      <c r="B953" s="225">
        <f>SUBTOTAL(103,$A$552:A953)</f>
        <v>358</v>
      </c>
      <c r="C953" s="215" t="s">
        <v>2304</v>
      </c>
      <c r="D953" s="217">
        <v>1967</v>
      </c>
      <c r="E953" s="217"/>
      <c r="F953" s="226" t="s">
        <v>267</v>
      </c>
      <c r="G953" s="217">
        <v>2</v>
      </c>
      <c r="H953" s="217" t="s">
        <v>303</v>
      </c>
      <c r="I953" s="190">
        <v>698.8</v>
      </c>
      <c r="J953" s="190">
        <v>696.8</v>
      </c>
      <c r="K953" s="190">
        <v>696.8</v>
      </c>
      <c r="L953" s="219">
        <v>28</v>
      </c>
      <c r="M953" s="217" t="s">
        <v>265</v>
      </c>
      <c r="N953" s="217" t="s">
        <v>266</v>
      </c>
      <c r="O953" s="220" t="s">
        <v>268</v>
      </c>
      <c r="P953" s="190">
        <v>3245890.26</v>
      </c>
      <c r="Q953" s="190">
        <v>0</v>
      </c>
      <c r="R953" s="190">
        <v>0</v>
      </c>
      <c r="S953" s="190">
        <f t="shared" si="116"/>
        <v>3245890.26</v>
      </c>
      <c r="T953" s="190">
        <f t="shared" si="113"/>
        <v>4644.9488551803088</v>
      </c>
      <c r="U953" s="190">
        <v>6211.5568116771601</v>
      </c>
      <c r="V953" s="221">
        <v>194.03382650865387</v>
      </c>
      <c r="W953" s="221">
        <v>2936.8398180902095</v>
      </c>
      <c r="X953" s="221">
        <v>0</v>
      </c>
      <c r="Y953" s="222">
        <v>0</v>
      </c>
      <c r="Z953" s="222">
        <v>0</v>
      </c>
      <c r="AA953" s="222">
        <v>0</v>
      </c>
      <c r="AB953" s="222">
        <v>0</v>
      </c>
      <c r="AC953" s="222">
        <v>0</v>
      </c>
      <c r="AD953" s="222">
        <v>0</v>
      </c>
      <c r="AE953" s="222">
        <v>896.9</v>
      </c>
      <c r="AF953" s="221">
        <v>2936.8398180902095</v>
      </c>
      <c r="AG953" s="222">
        <v>0</v>
      </c>
      <c r="AH953" s="221">
        <v>0</v>
      </c>
      <c r="AI953" s="222">
        <v>0</v>
      </c>
      <c r="AJ953" s="221">
        <v>0</v>
      </c>
      <c r="AK953" s="222">
        <v>0</v>
      </c>
      <c r="AL953" s="222">
        <v>0</v>
      </c>
      <c r="AM953" s="222">
        <v>0</v>
      </c>
      <c r="AN953" s="222"/>
      <c r="AO953" s="222">
        <v>0</v>
      </c>
    </row>
    <row r="954" spans="1:41" s="223" customFormat="1" ht="36" customHeight="1" x14ac:dyDescent="0.25">
      <c r="B954" s="215" t="s">
        <v>847</v>
      </c>
      <c r="C954" s="227"/>
      <c r="D954" s="217" t="s">
        <v>890</v>
      </c>
      <c r="E954" s="217" t="s">
        <v>890</v>
      </c>
      <c r="F954" s="217" t="s">
        <v>890</v>
      </c>
      <c r="G954" s="217" t="s">
        <v>890</v>
      </c>
      <c r="H954" s="217" t="s">
        <v>890</v>
      </c>
      <c r="I954" s="218">
        <f>SUM(I955:I957)</f>
        <v>4675.3</v>
      </c>
      <c r="J954" s="218">
        <f>SUM(J955:J957)</f>
        <v>3635.9999999999995</v>
      </c>
      <c r="K954" s="218">
        <f>SUM(K955:K957)</f>
        <v>3472.5999999999995</v>
      </c>
      <c r="L954" s="219">
        <f>SUM(L955:L957)</f>
        <v>143</v>
      </c>
      <c r="M954" s="217" t="s">
        <v>890</v>
      </c>
      <c r="N954" s="217" t="s">
        <v>890</v>
      </c>
      <c r="O954" s="220" t="s">
        <v>890</v>
      </c>
      <c r="P954" s="190">
        <v>8165392.25</v>
      </c>
      <c r="Q954" s="190">
        <f>SUM(Q955:Q957)</f>
        <v>0</v>
      </c>
      <c r="R954" s="190">
        <f>SUM(R955:R957)</f>
        <v>0</v>
      </c>
      <c r="S954" s="190">
        <f>SUM(S955:S957)</f>
        <v>8165392.25</v>
      </c>
      <c r="T954" s="190">
        <f t="shared" si="113"/>
        <v>1746.4958933116591</v>
      </c>
      <c r="U954" s="190">
        <f>MAX(U955:U957)</f>
        <v>6072.1782496782498</v>
      </c>
      <c r="V954" s="221">
        <f t="shared" si="115"/>
        <v>4325.6823563665912</v>
      </c>
      <c r="W954" s="221"/>
      <c r="X954" s="221"/>
      <c r="Y954" s="222"/>
      <c r="Z954" s="222"/>
      <c r="AA954" s="222"/>
      <c r="AB954" s="222"/>
      <c r="AC954" s="222"/>
      <c r="AD954" s="222"/>
      <c r="AE954" s="222"/>
      <c r="AF954" s="222"/>
      <c r="AG954" s="222"/>
      <c r="AH954" s="222"/>
      <c r="AI954" s="222"/>
      <c r="AJ954" s="222"/>
      <c r="AK954" s="222"/>
      <c r="AL954" s="222"/>
      <c r="AM954" s="222"/>
      <c r="AN954" s="222"/>
      <c r="AO954" s="222"/>
    </row>
    <row r="955" spans="1:41" s="223" customFormat="1" ht="36" customHeight="1" x14ac:dyDescent="0.25">
      <c r="A955" s="223">
        <v>1</v>
      </c>
      <c r="B955" s="225">
        <f>SUBTOTAL(103,$A$552:A955)</f>
        <v>359</v>
      </c>
      <c r="C955" s="215" t="s">
        <v>229</v>
      </c>
      <c r="D955" s="217">
        <v>1988</v>
      </c>
      <c r="E955" s="217"/>
      <c r="F955" s="226" t="s">
        <v>267</v>
      </c>
      <c r="G955" s="217">
        <v>5</v>
      </c>
      <c r="H955" s="217" t="s">
        <v>308</v>
      </c>
      <c r="I955" s="218">
        <v>3662.2</v>
      </c>
      <c r="J955" s="218">
        <v>2766.2</v>
      </c>
      <c r="K955" s="218">
        <v>2766.2</v>
      </c>
      <c r="L955" s="219">
        <v>110</v>
      </c>
      <c r="M955" s="217" t="s">
        <v>265</v>
      </c>
      <c r="N955" s="217" t="s">
        <v>269</v>
      </c>
      <c r="O955" s="220" t="s">
        <v>702</v>
      </c>
      <c r="P955" s="190">
        <v>4231329.66</v>
      </c>
      <c r="Q955" s="190">
        <v>0</v>
      </c>
      <c r="R955" s="190">
        <v>0</v>
      </c>
      <c r="S955" s="190">
        <f>P955-Q955-R955</f>
        <v>4231329.66</v>
      </c>
      <c r="T955" s="190">
        <f t="shared" si="113"/>
        <v>1155.4064933646443</v>
      </c>
      <c r="U955" s="190">
        <v>1524.6591120091748</v>
      </c>
      <c r="V955" s="221">
        <f t="shared" si="115"/>
        <v>369.25261864453046</v>
      </c>
      <c r="W955" s="221">
        <f>X955+Y955+Z955+AA955+AB955+AD955+AF955+AH955+AJ955+AL955+AN955+AO955</f>
        <v>1461.6855387472012</v>
      </c>
      <c r="X955" s="221">
        <v>0</v>
      </c>
      <c r="Y955" s="222">
        <v>0</v>
      </c>
      <c r="Z955" s="222">
        <v>0</v>
      </c>
      <c r="AA955" s="222">
        <v>0</v>
      </c>
      <c r="AB955" s="222">
        <v>0</v>
      </c>
      <c r="AC955" s="222">
        <v>0</v>
      </c>
      <c r="AD955" s="222">
        <v>0</v>
      </c>
      <c r="AE955" s="222">
        <v>858</v>
      </c>
      <c r="AF955" s="221">
        <f>6238.91*AE955/I955</f>
        <v>1461.6855387472012</v>
      </c>
      <c r="AG955" s="222">
        <v>0</v>
      </c>
      <c r="AH955" s="221">
        <v>0</v>
      </c>
      <c r="AI955" s="222">
        <v>0</v>
      </c>
      <c r="AJ955" s="221">
        <v>0</v>
      </c>
      <c r="AK955" s="222">
        <v>0</v>
      </c>
      <c r="AL955" s="222">
        <v>0</v>
      </c>
      <c r="AM955" s="222">
        <v>0</v>
      </c>
      <c r="AN955" s="222"/>
      <c r="AO955" s="222">
        <v>0</v>
      </c>
    </row>
    <row r="956" spans="1:41" s="223" customFormat="1" ht="36" customHeight="1" x14ac:dyDescent="0.25">
      <c r="A956" s="223">
        <v>1</v>
      </c>
      <c r="B956" s="225">
        <f>SUBTOTAL(103,$A$552:A956)</f>
        <v>360</v>
      </c>
      <c r="C956" s="215" t="s">
        <v>228</v>
      </c>
      <c r="D956" s="217">
        <v>1966</v>
      </c>
      <c r="E956" s="217"/>
      <c r="F956" s="226" t="s">
        <v>267</v>
      </c>
      <c r="G956" s="217">
        <v>2</v>
      </c>
      <c r="H956" s="217" t="s">
        <v>304</v>
      </c>
      <c r="I956" s="218">
        <v>391.5</v>
      </c>
      <c r="J956" s="218">
        <v>367.2</v>
      </c>
      <c r="K956" s="218">
        <v>367.2</v>
      </c>
      <c r="L956" s="219">
        <v>8</v>
      </c>
      <c r="M956" s="217" t="s">
        <v>265</v>
      </c>
      <c r="N956" s="217" t="s">
        <v>269</v>
      </c>
      <c r="O956" s="220" t="s">
        <v>702</v>
      </c>
      <c r="P956" s="190">
        <v>1801520.9999999998</v>
      </c>
      <c r="Q956" s="190">
        <v>0</v>
      </c>
      <c r="R956" s="190">
        <v>0</v>
      </c>
      <c r="S956" s="190">
        <f>P956-Q956-R956</f>
        <v>1801520.9999999998</v>
      </c>
      <c r="T956" s="190">
        <f t="shared" si="113"/>
        <v>4601.5862068965507</v>
      </c>
      <c r="U956" s="190">
        <v>5734.7547892720304</v>
      </c>
      <c r="V956" s="221">
        <f t="shared" si="115"/>
        <v>1133.1685823754797</v>
      </c>
      <c r="W956" s="221">
        <f>X956+Y956+Z956+AA956+AB956+AD956+AF956+AH956+AJ956+AL956+AN956+AO956</f>
        <v>5497.8900383141754</v>
      </c>
      <c r="X956" s="221">
        <v>0</v>
      </c>
      <c r="Y956" s="222">
        <v>0</v>
      </c>
      <c r="Z956" s="222">
        <v>0</v>
      </c>
      <c r="AA956" s="222">
        <v>0</v>
      </c>
      <c r="AB956" s="222">
        <v>0</v>
      </c>
      <c r="AC956" s="222">
        <v>0</v>
      </c>
      <c r="AD956" s="222">
        <v>0</v>
      </c>
      <c r="AE956" s="222">
        <v>345</v>
      </c>
      <c r="AF956" s="221">
        <f>6238.91*AE956/I956</f>
        <v>5497.8900383141754</v>
      </c>
      <c r="AG956" s="222">
        <v>0</v>
      </c>
      <c r="AH956" s="221">
        <v>0</v>
      </c>
      <c r="AI956" s="222">
        <v>0</v>
      </c>
      <c r="AJ956" s="221">
        <v>0</v>
      </c>
      <c r="AK956" s="222">
        <v>0</v>
      </c>
      <c r="AL956" s="222">
        <v>0</v>
      </c>
      <c r="AM956" s="222">
        <v>0</v>
      </c>
      <c r="AN956" s="222"/>
      <c r="AO956" s="222">
        <v>0</v>
      </c>
    </row>
    <row r="957" spans="1:41" s="223" customFormat="1" ht="36" customHeight="1" x14ac:dyDescent="0.25">
      <c r="A957" s="223">
        <v>1</v>
      </c>
      <c r="B957" s="225">
        <f>SUBTOTAL(103,$A$552:A957)</f>
        <v>361</v>
      </c>
      <c r="C957" s="215" t="s">
        <v>1906</v>
      </c>
      <c r="D957" s="217">
        <v>1987</v>
      </c>
      <c r="E957" s="217"/>
      <c r="F957" s="226" t="s">
        <v>267</v>
      </c>
      <c r="G957" s="217">
        <v>2</v>
      </c>
      <c r="H957" s="217" t="s">
        <v>303</v>
      </c>
      <c r="I957" s="218">
        <v>621.6</v>
      </c>
      <c r="J957" s="218">
        <v>502.6</v>
      </c>
      <c r="K957" s="218">
        <v>339.2</v>
      </c>
      <c r="L957" s="219">
        <v>25</v>
      </c>
      <c r="M957" s="217" t="s">
        <v>265</v>
      </c>
      <c r="N957" s="217" t="s">
        <v>266</v>
      </c>
      <c r="O957" s="220" t="s">
        <v>268</v>
      </c>
      <c r="P957" s="190">
        <v>2132541.59</v>
      </c>
      <c r="Q957" s="190">
        <v>0</v>
      </c>
      <c r="R957" s="190">
        <v>0</v>
      </c>
      <c r="S957" s="190">
        <f>P957-Q957-R957</f>
        <v>2132541.59</v>
      </c>
      <c r="T957" s="190">
        <f t="shared" si="113"/>
        <v>3430.7297136422135</v>
      </c>
      <c r="U957" s="190">
        <v>6072.1782496782498</v>
      </c>
      <c r="V957" s="221">
        <f t="shared" si="115"/>
        <v>2641.4485360360363</v>
      </c>
      <c r="W957" s="221">
        <f>X957+Y957+Z957+AA957+AB957+AD957+AF957+AH957+AJ957+AL957+AN957+AO957</f>
        <v>5821.3767696267687</v>
      </c>
      <c r="X957" s="221">
        <v>0</v>
      </c>
      <c r="Y957" s="222">
        <v>0</v>
      </c>
      <c r="Z957" s="222">
        <v>0</v>
      </c>
      <c r="AA957" s="222">
        <v>0</v>
      </c>
      <c r="AB957" s="222">
        <v>0</v>
      </c>
      <c r="AC957" s="222">
        <v>0</v>
      </c>
      <c r="AD957" s="222">
        <v>0</v>
      </c>
      <c r="AE957" s="222">
        <v>580</v>
      </c>
      <c r="AF957" s="221">
        <f>6238.91*AE957/I957</f>
        <v>5821.3767696267687</v>
      </c>
      <c r="AG957" s="222">
        <v>0</v>
      </c>
      <c r="AH957" s="221">
        <v>0</v>
      </c>
      <c r="AI957" s="222">
        <v>0</v>
      </c>
      <c r="AJ957" s="221">
        <v>0</v>
      </c>
      <c r="AK957" s="222">
        <v>0</v>
      </c>
      <c r="AL957" s="222">
        <v>0</v>
      </c>
      <c r="AM957" s="222">
        <v>0</v>
      </c>
      <c r="AN957" s="222"/>
      <c r="AO957" s="222">
        <v>0</v>
      </c>
    </row>
    <row r="958" spans="1:41" s="223" customFormat="1" ht="36" customHeight="1" x14ac:dyDescent="0.25">
      <c r="B958" s="215" t="s">
        <v>1288</v>
      </c>
      <c r="C958" s="227"/>
      <c r="D958" s="217" t="s">
        <v>890</v>
      </c>
      <c r="E958" s="217" t="s">
        <v>890</v>
      </c>
      <c r="F958" s="217" t="s">
        <v>890</v>
      </c>
      <c r="G958" s="217" t="s">
        <v>890</v>
      </c>
      <c r="H958" s="217" t="s">
        <v>890</v>
      </c>
      <c r="I958" s="218">
        <f>I959</f>
        <v>953.9</v>
      </c>
      <c r="J958" s="218">
        <f>J959</f>
        <v>865.7</v>
      </c>
      <c r="K958" s="218">
        <f>K959</f>
        <v>857.7</v>
      </c>
      <c r="L958" s="219">
        <f>L959</f>
        <v>28</v>
      </c>
      <c r="M958" s="217" t="s">
        <v>890</v>
      </c>
      <c r="N958" s="217" t="s">
        <v>890</v>
      </c>
      <c r="O958" s="220" t="s">
        <v>890</v>
      </c>
      <c r="P958" s="190">
        <v>4934808.4300000006</v>
      </c>
      <c r="Q958" s="190">
        <f>Q959</f>
        <v>0</v>
      </c>
      <c r="R958" s="190">
        <f>R959</f>
        <v>0</v>
      </c>
      <c r="S958" s="190">
        <f>S959</f>
        <v>4934808.4300000006</v>
      </c>
      <c r="T958" s="190">
        <f t="shared" si="113"/>
        <v>5173.2974420798837</v>
      </c>
      <c r="U958" s="190">
        <f>U959</f>
        <v>5253.0967606667364</v>
      </c>
      <c r="V958" s="221">
        <f>U958-T958</f>
        <v>79.799318586852678</v>
      </c>
      <c r="W958" s="221"/>
      <c r="X958" s="221"/>
      <c r="Y958" s="222"/>
      <c r="Z958" s="222"/>
      <c r="AA958" s="222"/>
      <c r="AB958" s="222"/>
      <c r="AC958" s="222"/>
      <c r="AD958" s="222"/>
      <c r="AE958" s="222"/>
      <c r="AF958" s="222"/>
      <c r="AG958" s="222"/>
      <c r="AH958" s="222"/>
      <c r="AI958" s="222"/>
      <c r="AJ958" s="222"/>
      <c r="AK958" s="222"/>
      <c r="AL958" s="222"/>
      <c r="AM958" s="222"/>
      <c r="AN958" s="222"/>
      <c r="AO958" s="222"/>
    </row>
    <row r="959" spans="1:41" s="223" customFormat="1" ht="36" customHeight="1" x14ac:dyDescent="0.25">
      <c r="A959" s="223">
        <v>1</v>
      </c>
      <c r="B959" s="225">
        <f>SUBTOTAL(103,$A$552:A959)</f>
        <v>362</v>
      </c>
      <c r="C959" s="215" t="s">
        <v>1289</v>
      </c>
      <c r="D959" s="217">
        <v>1984</v>
      </c>
      <c r="E959" s="217"/>
      <c r="F959" s="226" t="s">
        <v>267</v>
      </c>
      <c r="G959" s="217">
        <v>2</v>
      </c>
      <c r="H959" s="217" t="s">
        <v>312</v>
      </c>
      <c r="I959" s="218">
        <v>953.9</v>
      </c>
      <c r="J959" s="218">
        <v>865.7</v>
      </c>
      <c r="K959" s="218">
        <v>857.7</v>
      </c>
      <c r="L959" s="219">
        <v>28</v>
      </c>
      <c r="M959" s="217" t="s">
        <v>265</v>
      </c>
      <c r="N959" s="217" t="s">
        <v>266</v>
      </c>
      <c r="O959" s="220" t="s">
        <v>268</v>
      </c>
      <c r="P959" s="190">
        <v>4934808.4300000006</v>
      </c>
      <c r="Q959" s="190">
        <v>0</v>
      </c>
      <c r="R959" s="190">
        <v>0</v>
      </c>
      <c r="S959" s="190">
        <f>P959-Q959-R959</f>
        <v>4934808.4300000006</v>
      </c>
      <c r="T959" s="190">
        <f t="shared" si="113"/>
        <v>5173.2974420798837</v>
      </c>
      <c r="U959" s="190">
        <v>5253.0967606667364</v>
      </c>
      <c r="V959" s="221">
        <f>U959-T959</f>
        <v>79.799318586852678</v>
      </c>
      <c r="W959" s="221">
        <f>X959+Y959+Z959+AA959+AB959+AD959+AF959+AH959+AJ959+AL959+AN959+AO959</f>
        <v>2757.4370573435372</v>
      </c>
      <c r="X959" s="221">
        <v>0</v>
      </c>
      <c r="Y959" s="222">
        <v>0</v>
      </c>
      <c r="Z959" s="222">
        <v>0</v>
      </c>
      <c r="AA959" s="222">
        <v>0</v>
      </c>
      <c r="AB959" s="222">
        <v>795.31</v>
      </c>
      <c r="AC959" s="222">
        <v>0</v>
      </c>
      <c r="AD959" s="222">
        <v>0</v>
      </c>
      <c r="AE959" s="222">
        <v>300</v>
      </c>
      <c r="AF959" s="221">
        <f>6238.91*AE959/I959</f>
        <v>1962.1270573435372</v>
      </c>
      <c r="AG959" s="222">
        <v>0</v>
      </c>
      <c r="AH959" s="221">
        <v>0</v>
      </c>
      <c r="AI959" s="222">
        <v>0</v>
      </c>
      <c r="AJ959" s="221">
        <v>0</v>
      </c>
      <c r="AK959" s="222">
        <v>0</v>
      </c>
      <c r="AL959" s="222">
        <v>0</v>
      </c>
      <c r="AM959" s="222">
        <v>0</v>
      </c>
      <c r="AN959" s="222"/>
      <c r="AO959" s="222">
        <v>0</v>
      </c>
    </row>
    <row r="960" spans="1:41" s="223" customFormat="1" ht="36" customHeight="1" x14ac:dyDescent="0.25">
      <c r="B960" s="215" t="s">
        <v>849</v>
      </c>
      <c r="C960" s="227"/>
      <c r="D960" s="217" t="s">
        <v>890</v>
      </c>
      <c r="E960" s="217" t="s">
        <v>890</v>
      </c>
      <c r="F960" s="217" t="s">
        <v>890</v>
      </c>
      <c r="G960" s="217" t="s">
        <v>890</v>
      </c>
      <c r="H960" s="217" t="s">
        <v>890</v>
      </c>
      <c r="I960" s="218">
        <f>SUM(I961:I962)</f>
        <v>1991.7200000000003</v>
      </c>
      <c r="J960" s="218">
        <f>SUM(J961:J962)</f>
        <v>1312.72</v>
      </c>
      <c r="K960" s="218">
        <f>SUM(K961:K962)</f>
        <v>433.34000000000003</v>
      </c>
      <c r="L960" s="219">
        <f>SUM(L961:L962)</f>
        <v>99</v>
      </c>
      <c r="M960" s="217" t="s">
        <v>890</v>
      </c>
      <c r="N960" s="217" t="s">
        <v>890</v>
      </c>
      <c r="O960" s="220" t="s">
        <v>890</v>
      </c>
      <c r="P960" s="190">
        <v>7040608.0200000005</v>
      </c>
      <c r="Q960" s="190">
        <f>SUM(Q961:Q962)</f>
        <v>0</v>
      </c>
      <c r="R960" s="190">
        <f>SUM(R961:R962)</f>
        <v>0</v>
      </c>
      <c r="S960" s="190">
        <f>SUM(S961:S962)</f>
        <v>7040608.0200000005</v>
      </c>
      <c r="T960" s="190">
        <f t="shared" si="113"/>
        <v>3534.938656035989</v>
      </c>
      <c r="U960" s="190">
        <f>MAX(U961:U962)</f>
        <v>4409.3156708472179</v>
      </c>
      <c r="V960" s="221">
        <f t="shared" si="115"/>
        <v>874.37701481122895</v>
      </c>
      <c r="W960" s="221"/>
      <c r="X960" s="221"/>
      <c r="Y960" s="222"/>
      <c r="Z960" s="222"/>
      <c r="AA960" s="222"/>
      <c r="AB960" s="222"/>
      <c r="AC960" s="222"/>
      <c r="AD960" s="222"/>
      <c r="AE960" s="222"/>
      <c r="AF960" s="222"/>
      <c r="AG960" s="222"/>
      <c r="AH960" s="222"/>
      <c r="AI960" s="222"/>
      <c r="AJ960" s="222"/>
      <c r="AK960" s="222"/>
      <c r="AL960" s="222"/>
      <c r="AM960" s="222"/>
      <c r="AN960" s="222"/>
      <c r="AO960" s="222"/>
    </row>
    <row r="961" spans="1:41" s="223" customFormat="1" ht="36" customHeight="1" x14ac:dyDescent="0.25">
      <c r="A961" s="223">
        <v>1</v>
      </c>
      <c r="B961" s="225">
        <f>SUBTOTAL(103,$A$552:A961)</f>
        <v>363</v>
      </c>
      <c r="C961" s="215" t="s">
        <v>149</v>
      </c>
      <c r="D961" s="217">
        <v>1968</v>
      </c>
      <c r="E961" s="217"/>
      <c r="F961" s="226" t="s">
        <v>267</v>
      </c>
      <c r="G961" s="217">
        <v>2</v>
      </c>
      <c r="H961" s="217" t="s">
        <v>304</v>
      </c>
      <c r="I961" s="218">
        <v>545.34</v>
      </c>
      <c r="J961" s="218">
        <v>316.54000000000002</v>
      </c>
      <c r="K961" s="218">
        <v>204.04</v>
      </c>
      <c r="L961" s="219">
        <v>21</v>
      </c>
      <c r="M961" s="217" t="s">
        <v>265</v>
      </c>
      <c r="N961" s="217" t="s">
        <v>269</v>
      </c>
      <c r="O961" s="220" t="s">
        <v>993</v>
      </c>
      <c r="P961" s="190">
        <v>1822040.62</v>
      </c>
      <c r="Q961" s="190">
        <v>0</v>
      </c>
      <c r="R961" s="190">
        <v>0</v>
      </c>
      <c r="S961" s="190">
        <f>P961-Q961-R961</f>
        <v>1822040.62</v>
      </c>
      <c r="T961" s="190">
        <f t="shared" si="113"/>
        <v>3341.1094363149596</v>
      </c>
      <c r="U961" s="190">
        <v>4390.4467972274178</v>
      </c>
      <c r="V961" s="221">
        <f>U961-T961</f>
        <v>1049.3373609124583</v>
      </c>
      <c r="W961" s="221">
        <f>X961+Y961+Z961+AA961+AB961+AD961+AF961+AH961+AJ961+AL961+AN961+AO961</f>
        <v>4227.4312454615465</v>
      </c>
      <c r="X961" s="221">
        <v>0</v>
      </c>
      <c r="Y961" s="222">
        <v>0</v>
      </c>
      <c r="Z961" s="222">
        <v>0</v>
      </c>
      <c r="AA961" s="222">
        <v>0</v>
      </c>
      <c r="AB961" s="222">
        <v>795.31</v>
      </c>
      <c r="AC961" s="222">
        <v>0</v>
      </c>
      <c r="AD961" s="222">
        <v>0</v>
      </c>
      <c r="AE961" s="222">
        <v>300</v>
      </c>
      <c r="AF961" s="221">
        <f>6238.91*AE961/I961</f>
        <v>3432.1212454615466</v>
      </c>
      <c r="AG961" s="222">
        <v>0</v>
      </c>
      <c r="AH961" s="221">
        <v>0</v>
      </c>
      <c r="AI961" s="222">
        <v>0</v>
      </c>
      <c r="AJ961" s="221">
        <v>0</v>
      </c>
      <c r="AK961" s="222">
        <v>0</v>
      </c>
      <c r="AL961" s="222">
        <v>0</v>
      </c>
      <c r="AM961" s="222">
        <v>0</v>
      </c>
      <c r="AN961" s="222"/>
      <c r="AO961" s="222">
        <v>0</v>
      </c>
    </row>
    <row r="962" spans="1:41" s="223" customFormat="1" ht="36" customHeight="1" x14ac:dyDescent="0.25">
      <c r="A962" s="223">
        <v>1</v>
      </c>
      <c r="B962" s="225">
        <f>SUBTOTAL(103,$A$552:A962)</f>
        <v>364</v>
      </c>
      <c r="C962" s="215" t="s">
        <v>139</v>
      </c>
      <c r="D962" s="217">
        <v>1969</v>
      </c>
      <c r="E962" s="217"/>
      <c r="F962" s="226" t="s">
        <v>267</v>
      </c>
      <c r="G962" s="217">
        <v>2</v>
      </c>
      <c r="H962" s="217" t="s">
        <v>304</v>
      </c>
      <c r="I962" s="218">
        <v>1446.38</v>
      </c>
      <c r="J962" s="218">
        <v>996.18</v>
      </c>
      <c r="K962" s="218">
        <v>229.3</v>
      </c>
      <c r="L962" s="219">
        <v>78</v>
      </c>
      <c r="M962" s="217" t="s">
        <v>265</v>
      </c>
      <c r="N962" s="217" t="s">
        <v>269</v>
      </c>
      <c r="O962" s="220" t="s">
        <v>993</v>
      </c>
      <c r="P962" s="190">
        <v>5218567.4000000004</v>
      </c>
      <c r="Q962" s="190">
        <v>0</v>
      </c>
      <c r="R962" s="190">
        <v>0</v>
      </c>
      <c r="S962" s="190">
        <f>P962-Q962-R962</f>
        <v>5218567.4000000004</v>
      </c>
      <c r="T962" s="190">
        <f t="shared" si="113"/>
        <v>3608.0196075720073</v>
      </c>
      <c r="U962" s="190">
        <v>4409.3156708472179</v>
      </c>
      <c r="V962" s="221">
        <f>U962-T962</f>
        <v>801.2960632752106</v>
      </c>
      <c r="W962" s="221">
        <f>X962+Y962+Z962+AA962+AB962+AD962+AF962+AH962+AJ962+AL962+AN962+AO962</f>
        <v>2089.3496023175098</v>
      </c>
      <c r="X962" s="221">
        <v>0</v>
      </c>
      <c r="Y962" s="222">
        <v>0</v>
      </c>
      <c r="Z962" s="222">
        <v>0</v>
      </c>
      <c r="AA962" s="222">
        <v>0</v>
      </c>
      <c r="AB962" s="222">
        <v>795.31</v>
      </c>
      <c r="AC962" s="222">
        <v>0</v>
      </c>
      <c r="AD962" s="222">
        <v>0</v>
      </c>
      <c r="AE962" s="222">
        <v>300</v>
      </c>
      <c r="AF962" s="221">
        <f>6238.91*AE962/I962</f>
        <v>1294.0396023175099</v>
      </c>
      <c r="AG962" s="222">
        <v>0</v>
      </c>
      <c r="AH962" s="221">
        <v>0</v>
      </c>
      <c r="AI962" s="222">
        <v>0</v>
      </c>
      <c r="AJ962" s="221">
        <v>0</v>
      </c>
      <c r="AK962" s="222">
        <v>0</v>
      </c>
      <c r="AL962" s="222">
        <v>0</v>
      </c>
      <c r="AM962" s="222">
        <v>0</v>
      </c>
      <c r="AN962" s="222"/>
      <c r="AO962" s="222">
        <v>0</v>
      </c>
    </row>
    <row r="963" spans="1:41" s="223" customFormat="1" ht="36" customHeight="1" x14ac:dyDescent="0.25">
      <c r="B963" s="215" t="s">
        <v>877</v>
      </c>
      <c r="C963" s="215"/>
      <c r="D963" s="217" t="s">
        <v>890</v>
      </c>
      <c r="E963" s="217" t="s">
        <v>890</v>
      </c>
      <c r="F963" s="217" t="s">
        <v>890</v>
      </c>
      <c r="G963" s="217" t="s">
        <v>890</v>
      </c>
      <c r="H963" s="217" t="s">
        <v>890</v>
      </c>
      <c r="I963" s="218">
        <f>I964</f>
        <v>938.37</v>
      </c>
      <c r="J963" s="218">
        <f>J964</f>
        <v>938.37</v>
      </c>
      <c r="K963" s="218">
        <f>K964</f>
        <v>458.1</v>
      </c>
      <c r="L963" s="219">
        <f>L964</f>
        <v>47</v>
      </c>
      <c r="M963" s="217" t="s">
        <v>890</v>
      </c>
      <c r="N963" s="217" t="s">
        <v>890</v>
      </c>
      <c r="O963" s="220" t="s">
        <v>890</v>
      </c>
      <c r="P963" s="190">
        <v>3974620.0799999996</v>
      </c>
      <c r="Q963" s="190">
        <f>Q964</f>
        <v>0</v>
      </c>
      <c r="R963" s="190">
        <f>R964</f>
        <v>0</v>
      </c>
      <c r="S963" s="190">
        <f>S964</f>
        <v>3974620.0799999996</v>
      </c>
      <c r="T963" s="190">
        <f t="shared" si="113"/>
        <v>4235.6640557562578</v>
      </c>
      <c r="U963" s="190">
        <f>U964</f>
        <v>4577.1731832859105</v>
      </c>
      <c r="V963" s="221">
        <f t="shared" si="115"/>
        <v>341.50912752965269</v>
      </c>
      <c r="W963" s="221"/>
      <c r="X963" s="221"/>
      <c r="Y963" s="222"/>
      <c r="Z963" s="222"/>
      <c r="AA963" s="222"/>
      <c r="AB963" s="222"/>
      <c r="AC963" s="222"/>
      <c r="AD963" s="222"/>
      <c r="AE963" s="222"/>
      <c r="AF963" s="222"/>
      <c r="AG963" s="222"/>
      <c r="AH963" s="222"/>
      <c r="AI963" s="222"/>
      <c r="AJ963" s="222"/>
      <c r="AK963" s="222"/>
      <c r="AL963" s="222"/>
      <c r="AM963" s="222"/>
      <c r="AN963" s="222"/>
      <c r="AO963" s="222"/>
    </row>
    <row r="964" spans="1:41" s="223" customFormat="1" ht="36" customHeight="1" x14ac:dyDescent="0.25">
      <c r="A964" s="223">
        <v>1</v>
      </c>
      <c r="B964" s="225">
        <f>SUBTOTAL(103,$A$552:A964)</f>
        <v>365</v>
      </c>
      <c r="C964" s="215" t="s">
        <v>150</v>
      </c>
      <c r="D964" s="217">
        <v>1979</v>
      </c>
      <c r="E964" s="217"/>
      <c r="F964" s="226" t="s">
        <v>267</v>
      </c>
      <c r="G964" s="217">
        <v>2</v>
      </c>
      <c r="H964" s="217" t="s">
        <v>312</v>
      </c>
      <c r="I964" s="218">
        <v>938.37</v>
      </c>
      <c r="J964" s="218">
        <v>938.37</v>
      </c>
      <c r="K964" s="218">
        <v>458.1</v>
      </c>
      <c r="L964" s="219">
        <v>47</v>
      </c>
      <c r="M964" s="217" t="s">
        <v>265</v>
      </c>
      <c r="N964" s="217" t="s">
        <v>269</v>
      </c>
      <c r="O964" s="220" t="s">
        <v>288</v>
      </c>
      <c r="P964" s="190">
        <v>3974620.0799999996</v>
      </c>
      <c r="Q964" s="190">
        <v>0</v>
      </c>
      <c r="R964" s="190">
        <v>0</v>
      </c>
      <c r="S964" s="190">
        <f>P964-Q964-R964</f>
        <v>3974620.0799999996</v>
      </c>
      <c r="T964" s="190">
        <f t="shared" si="113"/>
        <v>4235.6640557562578</v>
      </c>
      <c r="U964" s="190">
        <v>4577.1731832859105</v>
      </c>
      <c r="V964" s="221">
        <f>U964-T964</f>
        <v>341.50912752965269</v>
      </c>
      <c r="W964" s="221">
        <f>X964+Y964+Z964+AA964+AB964+AD964+AF964+AH964+AJ964+AL964+AN964+AO964</f>
        <v>4388.1462730261565</v>
      </c>
      <c r="X964" s="221">
        <v>0</v>
      </c>
      <c r="Y964" s="222">
        <v>0</v>
      </c>
      <c r="Z964" s="222">
        <v>0</v>
      </c>
      <c r="AA964" s="222">
        <v>0</v>
      </c>
      <c r="AB964" s="222">
        <v>0</v>
      </c>
      <c r="AC964" s="222">
        <v>0</v>
      </c>
      <c r="AD964" s="222">
        <v>0</v>
      </c>
      <c r="AE964" s="222">
        <v>660.00388180300001</v>
      </c>
      <c r="AF964" s="221">
        <f>6238.91*AE964/I964</f>
        <v>4388.1462730261565</v>
      </c>
      <c r="AG964" s="222">
        <v>0</v>
      </c>
      <c r="AH964" s="221">
        <v>0</v>
      </c>
      <c r="AI964" s="222">
        <v>0</v>
      </c>
      <c r="AJ964" s="221">
        <v>0</v>
      </c>
      <c r="AK964" s="222">
        <v>0</v>
      </c>
      <c r="AL964" s="222">
        <v>0</v>
      </c>
      <c r="AM964" s="222">
        <v>0</v>
      </c>
      <c r="AN964" s="222"/>
      <c r="AO964" s="222">
        <v>0</v>
      </c>
    </row>
    <row r="965" spans="1:41" s="223" customFormat="1" ht="36" customHeight="1" x14ac:dyDescent="0.25">
      <c r="B965" s="215" t="s">
        <v>878</v>
      </c>
      <c r="C965" s="215"/>
      <c r="D965" s="217" t="s">
        <v>890</v>
      </c>
      <c r="E965" s="217" t="s">
        <v>890</v>
      </c>
      <c r="F965" s="217" t="s">
        <v>890</v>
      </c>
      <c r="G965" s="217" t="s">
        <v>890</v>
      </c>
      <c r="H965" s="217" t="s">
        <v>890</v>
      </c>
      <c r="I965" s="218">
        <f>I966</f>
        <v>1367.9</v>
      </c>
      <c r="J965" s="218">
        <f>J966</f>
        <v>926.7</v>
      </c>
      <c r="K965" s="218">
        <f>K966</f>
        <v>324.89999999999998</v>
      </c>
      <c r="L965" s="219">
        <f>L966</f>
        <v>78</v>
      </c>
      <c r="M965" s="217" t="s">
        <v>890</v>
      </c>
      <c r="N965" s="217" t="s">
        <v>890</v>
      </c>
      <c r="O965" s="220" t="s">
        <v>890</v>
      </c>
      <c r="P965" s="190">
        <v>3001841.1700000004</v>
      </c>
      <c r="Q965" s="190">
        <f>Q966</f>
        <v>0</v>
      </c>
      <c r="R965" s="190">
        <f>R966</f>
        <v>0</v>
      </c>
      <c r="S965" s="190">
        <f>S966</f>
        <v>3001841.1700000004</v>
      </c>
      <c r="T965" s="190">
        <f t="shared" si="113"/>
        <v>2194.4887564880473</v>
      </c>
      <c r="U965" s="190">
        <f>U966</f>
        <v>2854.4630455442648</v>
      </c>
      <c r="V965" s="221">
        <f t="shared" si="115"/>
        <v>659.97428905621746</v>
      </c>
      <c r="W965" s="221"/>
      <c r="X965" s="221"/>
      <c r="Y965" s="222"/>
      <c r="Z965" s="222"/>
      <c r="AA965" s="222"/>
      <c r="AB965" s="222"/>
      <c r="AC965" s="222"/>
      <c r="AD965" s="222"/>
      <c r="AE965" s="222"/>
      <c r="AF965" s="222"/>
      <c r="AG965" s="222"/>
      <c r="AH965" s="222"/>
      <c r="AI965" s="222"/>
      <c r="AJ965" s="222"/>
      <c r="AK965" s="222"/>
      <c r="AL965" s="222"/>
      <c r="AM965" s="222"/>
      <c r="AN965" s="222"/>
      <c r="AO965" s="222"/>
    </row>
    <row r="966" spans="1:41" s="223" customFormat="1" ht="36" customHeight="1" x14ac:dyDescent="0.25">
      <c r="A966" s="223">
        <v>1</v>
      </c>
      <c r="B966" s="225">
        <f>SUBTOTAL(103,$A$552:A966)</f>
        <v>366</v>
      </c>
      <c r="C966" s="215" t="s">
        <v>155</v>
      </c>
      <c r="D966" s="217">
        <v>1974</v>
      </c>
      <c r="E966" s="217"/>
      <c r="F966" s="226" t="s">
        <v>267</v>
      </c>
      <c r="G966" s="217">
        <v>2</v>
      </c>
      <c r="H966" s="217" t="s">
        <v>304</v>
      </c>
      <c r="I966" s="218">
        <v>1367.9</v>
      </c>
      <c r="J966" s="218">
        <v>926.7</v>
      </c>
      <c r="K966" s="218">
        <v>324.89999999999998</v>
      </c>
      <c r="L966" s="219">
        <v>78</v>
      </c>
      <c r="M966" s="217" t="s">
        <v>265</v>
      </c>
      <c r="N966" s="217" t="s">
        <v>269</v>
      </c>
      <c r="O966" s="220" t="s">
        <v>993</v>
      </c>
      <c r="P966" s="190">
        <v>3001841.1700000004</v>
      </c>
      <c r="Q966" s="190">
        <v>0</v>
      </c>
      <c r="R966" s="190">
        <v>0</v>
      </c>
      <c r="S966" s="190">
        <f>P966-Q966-R966</f>
        <v>3001841.1700000004</v>
      </c>
      <c r="T966" s="190">
        <f t="shared" si="113"/>
        <v>2194.4887564880473</v>
      </c>
      <c r="U966" s="190">
        <v>2854.4630455442648</v>
      </c>
      <c r="V966" s="221">
        <f>U966-T966</f>
        <v>659.97428905621746</v>
      </c>
      <c r="W966" s="221">
        <f>X966+Y966+Z966+AA966+AB966+AD966+AF966+AH966+AJ966+AL966+AN966+AO966</f>
        <v>2736.5640763213682</v>
      </c>
      <c r="X966" s="221">
        <v>0</v>
      </c>
      <c r="Y966" s="222">
        <v>0</v>
      </c>
      <c r="Z966" s="222">
        <v>0</v>
      </c>
      <c r="AA966" s="222">
        <v>0</v>
      </c>
      <c r="AB966" s="222">
        <v>0</v>
      </c>
      <c r="AC966" s="222">
        <v>0</v>
      </c>
      <c r="AD966" s="222">
        <v>0</v>
      </c>
      <c r="AE966" s="222">
        <v>600</v>
      </c>
      <c r="AF966" s="221">
        <f>6238.91*AE966/I966</f>
        <v>2736.5640763213682</v>
      </c>
      <c r="AG966" s="222">
        <v>0</v>
      </c>
      <c r="AH966" s="221">
        <v>0</v>
      </c>
      <c r="AI966" s="222">
        <v>0</v>
      </c>
      <c r="AJ966" s="221">
        <v>0</v>
      </c>
      <c r="AK966" s="222">
        <v>0</v>
      </c>
      <c r="AL966" s="222">
        <v>0</v>
      </c>
      <c r="AM966" s="222">
        <v>0</v>
      </c>
      <c r="AN966" s="222"/>
      <c r="AO966" s="222">
        <v>0</v>
      </c>
    </row>
    <row r="967" spans="1:41" s="223" customFormat="1" ht="36" customHeight="1" x14ac:dyDescent="0.25">
      <c r="B967" s="215" t="s">
        <v>850</v>
      </c>
      <c r="C967" s="215"/>
      <c r="D967" s="217" t="s">
        <v>890</v>
      </c>
      <c r="E967" s="217" t="s">
        <v>890</v>
      </c>
      <c r="F967" s="217" t="s">
        <v>890</v>
      </c>
      <c r="G967" s="217" t="s">
        <v>890</v>
      </c>
      <c r="H967" s="217" t="s">
        <v>890</v>
      </c>
      <c r="I967" s="218">
        <f>I968</f>
        <v>676.3</v>
      </c>
      <c r="J967" s="218">
        <f>J968</f>
        <v>633.29999999999995</v>
      </c>
      <c r="K967" s="218">
        <f>K968</f>
        <v>546.79</v>
      </c>
      <c r="L967" s="219">
        <f>L968</f>
        <v>32</v>
      </c>
      <c r="M967" s="217" t="s">
        <v>890</v>
      </c>
      <c r="N967" s="217" t="s">
        <v>890</v>
      </c>
      <c r="O967" s="220" t="s">
        <v>890</v>
      </c>
      <c r="P967" s="190">
        <v>2594808.33</v>
      </c>
      <c r="Q967" s="190">
        <f>Q968</f>
        <v>0</v>
      </c>
      <c r="R967" s="190">
        <f>R968</f>
        <v>0</v>
      </c>
      <c r="S967" s="190">
        <f>S968</f>
        <v>2594808.33</v>
      </c>
      <c r="T967" s="190">
        <f t="shared" si="113"/>
        <v>3836.7711518556857</v>
      </c>
      <c r="U967" s="190">
        <f>U968</f>
        <v>6053.5177731775839</v>
      </c>
      <c r="V967" s="221">
        <f>U967-T967</f>
        <v>2216.7466213218981</v>
      </c>
      <c r="W967" s="221"/>
      <c r="X967" s="221"/>
      <c r="Y967" s="222"/>
      <c r="Z967" s="222"/>
      <c r="AA967" s="222"/>
      <c r="AB967" s="222"/>
      <c r="AC967" s="222"/>
      <c r="AD967" s="222"/>
      <c r="AE967" s="222"/>
      <c r="AF967" s="222"/>
      <c r="AG967" s="222"/>
      <c r="AH967" s="222"/>
      <c r="AI967" s="222"/>
      <c r="AJ967" s="222"/>
      <c r="AK967" s="222"/>
      <c r="AL967" s="222"/>
      <c r="AM967" s="222"/>
      <c r="AN967" s="222"/>
      <c r="AO967" s="222"/>
    </row>
    <row r="968" spans="1:41" s="223" customFormat="1" ht="36" customHeight="1" x14ac:dyDescent="0.25">
      <c r="A968" s="223">
        <v>1</v>
      </c>
      <c r="B968" s="225">
        <f>SUBTOTAL(103,$A$552:A968)</f>
        <v>367</v>
      </c>
      <c r="C968" s="215" t="s">
        <v>144</v>
      </c>
      <c r="D968" s="217">
        <v>1965</v>
      </c>
      <c r="E968" s="217"/>
      <c r="F968" s="226" t="s">
        <v>267</v>
      </c>
      <c r="G968" s="217">
        <v>2</v>
      </c>
      <c r="H968" s="217" t="s">
        <v>303</v>
      </c>
      <c r="I968" s="218">
        <v>676.3</v>
      </c>
      <c r="J968" s="218">
        <v>633.29999999999995</v>
      </c>
      <c r="K968" s="218">
        <v>546.79</v>
      </c>
      <c r="L968" s="219">
        <v>32</v>
      </c>
      <c r="M968" s="217" t="s">
        <v>265</v>
      </c>
      <c r="N968" s="217" t="s">
        <v>269</v>
      </c>
      <c r="O968" s="220" t="s">
        <v>288</v>
      </c>
      <c r="P968" s="190">
        <v>2594808.33</v>
      </c>
      <c r="Q968" s="190">
        <v>0</v>
      </c>
      <c r="R968" s="190">
        <v>0</v>
      </c>
      <c r="S968" s="190">
        <f>P968-Q968-R968</f>
        <v>2594808.33</v>
      </c>
      <c r="T968" s="190">
        <f t="shared" si="113"/>
        <v>3836.7711518556857</v>
      </c>
      <c r="U968" s="190">
        <v>6053.5177731775839</v>
      </c>
      <c r="V968" s="221">
        <f>U968-T968</f>
        <v>2216.7466213218981</v>
      </c>
      <c r="W968" s="221">
        <f>X968+Y968+Z968+AA968+AB968+AD968+AF968+AH968+AJ968+AL968+AN968+AO968</f>
        <v>5535.0377051604319</v>
      </c>
      <c r="X968" s="221">
        <v>0</v>
      </c>
      <c r="Y968" s="222">
        <v>0</v>
      </c>
      <c r="Z968" s="222">
        <v>0</v>
      </c>
      <c r="AA968" s="222">
        <v>0</v>
      </c>
      <c r="AB968" s="222">
        <v>0</v>
      </c>
      <c r="AC968" s="222">
        <v>0</v>
      </c>
      <c r="AD968" s="222">
        <v>0</v>
      </c>
      <c r="AE968" s="222">
        <v>600</v>
      </c>
      <c r="AF968" s="221">
        <f>6238.91*AE968/I968</f>
        <v>5535.0377051604319</v>
      </c>
      <c r="AG968" s="222">
        <v>0</v>
      </c>
      <c r="AH968" s="221">
        <v>0</v>
      </c>
      <c r="AI968" s="222">
        <v>0</v>
      </c>
      <c r="AJ968" s="221">
        <v>0</v>
      </c>
      <c r="AK968" s="222">
        <v>0</v>
      </c>
      <c r="AL968" s="222">
        <v>0</v>
      </c>
      <c r="AM968" s="222">
        <v>0</v>
      </c>
      <c r="AN968" s="222"/>
      <c r="AO968" s="222">
        <v>0</v>
      </c>
    </row>
    <row r="969" spans="1:41" s="223" customFormat="1" ht="36" customHeight="1" x14ac:dyDescent="0.25">
      <c r="B969" s="215" t="s">
        <v>851</v>
      </c>
      <c r="C969" s="215"/>
      <c r="D969" s="217" t="s">
        <v>890</v>
      </c>
      <c r="E969" s="217" t="s">
        <v>890</v>
      </c>
      <c r="F969" s="217" t="s">
        <v>890</v>
      </c>
      <c r="G969" s="217" t="s">
        <v>890</v>
      </c>
      <c r="H969" s="217" t="s">
        <v>890</v>
      </c>
      <c r="I969" s="218">
        <f>SUM(I970:I972)</f>
        <v>4397.6899999999996</v>
      </c>
      <c r="J969" s="218">
        <f>SUM(J970:J972)</f>
        <v>4258.3</v>
      </c>
      <c r="K969" s="218">
        <f>SUM(K970:K972)</f>
        <v>2465.9899999999998</v>
      </c>
      <c r="L969" s="219">
        <f>SUM(L970:L972)</f>
        <v>167</v>
      </c>
      <c r="M969" s="217" t="s">
        <v>890</v>
      </c>
      <c r="N969" s="217" t="s">
        <v>890</v>
      </c>
      <c r="O969" s="220" t="s">
        <v>890</v>
      </c>
      <c r="P969" s="190">
        <v>12428636.060000001</v>
      </c>
      <c r="Q969" s="190">
        <f>SUM(Q970:Q972)</f>
        <v>0</v>
      </c>
      <c r="R969" s="190">
        <f>SUM(R970:R972)</f>
        <v>0</v>
      </c>
      <c r="S969" s="190">
        <f>SUM(S970:S972)</f>
        <v>12428636.060000001</v>
      </c>
      <c r="T969" s="190">
        <f t="shared" si="113"/>
        <v>2826.1737548576643</v>
      </c>
      <c r="U969" s="190">
        <f>MAX(U970:U972)</f>
        <v>4841.4302667663915</v>
      </c>
      <c r="V969" s="221">
        <f t="shared" si="115"/>
        <v>2015.2565119087271</v>
      </c>
      <c r="W969" s="221"/>
      <c r="X969" s="221"/>
      <c r="Y969" s="222"/>
      <c r="Z969" s="222"/>
      <c r="AA969" s="222"/>
      <c r="AB969" s="222"/>
      <c r="AC969" s="222"/>
      <c r="AD969" s="222"/>
      <c r="AE969" s="222"/>
      <c r="AF969" s="222"/>
      <c r="AG969" s="222"/>
      <c r="AH969" s="222"/>
      <c r="AI969" s="222"/>
      <c r="AJ969" s="222"/>
      <c r="AK969" s="222"/>
      <c r="AL969" s="222"/>
      <c r="AM969" s="222"/>
      <c r="AN969" s="222"/>
      <c r="AO969" s="222"/>
    </row>
    <row r="970" spans="1:41" s="223" customFormat="1" ht="36" customHeight="1" x14ac:dyDescent="0.25">
      <c r="A970" s="223">
        <v>1</v>
      </c>
      <c r="B970" s="225">
        <f>SUBTOTAL(103,$A$552:A970)</f>
        <v>368</v>
      </c>
      <c r="C970" s="215" t="s">
        <v>154</v>
      </c>
      <c r="D970" s="217">
        <v>1970</v>
      </c>
      <c r="E970" s="217"/>
      <c r="F970" s="226" t="s">
        <v>267</v>
      </c>
      <c r="G970" s="217" t="s">
        <v>308</v>
      </c>
      <c r="H970" s="217" t="s">
        <v>312</v>
      </c>
      <c r="I970" s="218">
        <v>2208.39</v>
      </c>
      <c r="J970" s="218">
        <v>2171</v>
      </c>
      <c r="K970" s="218">
        <v>446.69</v>
      </c>
      <c r="L970" s="219">
        <v>73</v>
      </c>
      <c r="M970" s="217" t="s">
        <v>265</v>
      </c>
      <c r="N970" s="217" t="s">
        <v>269</v>
      </c>
      <c r="O970" s="220" t="s">
        <v>289</v>
      </c>
      <c r="P970" s="190">
        <v>4621140.7</v>
      </c>
      <c r="Q970" s="190">
        <v>0</v>
      </c>
      <c r="R970" s="190">
        <v>0</v>
      </c>
      <c r="S970" s="190">
        <f>P970-Q970-R970</f>
        <v>4621140.7</v>
      </c>
      <c r="T970" s="190">
        <f t="shared" si="113"/>
        <v>2092.5383197714173</v>
      </c>
      <c r="U970" s="190">
        <v>2313.2438111022057</v>
      </c>
      <c r="V970" s="221">
        <f>U970-T970</f>
        <v>220.70549133078839</v>
      </c>
      <c r="W970" s="221">
        <f>X970+Y970+Z970+AA970+AB970+AD970+AF970+AH970+AJ970+AL970+AN970+AO970</f>
        <v>2217.6990250816207</v>
      </c>
      <c r="X970" s="221">
        <v>0</v>
      </c>
      <c r="Y970" s="222">
        <v>0</v>
      </c>
      <c r="Z970" s="222">
        <v>0</v>
      </c>
      <c r="AA970" s="222">
        <v>0</v>
      </c>
      <c r="AB970" s="222">
        <v>0</v>
      </c>
      <c r="AC970" s="222">
        <v>0</v>
      </c>
      <c r="AD970" s="222">
        <v>0</v>
      </c>
      <c r="AE970" s="222">
        <v>785</v>
      </c>
      <c r="AF970" s="221">
        <f>6238.91*AE970/I970</f>
        <v>2217.6990250816207</v>
      </c>
      <c r="AG970" s="222">
        <v>0</v>
      </c>
      <c r="AH970" s="221">
        <v>0</v>
      </c>
      <c r="AI970" s="222">
        <v>0</v>
      </c>
      <c r="AJ970" s="221">
        <v>0</v>
      </c>
      <c r="AK970" s="222">
        <v>0</v>
      </c>
      <c r="AL970" s="222">
        <v>0</v>
      </c>
      <c r="AM970" s="222">
        <v>0</v>
      </c>
      <c r="AN970" s="222"/>
      <c r="AO970" s="222">
        <v>0</v>
      </c>
    </row>
    <row r="971" spans="1:41" s="223" customFormat="1" ht="36" customHeight="1" x14ac:dyDescent="0.25">
      <c r="A971" s="223">
        <v>1</v>
      </c>
      <c r="B971" s="225">
        <f>SUBTOTAL(103,$A$552:A971)</f>
        <v>369</v>
      </c>
      <c r="C971" s="215" t="s">
        <v>142</v>
      </c>
      <c r="D971" s="217">
        <v>1983</v>
      </c>
      <c r="E971" s="217"/>
      <c r="F971" s="226" t="s">
        <v>267</v>
      </c>
      <c r="G971" s="217">
        <v>3</v>
      </c>
      <c r="H971" s="217" t="s">
        <v>303</v>
      </c>
      <c r="I971" s="218">
        <v>1387.1</v>
      </c>
      <c r="J971" s="218">
        <v>1285.0999999999999</v>
      </c>
      <c r="K971" s="218">
        <v>1285.0999999999999</v>
      </c>
      <c r="L971" s="219">
        <v>58</v>
      </c>
      <c r="M971" s="217" t="s">
        <v>265</v>
      </c>
      <c r="N971" s="217" t="s">
        <v>269</v>
      </c>
      <c r="O971" s="220" t="s">
        <v>289</v>
      </c>
      <c r="P971" s="190">
        <v>4828153.3899999997</v>
      </c>
      <c r="Q971" s="190">
        <v>0</v>
      </c>
      <c r="R971" s="190">
        <v>0</v>
      </c>
      <c r="S971" s="190">
        <f>P971-Q971-R971</f>
        <v>4828153.3899999997</v>
      </c>
      <c r="T971" s="190">
        <f t="shared" si="113"/>
        <v>3480.7536515031361</v>
      </c>
      <c r="U971" s="190">
        <v>3480.7536515031361</v>
      </c>
      <c r="V971" s="221">
        <f>U971-T971</f>
        <v>0</v>
      </c>
      <c r="W971" s="221">
        <f>X971+Y971+Z971+AA971+AB971+AD971+AF971+AH971+AJ971+AL971+AN971+AO971</f>
        <v>3530.7795760940089</v>
      </c>
      <c r="X971" s="221">
        <v>0</v>
      </c>
      <c r="Y971" s="222">
        <v>0</v>
      </c>
      <c r="Z971" s="222">
        <v>0</v>
      </c>
      <c r="AA971" s="222">
        <v>0</v>
      </c>
      <c r="AB971" s="222">
        <v>0</v>
      </c>
      <c r="AC971" s="222">
        <v>0</v>
      </c>
      <c r="AD971" s="222">
        <v>0</v>
      </c>
      <c r="AE971" s="222">
        <v>785</v>
      </c>
      <c r="AF971" s="221">
        <f>6238.91*AE971/I971</f>
        <v>3530.7795760940089</v>
      </c>
      <c r="AG971" s="222">
        <v>0</v>
      </c>
      <c r="AH971" s="221">
        <v>0</v>
      </c>
      <c r="AI971" s="222">
        <v>0</v>
      </c>
      <c r="AJ971" s="221">
        <v>0</v>
      </c>
      <c r="AK971" s="222">
        <v>0</v>
      </c>
      <c r="AL971" s="222">
        <v>0</v>
      </c>
      <c r="AM971" s="222">
        <v>0</v>
      </c>
      <c r="AN971" s="222"/>
      <c r="AO971" s="222">
        <v>0</v>
      </c>
    </row>
    <row r="972" spans="1:41" s="223" customFormat="1" ht="36" customHeight="1" x14ac:dyDescent="0.25">
      <c r="A972" s="223">
        <v>1</v>
      </c>
      <c r="B972" s="225">
        <f>SUBTOTAL(103,$A$552:A972)</f>
        <v>370</v>
      </c>
      <c r="C972" s="215" t="s">
        <v>1295</v>
      </c>
      <c r="D972" s="217">
        <v>1974</v>
      </c>
      <c r="E972" s="217"/>
      <c r="F972" s="226" t="s">
        <v>267</v>
      </c>
      <c r="G972" s="217">
        <v>2</v>
      </c>
      <c r="H972" s="217" t="s">
        <v>303</v>
      </c>
      <c r="I972" s="218">
        <v>802.2</v>
      </c>
      <c r="J972" s="218">
        <v>802.2</v>
      </c>
      <c r="K972" s="218">
        <v>734.2</v>
      </c>
      <c r="L972" s="219">
        <v>36</v>
      </c>
      <c r="M972" s="217" t="s">
        <v>265</v>
      </c>
      <c r="N972" s="217" t="s">
        <v>266</v>
      </c>
      <c r="O972" s="220" t="s">
        <v>268</v>
      </c>
      <c r="P972" s="190">
        <v>2979341.97</v>
      </c>
      <c r="Q972" s="190">
        <v>0</v>
      </c>
      <c r="R972" s="190">
        <v>0</v>
      </c>
      <c r="S972" s="190">
        <f>P972-Q972-R972</f>
        <v>2979341.97</v>
      </c>
      <c r="T972" s="190">
        <f t="shared" si="113"/>
        <v>3713.9640613313391</v>
      </c>
      <c r="U972" s="190">
        <v>4841.4302667663915</v>
      </c>
      <c r="V972" s="221">
        <f>U972-T972</f>
        <v>1127.4662054350524</v>
      </c>
      <c r="W972" s="221">
        <f>X972+Y972+Z972+AA972+AB972+AD972+AF972+AH972+AJ972+AL972+AN972+AO972</f>
        <v>6105.141298927947</v>
      </c>
      <c r="X972" s="221">
        <v>0</v>
      </c>
      <c r="Y972" s="222">
        <v>0</v>
      </c>
      <c r="Z972" s="222">
        <v>0</v>
      </c>
      <c r="AA972" s="222">
        <v>0</v>
      </c>
      <c r="AB972" s="222">
        <v>0</v>
      </c>
      <c r="AC972" s="222">
        <v>0</v>
      </c>
      <c r="AD972" s="222">
        <v>0</v>
      </c>
      <c r="AE972" s="222">
        <v>785</v>
      </c>
      <c r="AF972" s="221">
        <f>6238.91*AE972/I972</f>
        <v>6105.141298927947</v>
      </c>
      <c r="AG972" s="222">
        <v>0</v>
      </c>
      <c r="AH972" s="221">
        <v>0</v>
      </c>
      <c r="AI972" s="222">
        <v>0</v>
      </c>
      <c r="AJ972" s="221">
        <v>0</v>
      </c>
      <c r="AK972" s="222">
        <v>0</v>
      </c>
      <c r="AL972" s="222">
        <v>0</v>
      </c>
      <c r="AM972" s="222">
        <v>0</v>
      </c>
      <c r="AN972" s="222"/>
      <c r="AO972" s="222">
        <v>0</v>
      </c>
    </row>
    <row r="973" spans="1:41" s="223" customFormat="1" ht="36" customHeight="1" x14ac:dyDescent="0.25">
      <c r="B973" s="215" t="s">
        <v>852</v>
      </c>
      <c r="C973" s="215"/>
      <c r="D973" s="217" t="s">
        <v>890</v>
      </c>
      <c r="E973" s="217" t="s">
        <v>890</v>
      </c>
      <c r="F973" s="217" t="s">
        <v>890</v>
      </c>
      <c r="G973" s="217" t="s">
        <v>890</v>
      </c>
      <c r="H973" s="217" t="s">
        <v>890</v>
      </c>
      <c r="I973" s="218">
        <f>SUM(I974:I978)</f>
        <v>8018.76</v>
      </c>
      <c r="J973" s="218">
        <f>SUM(J974:J978)</f>
        <v>6785.5800000000008</v>
      </c>
      <c r="K973" s="218">
        <f>SUM(K974:K978)</f>
        <v>6268.3200000000006</v>
      </c>
      <c r="L973" s="219">
        <f>SUM(L974:L978)</f>
        <v>440</v>
      </c>
      <c r="M973" s="217" t="s">
        <v>890</v>
      </c>
      <c r="N973" s="217" t="s">
        <v>890</v>
      </c>
      <c r="O973" s="220" t="s">
        <v>890</v>
      </c>
      <c r="P973" s="218">
        <v>18338882.109999999</v>
      </c>
      <c r="Q973" s="218">
        <f>SUM(Q974:Q978)</f>
        <v>0</v>
      </c>
      <c r="R973" s="218">
        <f>SUM(R974:R978)</f>
        <v>0</v>
      </c>
      <c r="S973" s="218">
        <f>SUM(S974:S978)</f>
        <v>18338882.109999999</v>
      </c>
      <c r="T973" s="190">
        <f t="shared" ref="T973:T1036" si="119">P973/I973</f>
        <v>2286.9972551865872</v>
      </c>
      <c r="U973" s="190">
        <f>MAX(U974:U978)</f>
        <v>6817.9333935018049</v>
      </c>
      <c r="V973" s="221">
        <f t="shared" si="115"/>
        <v>4530.9361383152172</v>
      </c>
      <c r="W973" s="221"/>
      <c r="X973" s="221"/>
      <c r="Y973" s="222"/>
      <c r="Z973" s="222"/>
      <c r="AA973" s="222"/>
      <c r="AB973" s="222"/>
      <c r="AC973" s="222"/>
      <c r="AD973" s="222"/>
      <c r="AE973" s="222"/>
      <c r="AF973" s="222"/>
      <c r="AG973" s="222"/>
      <c r="AH973" s="222"/>
      <c r="AI973" s="222"/>
      <c r="AJ973" s="222"/>
      <c r="AK973" s="222"/>
      <c r="AL973" s="222"/>
      <c r="AM973" s="222"/>
      <c r="AN973" s="222"/>
      <c r="AO973" s="222"/>
    </row>
    <row r="974" spans="1:41" s="223" customFormat="1" ht="36" customHeight="1" x14ac:dyDescent="0.25">
      <c r="A974" s="223">
        <v>1</v>
      </c>
      <c r="B974" s="225">
        <f>SUBTOTAL(103,$A$552:A974)</f>
        <v>371</v>
      </c>
      <c r="C974" s="215" t="s">
        <v>153</v>
      </c>
      <c r="D974" s="217">
        <v>1978</v>
      </c>
      <c r="E974" s="217"/>
      <c r="F974" s="226" t="s">
        <v>267</v>
      </c>
      <c r="G974" s="217">
        <v>2</v>
      </c>
      <c r="H974" s="217" t="s">
        <v>303</v>
      </c>
      <c r="I974" s="218">
        <v>1501</v>
      </c>
      <c r="J974" s="218">
        <v>739.5</v>
      </c>
      <c r="K974" s="218">
        <v>358.85</v>
      </c>
      <c r="L974" s="219">
        <v>42</v>
      </c>
      <c r="M974" s="217" t="s">
        <v>265</v>
      </c>
      <c r="N974" s="217" t="s">
        <v>269</v>
      </c>
      <c r="O974" s="220" t="s">
        <v>294</v>
      </c>
      <c r="P974" s="190">
        <v>4319701.45</v>
      </c>
      <c r="Q974" s="190">
        <v>0</v>
      </c>
      <c r="R974" s="190">
        <v>0</v>
      </c>
      <c r="S974" s="190">
        <f>P974-Q974-R974</f>
        <v>4319701.45</v>
      </c>
      <c r="T974" s="190">
        <f t="shared" si="119"/>
        <v>2877.8823784143906</v>
      </c>
      <c r="U974" s="190">
        <v>2877.8823784143906</v>
      </c>
      <c r="V974" s="221">
        <f>U974-T974</f>
        <v>0</v>
      </c>
      <c r="W974" s="221">
        <f>X974+Y974+Z974+AA974+AB974+AD974+AF974+AH974+AJ974+AL974+AN974+AO974</f>
        <v>3262.8543304463687</v>
      </c>
      <c r="X974" s="221">
        <v>0</v>
      </c>
      <c r="Y974" s="222">
        <v>0</v>
      </c>
      <c r="Z974" s="222">
        <v>0</v>
      </c>
      <c r="AA974" s="222">
        <v>0</v>
      </c>
      <c r="AB974" s="222">
        <v>0</v>
      </c>
      <c r="AC974" s="222">
        <v>0</v>
      </c>
      <c r="AD974" s="222">
        <v>0</v>
      </c>
      <c r="AE974" s="222">
        <v>785</v>
      </c>
      <c r="AF974" s="221">
        <f>6238.91*AE974/I974</f>
        <v>3262.8543304463687</v>
      </c>
      <c r="AG974" s="222">
        <v>0</v>
      </c>
      <c r="AH974" s="221">
        <v>0</v>
      </c>
      <c r="AI974" s="222">
        <v>0</v>
      </c>
      <c r="AJ974" s="221">
        <v>0</v>
      </c>
      <c r="AK974" s="222">
        <v>0</v>
      </c>
      <c r="AL974" s="222">
        <v>0</v>
      </c>
      <c r="AM974" s="222">
        <v>0</v>
      </c>
      <c r="AN974" s="222"/>
      <c r="AO974" s="222">
        <v>0</v>
      </c>
    </row>
    <row r="975" spans="1:41" s="223" customFormat="1" ht="36" customHeight="1" x14ac:dyDescent="0.25">
      <c r="A975" s="223">
        <v>1</v>
      </c>
      <c r="B975" s="225">
        <f>SUBTOTAL(103,$A$552:A975)</f>
        <v>372</v>
      </c>
      <c r="C975" s="215" t="s">
        <v>1253</v>
      </c>
      <c r="D975" s="217">
        <v>1964</v>
      </c>
      <c r="E975" s="217"/>
      <c r="F975" s="226" t="s">
        <v>267</v>
      </c>
      <c r="G975" s="217">
        <v>2</v>
      </c>
      <c r="H975" s="217" t="s">
        <v>308</v>
      </c>
      <c r="I975" s="218">
        <v>768.3</v>
      </c>
      <c r="J975" s="218">
        <v>297</v>
      </c>
      <c r="K975" s="218">
        <v>253.5</v>
      </c>
      <c r="L975" s="219">
        <v>80</v>
      </c>
      <c r="M975" s="217" t="s">
        <v>265</v>
      </c>
      <c r="N975" s="217" t="s">
        <v>269</v>
      </c>
      <c r="O975" s="220" t="s">
        <v>288</v>
      </c>
      <c r="P975" s="190">
        <v>506000</v>
      </c>
      <c r="Q975" s="190">
        <v>0</v>
      </c>
      <c r="R975" s="190">
        <v>0</v>
      </c>
      <c r="S975" s="190">
        <f>P975-Q975-R975</f>
        <v>506000</v>
      </c>
      <c r="T975" s="190">
        <f t="shared" si="119"/>
        <v>658.5969022517246</v>
      </c>
      <c r="U975" s="190">
        <v>658.5969022517246</v>
      </c>
      <c r="V975" s="221">
        <f>U975-T975</f>
        <v>0</v>
      </c>
      <c r="W975" s="221">
        <f>X975+Y975+Z975+AA975+AB975+AD975+AF975+AH975+AJ975+AL975+AN975+AO975</f>
        <v>6374.5208251984905</v>
      </c>
      <c r="X975" s="221">
        <v>0</v>
      </c>
      <c r="Y975" s="222">
        <v>0</v>
      </c>
      <c r="Z975" s="222">
        <v>0</v>
      </c>
      <c r="AA975" s="222">
        <v>0</v>
      </c>
      <c r="AB975" s="222">
        <v>0</v>
      </c>
      <c r="AC975" s="222">
        <v>0</v>
      </c>
      <c r="AD975" s="222">
        <v>0</v>
      </c>
      <c r="AE975" s="222">
        <v>785</v>
      </c>
      <c r="AF975" s="221">
        <f>6238.91*AE975/I975</f>
        <v>6374.5208251984905</v>
      </c>
      <c r="AG975" s="222">
        <v>0</v>
      </c>
      <c r="AH975" s="221">
        <v>0</v>
      </c>
      <c r="AI975" s="222">
        <v>0</v>
      </c>
      <c r="AJ975" s="221">
        <v>0</v>
      </c>
      <c r="AK975" s="222">
        <v>0</v>
      </c>
      <c r="AL975" s="222">
        <v>0</v>
      </c>
      <c r="AM975" s="222">
        <v>0</v>
      </c>
      <c r="AN975" s="222"/>
      <c r="AO975" s="222">
        <v>0</v>
      </c>
    </row>
    <row r="976" spans="1:41" s="223" customFormat="1" ht="36" customHeight="1" x14ac:dyDescent="0.25">
      <c r="A976" s="223">
        <v>1</v>
      </c>
      <c r="B976" s="225">
        <f>SUBTOTAL(103,$A$552:A976)</f>
        <v>373</v>
      </c>
      <c r="C976" s="215" t="s">
        <v>1281</v>
      </c>
      <c r="D976" s="217">
        <v>1958</v>
      </c>
      <c r="E976" s="217"/>
      <c r="F976" s="226" t="s">
        <v>267</v>
      </c>
      <c r="G976" s="217">
        <v>2</v>
      </c>
      <c r="H976" s="217" t="s">
        <v>303</v>
      </c>
      <c r="I976" s="218">
        <v>554</v>
      </c>
      <c r="J976" s="218">
        <v>554</v>
      </c>
      <c r="K976" s="218">
        <v>521.69000000000005</v>
      </c>
      <c r="L976" s="219">
        <v>30</v>
      </c>
      <c r="M976" s="217" t="s">
        <v>265</v>
      </c>
      <c r="N976" s="217" t="s">
        <v>269</v>
      </c>
      <c r="O976" s="220" t="s">
        <v>288</v>
      </c>
      <c r="P976" s="190">
        <v>3777135.1</v>
      </c>
      <c r="Q976" s="190">
        <v>0</v>
      </c>
      <c r="R976" s="190">
        <v>0</v>
      </c>
      <c r="S976" s="190">
        <f>P976-Q976-R976</f>
        <v>3777135.1</v>
      </c>
      <c r="T976" s="190">
        <f t="shared" si="119"/>
        <v>6817.9333935018049</v>
      </c>
      <c r="U976" s="190">
        <v>6817.9333935018049</v>
      </c>
      <c r="V976" s="221">
        <f>U976-T976</f>
        <v>0</v>
      </c>
      <c r="W976" s="221">
        <f>X976+Y976+Z976+AA976+AB976+AD976+AF976+AH976+AJ976+AL976+AN976+AO976</f>
        <v>8840.3327617328505</v>
      </c>
      <c r="X976" s="221">
        <v>0</v>
      </c>
      <c r="Y976" s="222">
        <v>0</v>
      </c>
      <c r="Z976" s="222">
        <v>0</v>
      </c>
      <c r="AA976" s="222">
        <v>0</v>
      </c>
      <c r="AB976" s="222">
        <v>0</v>
      </c>
      <c r="AC976" s="222">
        <v>0</v>
      </c>
      <c r="AD976" s="222">
        <v>0</v>
      </c>
      <c r="AE976" s="222">
        <v>785</v>
      </c>
      <c r="AF976" s="221">
        <f>6238.91*AE976/I976</f>
        <v>8840.3327617328505</v>
      </c>
      <c r="AG976" s="222">
        <v>0</v>
      </c>
      <c r="AH976" s="221">
        <v>0</v>
      </c>
      <c r="AI976" s="222">
        <v>0</v>
      </c>
      <c r="AJ976" s="221">
        <v>0</v>
      </c>
      <c r="AK976" s="222">
        <v>0</v>
      </c>
      <c r="AL976" s="222">
        <v>0</v>
      </c>
      <c r="AM976" s="222">
        <v>0</v>
      </c>
      <c r="AN976" s="222"/>
      <c r="AO976" s="222">
        <v>0</v>
      </c>
    </row>
    <row r="977" spans="1:191" s="223" customFormat="1" ht="36" customHeight="1" x14ac:dyDescent="0.25">
      <c r="A977" s="223">
        <v>1</v>
      </c>
      <c r="B977" s="225">
        <f>SUBTOTAL(103,$A$552:A977)</f>
        <v>374</v>
      </c>
      <c r="C977" s="215" t="s">
        <v>1282</v>
      </c>
      <c r="D977" s="217">
        <v>1973</v>
      </c>
      <c r="E977" s="217"/>
      <c r="F977" s="226" t="s">
        <v>267</v>
      </c>
      <c r="G977" s="217">
        <v>5</v>
      </c>
      <c r="H977" s="217" t="s">
        <v>312</v>
      </c>
      <c r="I977" s="218">
        <v>3131.46</v>
      </c>
      <c r="J977" s="218">
        <v>3131.28</v>
      </c>
      <c r="K977" s="218">
        <v>3070.48</v>
      </c>
      <c r="L977" s="219">
        <v>208</v>
      </c>
      <c r="M977" s="217" t="s">
        <v>265</v>
      </c>
      <c r="N977" s="217" t="s">
        <v>269</v>
      </c>
      <c r="O977" s="220" t="s">
        <v>1354</v>
      </c>
      <c r="P977" s="190">
        <v>4895345</v>
      </c>
      <c r="Q977" s="190">
        <v>0</v>
      </c>
      <c r="R977" s="190">
        <v>0</v>
      </c>
      <c r="S977" s="190">
        <f>P977-Q977-R977</f>
        <v>4895345</v>
      </c>
      <c r="T977" s="190">
        <f t="shared" si="119"/>
        <v>1563.2787900851361</v>
      </c>
      <c r="U977" s="190">
        <v>1990.8849546218057</v>
      </c>
      <c r="V977" s="221">
        <f>U977-T977</f>
        <v>427.60616453666967</v>
      </c>
      <c r="W977" s="221">
        <f>X977+Y977+Z977+AA977+AB977+AD977+AF977+AH977+AJ977+AL977+AN977+AO977</f>
        <v>1563.9811302076346</v>
      </c>
      <c r="X977" s="221">
        <v>0</v>
      </c>
      <c r="Y977" s="222">
        <v>0</v>
      </c>
      <c r="Z977" s="222">
        <v>0</v>
      </c>
      <c r="AA977" s="222">
        <v>0</v>
      </c>
      <c r="AB977" s="222">
        <v>0</v>
      </c>
      <c r="AC977" s="222">
        <v>0</v>
      </c>
      <c r="AD977" s="222">
        <v>0</v>
      </c>
      <c r="AE977" s="222">
        <v>785</v>
      </c>
      <c r="AF977" s="221">
        <f>6238.91*AE977/I977</f>
        <v>1563.9811302076346</v>
      </c>
      <c r="AG977" s="222">
        <v>0</v>
      </c>
      <c r="AH977" s="221">
        <v>0</v>
      </c>
      <c r="AI977" s="222">
        <v>0</v>
      </c>
      <c r="AJ977" s="221">
        <v>0</v>
      </c>
      <c r="AK977" s="222">
        <v>0</v>
      </c>
      <c r="AL977" s="222">
        <v>0</v>
      </c>
      <c r="AM977" s="222">
        <v>0</v>
      </c>
      <c r="AN977" s="222"/>
      <c r="AO977" s="222">
        <v>0</v>
      </c>
    </row>
    <row r="978" spans="1:191" s="223" customFormat="1" ht="36" customHeight="1" x14ac:dyDescent="0.25">
      <c r="A978" s="223">
        <v>1</v>
      </c>
      <c r="B978" s="225">
        <f>SUBTOTAL(103,$A$552:A978)</f>
        <v>375</v>
      </c>
      <c r="C978" s="215" t="s">
        <v>1945</v>
      </c>
      <c r="D978" s="217">
        <v>1984</v>
      </c>
      <c r="E978" s="217"/>
      <c r="F978" s="226" t="s">
        <v>1571</v>
      </c>
      <c r="G978" s="217" t="s">
        <v>312</v>
      </c>
      <c r="H978" s="217" t="s">
        <v>312</v>
      </c>
      <c r="I978" s="218">
        <v>2064</v>
      </c>
      <c r="J978" s="218">
        <v>2063.8000000000002</v>
      </c>
      <c r="K978" s="218">
        <v>2063.8000000000002</v>
      </c>
      <c r="L978" s="219">
        <v>80</v>
      </c>
      <c r="M978" s="217" t="s">
        <v>265</v>
      </c>
      <c r="N978" s="217" t="s">
        <v>269</v>
      </c>
      <c r="O978" s="220" t="s">
        <v>288</v>
      </c>
      <c r="P978" s="190">
        <v>4840700.5599999996</v>
      </c>
      <c r="Q978" s="190">
        <v>0</v>
      </c>
      <c r="R978" s="190">
        <v>0</v>
      </c>
      <c r="S978" s="190">
        <f>P978-Q978-R978</f>
        <v>4840700.5599999996</v>
      </c>
      <c r="T978" s="190">
        <f t="shared" si="119"/>
        <v>2345.3006589147285</v>
      </c>
      <c r="U978" s="190">
        <v>3527.5265310077521</v>
      </c>
      <c r="V978" s="221">
        <f>U978-T978</f>
        <v>1182.2258720930236</v>
      </c>
      <c r="W978" s="221">
        <f>X978+Y978+Z978+AA978+AB978+AD978+AF978+AH978+AJ978+AL978+AN978+AO978</f>
        <v>2372.841254844961</v>
      </c>
      <c r="X978" s="221">
        <v>0</v>
      </c>
      <c r="Y978" s="222">
        <v>0</v>
      </c>
      <c r="Z978" s="222">
        <v>0</v>
      </c>
      <c r="AA978" s="222">
        <v>0</v>
      </c>
      <c r="AB978" s="222">
        <v>0</v>
      </c>
      <c r="AC978" s="222">
        <v>0</v>
      </c>
      <c r="AD978" s="222">
        <v>0</v>
      </c>
      <c r="AE978" s="222">
        <v>785</v>
      </c>
      <c r="AF978" s="221">
        <f>6238.91*AE978/I978</f>
        <v>2372.841254844961</v>
      </c>
      <c r="AG978" s="222">
        <v>0</v>
      </c>
      <c r="AH978" s="221">
        <v>0</v>
      </c>
      <c r="AI978" s="222">
        <v>0</v>
      </c>
      <c r="AJ978" s="221">
        <v>0</v>
      </c>
      <c r="AK978" s="222">
        <v>0</v>
      </c>
      <c r="AL978" s="222">
        <v>0</v>
      </c>
      <c r="AM978" s="222">
        <v>0</v>
      </c>
      <c r="AN978" s="222"/>
      <c r="AO978" s="222">
        <v>0</v>
      </c>
    </row>
    <row r="979" spans="1:191" s="223" customFormat="1" ht="36" customHeight="1" x14ac:dyDescent="0.25">
      <c r="B979" s="215" t="s">
        <v>853</v>
      </c>
      <c r="C979" s="215"/>
      <c r="D979" s="217" t="s">
        <v>890</v>
      </c>
      <c r="E979" s="217" t="s">
        <v>890</v>
      </c>
      <c r="F979" s="217" t="s">
        <v>890</v>
      </c>
      <c r="G979" s="217" t="s">
        <v>890</v>
      </c>
      <c r="H979" s="217" t="s">
        <v>890</v>
      </c>
      <c r="I979" s="218">
        <f>SUM(I980:I985)</f>
        <v>22450.780000000002</v>
      </c>
      <c r="J979" s="218">
        <f>SUM(J980:J985)</f>
        <v>17809.669999999998</v>
      </c>
      <c r="K979" s="218">
        <f>SUM(K980:K985)</f>
        <v>15033.87</v>
      </c>
      <c r="L979" s="219">
        <f>SUM(L980:L985)</f>
        <v>905</v>
      </c>
      <c r="M979" s="217" t="s">
        <v>890</v>
      </c>
      <c r="N979" s="217" t="s">
        <v>890</v>
      </c>
      <c r="O979" s="220" t="s">
        <v>890</v>
      </c>
      <c r="P979" s="190">
        <v>32249890.370000001</v>
      </c>
      <c r="Q979" s="190">
        <f>SUM(Q980:Q985)</f>
        <v>0</v>
      </c>
      <c r="R979" s="190">
        <f>SUM(R980:R985)</f>
        <v>0</v>
      </c>
      <c r="S979" s="190">
        <f>SUM(S980:S985)</f>
        <v>32249890.370000001</v>
      </c>
      <c r="T979" s="190">
        <f t="shared" si="119"/>
        <v>1436.4708206129139</v>
      </c>
      <c r="U979" s="190">
        <f>MAX(U980:U985)</f>
        <v>7198.5013290168681</v>
      </c>
      <c r="V979" s="221">
        <f t="shared" si="115"/>
        <v>5762.0305084039537</v>
      </c>
      <c r="W979" s="221"/>
      <c r="X979" s="221"/>
      <c r="Y979" s="222"/>
      <c r="Z979" s="222"/>
      <c r="AA979" s="222"/>
      <c r="AB979" s="222"/>
      <c r="AC979" s="222"/>
      <c r="AD979" s="222"/>
      <c r="AE979" s="222"/>
      <c r="AF979" s="222"/>
      <c r="AG979" s="222"/>
      <c r="AH979" s="222"/>
      <c r="AI979" s="222"/>
      <c r="AJ979" s="222"/>
      <c r="AK979" s="222"/>
      <c r="AL979" s="222"/>
      <c r="AM979" s="222"/>
      <c r="AN979" s="222"/>
      <c r="AO979" s="222"/>
    </row>
    <row r="980" spans="1:191" s="223" customFormat="1" ht="36" customHeight="1" x14ac:dyDescent="0.25">
      <c r="A980" s="223">
        <v>1</v>
      </c>
      <c r="B980" s="225">
        <f>SUBTOTAL(103,$A$552:A980)</f>
        <v>376</v>
      </c>
      <c r="C980" s="215" t="s">
        <v>146</v>
      </c>
      <c r="D980" s="217">
        <v>1989</v>
      </c>
      <c r="E980" s="217"/>
      <c r="F980" s="226" t="s">
        <v>287</v>
      </c>
      <c r="G980" s="217">
        <v>5</v>
      </c>
      <c r="H980" s="217" t="s">
        <v>351</v>
      </c>
      <c r="I980" s="218">
        <v>3901.1</v>
      </c>
      <c r="J980" s="218">
        <v>3901.1</v>
      </c>
      <c r="K980" s="218">
        <v>2252.1999999999998</v>
      </c>
      <c r="L980" s="219">
        <v>188</v>
      </c>
      <c r="M980" s="217" t="s">
        <v>265</v>
      </c>
      <c r="N980" s="217" t="s">
        <v>291</v>
      </c>
      <c r="O980" s="220" t="s">
        <v>295</v>
      </c>
      <c r="P980" s="190">
        <v>6331475.6600000011</v>
      </c>
      <c r="Q980" s="190">
        <v>0</v>
      </c>
      <c r="R980" s="190">
        <v>0</v>
      </c>
      <c r="S980" s="190">
        <f t="shared" ref="S980:S985" si="120">P980-Q980-R980</f>
        <v>6331475.6600000011</v>
      </c>
      <c r="T980" s="190">
        <f t="shared" si="119"/>
        <v>1622.9975289021049</v>
      </c>
      <c r="U980" s="190">
        <v>1837.9902745379507</v>
      </c>
      <c r="V980" s="221">
        <f t="shared" si="115"/>
        <v>214.99274563584572</v>
      </c>
      <c r="W980" s="221">
        <f t="shared" ref="W980:W985" si="121">X980+Y980+Z980+AA980+AB980+AD980+AF980+AH980+AJ980+AL980+AN980+AO980</f>
        <v>1762.0750654943477</v>
      </c>
      <c r="X980" s="221">
        <v>0</v>
      </c>
      <c r="Y980" s="222">
        <v>0</v>
      </c>
      <c r="Z980" s="222">
        <v>0</v>
      </c>
      <c r="AA980" s="222">
        <v>0</v>
      </c>
      <c r="AB980" s="222">
        <v>0</v>
      </c>
      <c r="AC980" s="222">
        <v>0</v>
      </c>
      <c r="AD980" s="222">
        <v>0</v>
      </c>
      <c r="AE980" s="222">
        <v>1101.8</v>
      </c>
      <c r="AF980" s="221">
        <f t="shared" ref="AF980:AF985" si="122">6238.91*AE980/I980</f>
        <v>1762.0750654943477</v>
      </c>
      <c r="AG980" s="222">
        <v>0</v>
      </c>
      <c r="AH980" s="221">
        <v>0</v>
      </c>
      <c r="AI980" s="222">
        <v>0</v>
      </c>
      <c r="AJ980" s="221">
        <v>0</v>
      </c>
      <c r="AK980" s="222">
        <v>0</v>
      </c>
      <c r="AL980" s="222">
        <v>0</v>
      </c>
      <c r="AM980" s="222">
        <v>0</v>
      </c>
      <c r="AN980" s="222"/>
      <c r="AO980" s="222">
        <v>0</v>
      </c>
    </row>
    <row r="981" spans="1:191" s="223" customFormat="1" ht="36" customHeight="1" x14ac:dyDescent="0.25">
      <c r="A981" s="223">
        <v>1</v>
      </c>
      <c r="B981" s="225">
        <f>SUBTOTAL(103,$A$552:A981)</f>
        <v>377</v>
      </c>
      <c r="C981" s="215" t="s">
        <v>157</v>
      </c>
      <c r="D981" s="217">
        <v>1975</v>
      </c>
      <c r="E981" s="217"/>
      <c r="F981" s="226" t="s">
        <v>287</v>
      </c>
      <c r="G981" s="217">
        <v>5</v>
      </c>
      <c r="H981" s="217" t="s">
        <v>2266</v>
      </c>
      <c r="I981" s="218">
        <v>8270.9699999999993</v>
      </c>
      <c r="J981" s="218">
        <v>6155.11</v>
      </c>
      <c r="K981" s="218">
        <v>6155.11</v>
      </c>
      <c r="L981" s="219">
        <v>231</v>
      </c>
      <c r="M981" s="217" t="s">
        <v>265</v>
      </c>
      <c r="N981" s="217" t="s">
        <v>269</v>
      </c>
      <c r="O981" s="220" t="s">
        <v>294</v>
      </c>
      <c r="P981" s="190">
        <v>6774880.0600000005</v>
      </c>
      <c r="Q981" s="190">
        <v>0</v>
      </c>
      <c r="R981" s="190">
        <v>0</v>
      </c>
      <c r="S981" s="190">
        <f t="shared" si="120"/>
        <v>6774880.0600000005</v>
      </c>
      <c r="T981" s="190">
        <f t="shared" si="119"/>
        <v>819.11554025706789</v>
      </c>
      <c r="U981" s="190">
        <v>1213.146371586404</v>
      </c>
      <c r="V981" s="221">
        <f>U981-T981</f>
        <v>394.03083132933614</v>
      </c>
      <c r="W981" s="221">
        <f t="shared" si="121"/>
        <v>1163.0393271284988</v>
      </c>
      <c r="X981" s="221">
        <v>0</v>
      </c>
      <c r="Y981" s="222">
        <v>0</v>
      </c>
      <c r="Z981" s="222">
        <v>0</v>
      </c>
      <c r="AA981" s="222">
        <v>0</v>
      </c>
      <c r="AB981" s="222">
        <v>0</v>
      </c>
      <c r="AC981" s="222">
        <v>0</v>
      </c>
      <c r="AD981" s="222">
        <v>0</v>
      </c>
      <c r="AE981" s="222">
        <v>1541.85</v>
      </c>
      <c r="AF981" s="221">
        <f t="shared" si="122"/>
        <v>1163.0393271284988</v>
      </c>
      <c r="AG981" s="222">
        <v>0</v>
      </c>
      <c r="AH981" s="221">
        <v>0</v>
      </c>
      <c r="AI981" s="222">
        <v>0</v>
      </c>
      <c r="AJ981" s="221">
        <v>0</v>
      </c>
      <c r="AK981" s="222">
        <v>0</v>
      </c>
      <c r="AL981" s="222">
        <v>0</v>
      </c>
      <c r="AM981" s="222">
        <v>0</v>
      </c>
      <c r="AN981" s="222"/>
      <c r="AO981" s="222">
        <v>0</v>
      </c>
    </row>
    <row r="982" spans="1:191" s="154" customFormat="1" ht="36" customHeight="1" x14ac:dyDescent="0.25">
      <c r="A982" s="223">
        <v>1</v>
      </c>
      <c r="B982" s="225">
        <f>SUBTOTAL(103,$A$552:A982)</f>
        <v>378</v>
      </c>
      <c r="C982" s="232" t="s">
        <v>158</v>
      </c>
      <c r="D982" s="217">
        <v>1979</v>
      </c>
      <c r="E982" s="217"/>
      <c r="F982" s="233" t="s">
        <v>267</v>
      </c>
      <c r="G982" s="217">
        <v>2</v>
      </c>
      <c r="H982" s="217" t="s">
        <v>312</v>
      </c>
      <c r="I982" s="218">
        <v>1556.1</v>
      </c>
      <c r="J982" s="218">
        <v>863</v>
      </c>
      <c r="K982" s="218">
        <v>863</v>
      </c>
      <c r="L982" s="231">
        <v>32</v>
      </c>
      <c r="M982" s="217" t="s">
        <v>265</v>
      </c>
      <c r="N982" s="217" t="s">
        <v>269</v>
      </c>
      <c r="O982" s="217" t="s">
        <v>294</v>
      </c>
      <c r="P982" s="218">
        <v>3822464.25</v>
      </c>
      <c r="Q982" s="218">
        <v>0</v>
      </c>
      <c r="R982" s="218">
        <v>0</v>
      </c>
      <c r="S982" s="218">
        <f t="shared" si="120"/>
        <v>3822464.25</v>
      </c>
      <c r="T982" s="190">
        <f t="shared" si="119"/>
        <v>2456.4386928860613</v>
      </c>
      <c r="U982" s="190">
        <v>3102.2085874943768</v>
      </c>
      <c r="V982" s="221">
        <f>U982-T982</f>
        <v>645.76989460831555</v>
      </c>
      <c r="W982" s="221">
        <f t="shared" si="121"/>
        <v>2974.0768902384166</v>
      </c>
      <c r="X982" s="221">
        <v>0</v>
      </c>
      <c r="Y982" s="222">
        <v>0</v>
      </c>
      <c r="Z982" s="222">
        <v>0</v>
      </c>
      <c r="AA982" s="222">
        <v>0</v>
      </c>
      <c r="AB982" s="222">
        <v>0</v>
      </c>
      <c r="AC982" s="222">
        <v>0</v>
      </c>
      <c r="AD982" s="222">
        <v>0</v>
      </c>
      <c r="AE982" s="222">
        <v>741.79</v>
      </c>
      <c r="AF982" s="221">
        <f t="shared" si="122"/>
        <v>2974.0768902384166</v>
      </c>
      <c r="AG982" s="222">
        <v>0</v>
      </c>
      <c r="AH982" s="221">
        <v>0</v>
      </c>
      <c r="AI982" s="222">
        <v>0</v>
      </c>
      <c r="AJ982" s="221">
        <v>0</v>
      </c>
      <c r="AK982" s="222">
        <v>0</v>
      </c>
      <c r="AL982" s="222">
        <v>0</v>
      </c>
      <c r="AM982" s="222">
        <v>0</v>
      </c>
      <c r="AN982" s="222"/>
      <c r="AO982" s="222">
        <v>0</v>
      </c>
      <c r="AP982" s="223"/>
      <c r="DQ982" s="234"/>
      <c r="DR982" s="234"/>
      <c r="DS982" s="234"/>
      <c r="EP982" s="235"/>
      <c r="FS982" s="236"/>
      <c r="GI982" s="237"/>
    </row>
    <row r="983" spans="1:191" s="223" customFormat="1" ht="36" customHeight="1" x14ac:dyDescent="0.25">
      <c r="A983" s="223">
        <v>1</v>
      </c>
      <c r="B983" s="225">
        <f>SUBTOTAL(103,$A$552:A983)</f>
        <v>379</v>
      </c>
      <c r="C983" s="215" t="s">
        <v>1256</v>
      </c>
      <c r="D983" s="217">
        <v>1928</v>
      </c>
      <c r="E983" s="217"/>
      <c r="F983" s="226" t="s">
        <v>267</v>
      </c>
      <c r="G983" s="217">
        <v>3</v>
      </c>
      <c r="H983" s="217" t="s">
        <v>312</v>
      </c>
      <c r="I983" s="218">
        <v>1739</v>
      </c>
      <c r="J983" s="218">
        <v>1665.2</v>
      </c>
      <c r="K983" s="218">
        <v>538.29999999999995</v>
      </c>
      <c r="L983" s="219">
        <v>235</v>
      </c>
      <c r="M983" s="217" t="s">
        <v>265</v>
      </c>
      <c r="N983" s="217" t="s">
        <v>269</v>
      </c>
      <c r="O983" s="220" t="s">
        <v>288</v>
      </c>
      <c r="P983" s="190">
        <v>4749951.8099999996</v>
      </c>
      <c r="Q983" s="190">
        <v>0</v>
      </c>
      <c r="R983" s="190">
        <v>0</v>
      </c>
      <c r="S983" s="190">
        <f t="shared" si="120"/>
        <v>4749951.8099999996</v>
      </c>
      <c r="T983" s="190">
        <f t="shared" si="119"/>
        <v>2731.4271477860839</v>
      </c>
      <c r="U983" s="190">
        <v>4135.1400230017252</v>
      </c>
      <c r="V983" s="221">
        <f t="shared" si="115"/>
        <v>1403.7128752156414</v>
      </c>
      <c r="W983" s="221">
        <f t="shared" si="121"/>
        <v>5531.6063159861978</v>
      </c>
      <c r="X983" s="221">
        <v>0</v>
      </c>
      <c r="Y983" s="222">
        <v>0</v>
      </c>
      <c r="Z983" s="222">
        <v>0</v>
      </c>
      <c r="AA983" s="222">
        <v>0</v>
      </c>
      <c r="AB983" s="222">
        <v>0</v>
      </c>
      <c r="AC983" s="222">
        <v>0</v>
      </c>
      <c r="AD983" s="222">
        <v>0</v>
      </c>
      <c r="AE983" s="222">
        <v>1541.85</v>
      </c>
      <c r="AF983" s="221">
        <f t="shared" si="122"/>
        <v>5531.6063159861978</v>
      </c>
      <c r="AG983" s="222">
        <v>0</v>
      </c>
      <c r="AH983" s="221">
        <v>0</v>
      </c>
      <c r="AI983" s="222">
        <v>0</v>
      </c>
      <c r="AJ983" s="221">
        <v>0</v>
      </c>
      <c r="AK983" s="222">
        <v>0</v>
      </c>
      <c r="AL983" s="222">
        <v>0</v>
      </c>
      <c r="AM983" s="222">
        <v>0</v>
      </c>
      <c r="AN983" s="222"/>
      <c r="AO983" s="222">
        <v>0</v>
      </c>
    </row>
    <row r="984" spans="1:191" s="154" customFormat="1" ht="36" customHeight="1" x14ac:dyDescent="0.25">
      <c r="A984" s="223">
        <v>1</v>
      </c>
      <c r="B984" s="225">
        <f>SUBTOTAL(103,$A$552:A984)</f>
        <v>380</v>
      </c>
      <c r="C984" s="232" t="s">
        <v>1955</v>
      </c>
      <c r="D984" s="217">
        <v>1991</v>
      </c>
      <c r="E984" s="217"/>
      <c r="F984" s="233" t="s">
        <v>318</v>
      </c>
      <c r="G984" s="217" t="s">
        <v>351</v>
      </c>
      <c r="H984" s="217" t="s">
        <v>371</v>
      </c>
      <c r="I984" s="218">
        <v>6396.71</v>
      </c>
      <c r="J984" s="218">
        <v>4687.3900000000003</v>
      </c>
      <c r="K984" s="218">
        <v>4687.3900000000003</v>
      </c>
      <c r="L984" s="231">
        <v>185</v>
      </c>
      <c r="M984" s="217" t="s">
        <v>265</v>
      </c>
      <c r="N984" s="217" t="s">
        <v>269</v>
      </c>
      <c r="O984" s="217" t="s">
        <v>294</v>
      </c>
      <c r="P984" s="218">
        <v>6346318.1600000001</v>
      </c>
      <c r="Q984" s="218">
        <v>0</v>
      </c>
      <c r="R984" s="218">
        <v>0</v>
      </c>
      <c r="S984" s="218">
        <f t="shared" si="120"/>
        <v>6346318.1600000001</v>
      </c>
      <c r="T984" s="190">
        <f t="shared" si="119"/>
        <v>992.1222253314595</v>
      </c>
      <c r="U984" s="190">
        <v>1254.6177322404799</v>
      </c>
      <c r="V984" s="221">
        <f t="shared" si="115"/>
        <v>262.49550690902038</v>
      </c>
      <c r="W984" s="221">
        <f t="shared" si="121"/>
        <v>723.49083339716822</v>
      </c>
      <c r="X984" s="221">
        <v>0</v>
      </c>
      <c r="Y984" s="222">
        <v>0</v>
      </c>
      <c r="Z984" s="222">
        <v>0</v>
      </c>
      <c r="AA984" s="222">
        <v>0</v>
      </c>
      <c r="AB984" s="222">
        <v>0</v>
      </c>
      <c r="AC984" s="222">
        <v>0</v>
      </c>
      <c r="AD984" s="222">
        <v>0</v>
      </c>
      <c r="AE984" s="222">
        <v>741.79</v>
      </c>
      <c r="AF984" s="221">
        <f t="shared" si="122"/>
        <v>723.49083339716822</v>
      </c>
      <c r="AG984" s="222">
        <v>0</v>
      </c>
      <c r="AH984" s="221">
        <v>0</v>
      </c>
      <c r="AI984" s="222">
        <v>0</v>
      </c>
      <c r="AJ984" s="221">
        <v>0</v>
      </c>
      <c r="AK984" s="222">
        <v>0</v>
      </c>
      <c r="AL984" s="222">
        <v>0</v>
      </c>
      <c r="AM984" s="222">
        <v>0</v>
      </c>
      <c r="AN984" s="222"/>
      <c r="AO984" s="222">
        <v>0</v>
      </c>
      <c r="AP984" s="223"/>
      <c r="DQ984" s="234"/>
      <c r="DR984" s="234"/>
      <c r="DS984" s="234"/>
      <c r="EP984" s="235"/>
      <c r="FS984" s="236"/>
      <c r="GI984" s="237"/>
    </row>
    <row r="985" spans="1:191" s="154" customFormat="1" ht="36" customHeight="1" x14ac:dyDescent="0.25">
      <c r="A985" s="223">
        <v>1</v>
      </c>
      <c r="B985" s="225">
        <f>SUBTOTAL(103,$A$552:A985)</f>
        <v>381</v>
      </c>
      <c r="C985" s="232" t="s">
        <v>2311</v>
      </c>
      <c r="D985" s="217">
        <v>1956</v>
      </c>
      <c r="E985" s="217"/>
      <c r="F985" s="226" t="s">
        <v>267</v>
      </c>
      <c r="G985" s="217">
        <v>2</v>
      </c>
      <c r="H985" s="217">
        <v>2</v>
      </c>
      <c r="I985" s="218">
        <v>586.9</v>
      </c>
      <c r="J985" s="218">
        <v>537.87</v>
      </c>
      <c r="K985" s="218">
        <v>537.87</v>
      </c>
      <c r="L985" s="231">
        <v>34</v>
      </c>
      <c r="M985" s="217" t="s">
        <v>265</v>
      </c>
      <c r="N985" s="217" t="s">
        <v>266</v>
      </c>
      <c r="O985" s="220" t="s">
        <v>268</v>
      </c>
      <c r="P985" s="218">
        <v>4224800.43</v>
      </c>
      <c r="Q985" s="218">
        <v>0</v>
      </c>
      <c r="R985" s="218">
        <v>0</v>
      </c>
      <c r="S985" s="218">
        <f t="shared" si="120"/>
        <v>4224800.43</v>
      </c>
      <c r="T985" s="190">
        <f t="shared" si="119"/>
        <v>7198.5013290168681</v>
      </c>
      <c r="U985" s="190">
        <v>7198.5013290168681</v>
      </c>
      <c r="V985" s="221">
        <f t="shared" si="115"/>
        <v>0</v>
      </c>
      <c r="W985" s="221">
        <f t="shared" si="121"/>
        <v>7885.4337176691088</v>
      </c>
      <c r="X985" s="221">
        <v>0</v>
      </c>
      <c r="Y985" s="222">
        <v>0</v>
      </c>
      <c r="Z985" s="222">
        <v>0</v>
      </c>
      <c r="AA985" s="222">
        <v>0</v>
      </c>
      <c r="AB985" s="222">
        <v>0</v>
      </c>
      <c r="AC985" s="222">
        <v>0</v>
      </c>
      <c r="AD985" s="222">
        <v>0</v>
      </c>
      <c r="AE985" s="222">
        <v>741.79</v>
      </c>
      <c r="AF985" s="221">
        <f t="shared" si="122"/>
        <v>7885.4337176691088</v>
      </c>
      <c r="AG985" s="222">
        <v>0</v>
      </c>
      <c r="AH985" s="221">
        <v>0</v>
      </c>
      <c r="AI985" s="222">
        <v>0</v>
      </c>
      <c r="AJ985" s="221">
        <v>0</v>
      </c>
      <c r="AK985" s="222">
        <v>0</v>
      </c>
      <c r="AL985" s="222">
        <v>0</v>
      </c>
      <c r="AM985" s="222">
        <v>0</v>
      </c>
      <c r="AN985" s="222"/>
      <c r="AO985" s="222">
        <v>0</v>
      </c>
      <c r="AP985" s="223"/>
      <c r="DQ985" s="234"/>
      <c r="DR985" s="234"/>
      <c r="DS985" s="234"/>
      <c r="EP985" s="235"/>
      <c r="FS985" s="236"/>
      <c r="GI985" s="237"/>
    </row>
    <row r="986" spans="1:191" s="223" customFormat="1" ht="36" customHeight="1" x14ac:dyDescent="0.25">
      <c r="B986" s="215" t="s">
        <v>854</v>
      </c>
      <c r="C986" s="227"/>
      <c r="D986" s="217" t="s">
        <v>890</v>
      </c>
      <c r="E986" s="217" t="s">
        <v>890</v>
      </c>
      <c r="F986" s="217" t="s">
        <v>890</v>
      </c>
      <c r="G986" s="217" t="s">
        <v>890</v>
      </c>
      <c r="H986" s="217" t="s">
        <v>890</v>
      </c>
      <c r="I986" s="218">
        <f>SUM(I987:I989)</f>
        <v>4721.28</v>
      </c>
      <c r="J986" s="218">
        <f>SUM(J987:J989)</f>
        <v>3756.3999999999996</v>
      </c>
      <c r="K986" s="218">
        <f>SUM(K987:K989)</f>
        <v>3632.2</v>
      </c>
      <c r="L986" s="219">
        <f>SUM(L987:L989)</f>
        <v>152</v>
      </c>
      <c r="M986" s="217" t="s">
        <v>890</v>
      </c>
      <c r="N986" s="217" t="s">
        <v>890</v>
      </c>
      <c r="O986" s="220" t="s">
        <v>890</v>
      </c>
      <c r="P986" s="190">
        <v>14837581.219999999</v>
      </c>
      <c r="Q986" s="190">
        <f>SUM(Q987:Q989)</f>
        <v>0</v>
      </c>
      <c r="R986" s="190">
        <f>SUM(R987:R989)</f>
        <v>0</v>
      </c>
      <c r="S986" s="190">
        <f>SUM(S987:S989)</f>
        <v>14837581.219999999</v>
      </c>
      <c r="T986" s="190">
        <f t="shared" si="119"/>
        <v>3142.7030847566762</v>
      </c>
      <c r="U986" s="190">
        <f>MAX(U987:U989)</f>
        <v>24291.693216410902</v>
      </c>
      <c r="V986" s="221">
        <f t="shared" si="115"/>
        <v>21148.990131654227</v>
      </c>
      <c r="W986" s="221"/>
      <c r="X986" s="221"/>
      <c r="Y986" s="222"/>
      <c r="Z986" s="222"/>
      <c r="AA986" s="222"/>
      <c r="AB986" s="222"/>
      <c r="AC986" s="222"/>
      <c r="AD986" s="222"/>
      <c r="AE986" s="222"/>
      <c r="AF986" s="222"/>
      <c r="AG986" s="222"/>
      <c r="AH986" s="222"/>
      <c r="AI986" s="222"/>
      <c r="AJ986" s="222"/>
      <c r="AK986" s="222"/>
      <c r="AL986" s="222"/>
      <c r="AM986" s="222"/>
      <c r="AN986" s="222"/>
      <c r="AO986" s="222"/>
    </row>
    <row r="987" spans="1:191" s="223" customFormat="1" ht="36" customHeight="1" x14ac:dyDescent="0.25">
      <c r="A987" s="223">
        <v>1</v>
      </c>
      <c r="B987" s="225">
        <f>SUBTOTAL(103,$A$552:A987)</f>
        <v>382</v>
      </c>
      <c r="C987" s="215" t="s">
        <v>96</v>
      </c>
      <c r="D987" s="217">
        <v>1967</v>
      </c>
      <c r="E987" s="217"/>
      <c r="F987" s="226" t="s">
        <v>267</v>
      </c>
      <c r="G987" s="217">
        <v>2</v>
      </c>
      <c r="H987" s="217" t="s">
        <v>312</v>
      </c>
      <c r="I987" s="218">
        <v>987</v>
      </c>
      <c r="J987" s="218">
        <v>987</v>
      </c>
      <c r="K987" s="218">
        <v>915.8</v>
      </c>
      <c r="L987" s="219">
        <v>20</v>
      </c>
      <c r="M987" s="217" t="s">
        <v>265</v>
      </c>
      <c r="N987" s="217" t="s">
        <v>269</v>
      </c>
      <c r="O987" s="220" t="s">
        <v>282</v>
      </c>
      <c r="P987" s="190">
        <v>4020786</v>
      </c>
      <c r="Q987" s="190">
        <v>0</v>
      </c>
      <c r="R987" s="190">
        <v>0</v>
      </c>
      <c r="S987" s="190">
        <f>P987-Q987-R987</f>
        <v>4020786</v>
      </c>
      <c r="T987" s="190">
        <f t="shared" si="119"/>
        <v>4073.744680851064</v>
      </c>
      <c r="U987" s="190">
        <v>5076.9290780141846</v>
      </c>
      <c r="V987" s="221">
        <f t="shared" si="115"/>
        <v>1003.1843971631206</v>
      </c>
      <c r="W987" s="221">
        <f>X987+Y987+Z987+AA987+AB987+AD987+AF987+AH987+AJ987+AL987+AN987+AO987</f>
        <v>4867.2347517730495</v>
      </c>
      <c r="X987" s="221">
        <v>0</v>
      </c>
      <c r="Y987" s="222">
        <v>0</v>
      </c>
      <c r="Z987" s="222">
        <v>0</v>
      </c>
      <c r="AA987" s="222">
        <v>0</v>
      </c>
      <c r="AB987" s="222">
        <v>0</v>
      </c>
      <c r="AC987" s="222">
        <v>0</v>
      </c>
      <c r="AD987" s="222">
        <v>0</v>
      </c>
      <c r="AE987" s="222">
        <v>770</v>
      </c>
      <c r="AF987" s="221">
        <f>6238.91*AE987/I987</f>
        <v>4867.2347517730495</v>
      </c>
      <c r="AG987" s="222">
        <v>0</v>
      </c>
      <c r="AH987" s="221">
        <v>0</v>
      </c>
      <c r="AI987" s="222">
        <v>0</v>
      </c>
      <c r="AJ987" s="221">
        <v>0</v>
      </c>
      <c r="AK987" s="222">
        <v>0</v>
      </c>
      <c r="AL987" s="222">
        <v>0</v>
      </c>
      <c r="AM987" s="222">
        <v>0</v>
      </c>
      <c r="AN987" s="222"/>
      <c r="AO987" s="222">
        <v>0</v>
      </c>
    </row>
    <row r="988" spans="1:191" s="223" customFormat="1" ht="36" customHeight="1" x14ac:dyDescent="0.25">
      <c r="A988" s="223">
        <v>1</v>
      </c>
      <c r="B988" s="225">
        <f>SUBTOTAL(103,$A$552:A988)</f>
        <v>383</v>
      </c>
      <c r="C988" s="215" t="s">
        <v>95</v>
      </c>
      <c r="D988" s="217">
        <v>1971</v>
      </c>
      <c r="E988" s="217"/>
      <c r="F988" s="226" t="s">
        <v>267</v>
      </c>
      <c r="G988" s="217">
        <v>5</v>
      </c>
      <c r="H988" s="217" t="s">
        <v>308</v>
      </c>
      <c r="I988" s="218">
        <v>3414.98</v>
      </c>
      <c r="J988" s="218">
        <v>2564.1999999999998</v>
      </c>
      <c r="K988" s="218">
        <v>2564.1999999999998</v>
      </c>
      <c r="L988" s="219">
        <v>118</v>
      </c>
      <c r="M988" s="217" t="s">
        <v>265</v>
      </c>
      <c r="N988" s="217" t="s">
        <v>269</v>
      </c>
      <c r="O988" s="220" t="s">
        <v>280</v>
      </c>
      <c r="P988" s="190">
        <v>5034262.3099999996</v>
      </c>
      <c r="Q988" s="190">
        <v>0</v>
      </c>
      <c r="R988" s="190">
        <v>0</v>
      </c>
      <c r="S988" s="190">
        <f>P988-Q988-R988</f>
        <v>5034262.3099999996</v>
      </c>
      <c r="T988" s="190">
        <f t="shared" si="119"/>
        <v>1474.1703641016929</v>
      </c>
      <c r="U988" s="190">
        <v>1825.5968116943582</v>
      </c>
      <c r="V988" s="221">
        <f>U988-T988</f>
        <v>351.42644759266523</v>
      </c>
      <c r="W988" s="221">
        <f>X988+Y988+Z988+AA988+AB988+AD988+AF988+AH988+AJ988+AL988+AN988+AO988</f>
        <v>1750.1934945446239</v>
      </c>
      <c r="X988" s="221">
        <v>0</v>
      </c>
      <c r="Y988" s="222">
        <v>0</v>
      </c>
      <c r="Z988" s="222">
        <v>0</v>
      </c>
      <c r="AA988" s="222">
        <v>0</v>
      </c>
      <c r="AB988" s="222">
        <v>0</v>
      </c>
      <c r="AC988" s="222">
        <v>0</v>
      </c>
      <c r="AD988" s="222">
        <v>0</v>
      </c>
      <c r="AE988" s="222">
        <v>958</v>
      </c>
      <c r="AF988" s="221">
        <f>6238.91*AE988/I988</f>
        <v>1750.1934945446239</v>
      </c>
      <c r="AG988" s="222">
        <v>0</v>
      </c>
      <c r="AH988" s="221">
        <v>0</v>
      </c>
      <c r="AI988" s="222">
        <v>0</v>
      </c>
      <c r="AJ988" s="221">
        <v>0</v>
      </c>
      <c r="AK988" s="222">
        <v>0</v>
      </c>
      <c r="AL988" s="222">
        <v>0</v>
      </c>
      <c r="AM988" s="222">
        <v>0</v>
      </c>
      <c r="AN988" s="222"/>
      <c r="AO988" s="222">
        <v>0</v>
      </c>
    </row>
    <row r="989" spans="1:191" s="223" customFormat="1" ht="36" customHeight="1" x14ac:dyDescent="0.25">
      <c r="A989" s="223">
        <v>1</v>
      </c>
      <c r="B989" s="225">
        <f>SUBTOTAL(103,$A$552:A989)</f>
        <v>384</v>
      </c>
      <c r="C989" s="215" t="s">
        <v>1262</v>
      </c>
      <c r="D989" s="217">
        <v>1917</v>
      </c>
      <c r="E989" s="217"/>
      <c r="F989" s="226" t="s">
        <v>267</v>
      </c>
      <c r="G989" s="217">
        <v>2</v>
      </c>
      <c r="H989" s="217" t="s">
        <v>304</v>
      </c>
      <c r="I989" s="190">
        <v>319.3</v>
      </c>
      <c r="J989" s="190">
        <v>205.2</v>
      </c>
      <c r="K989" s="190">
        <v>152.19999999999999</v>
      </c>
      <c r="L989" s="219">
        <v>14</v>
      </c>
      <c r="M989" s="217" t="s">
        <v>265</v>
      </c>
      <c r="N989" s="217" t="s">
        <v>266</v>
      </c>
      <c r="O989" s="220" t="s">
        <v>268</v>
      </c>
      <c r="P989" s="190">
        <v>5782532.9099999992</v>
      </c>
      <c r="Q989" s="190">
        <v>0</v>
      </c>
      <c r="R989" s="190">
        <v>0</v>
      </c>
      <c r="S989" s="190">
        <f>P989-Q989-R989</f>
        <v>5782532.9099999992</v>
      </c>
      <c r="T989" s="190">
        <f t="shared" si="119"/>
        <v>18110.031036642653</v>
      </c>
      <c r="U989" s="190">
        <v>24291.693216410902</v>
      </c>
      <c r="V989" s="221">
        <f>U989-T989</f>
        <v>6181.6621797682492</v>
      </c>
      <c r="W989" s="221">
        <f>X989+Y989+Z989+AA989+AB989+AD989+AF989+AH989+AJ989+AL989+AN989+AO989</f>
        <v>7003.2888261822736</v>
      </c>
      <c r="X989" s="221">
        <v>0</v>
      </c>
      <c r="Y989" s="222">
        <v>0</v>
      </c>
      <c r="Z989" s="222">
        <v>0</v>
      </c>
      <c r="AA989" s="222">
        <v>0</v>
      </c>
      <c r="AB989" s="222">
        <v>0</v>
      </c>
      <c r="AC989" s="222">
        <v>0</v>
      </c>
      <c r="AD989" s="222">
        <v>0</v>
      </c>
      <c r="AE989" s="222">
        <v>358.42</v>
      </c>
      <c r="AF989" s="221">
        <f>6238.91*AE989/I989</f>
        <v>7003.2888261822736</v>
      </c>
      <c r="AG989" s="222">
        <v>0</v>
      </c>
      <c r="AH989" s="221">
        <v>0</v>
      </c>
      <c r="AI989" s="222">
        <v>0</v>
      </c>
      <c r="AJ989" s="221">
        <v>0</v>
      </c>
      <c r="AK989" s="222">
        <v>0</v>
      </c>
      <c r="AL989" s="222">
        <v>0</v>
      </c>
      <c r="AM989" s="222">
        <v>0</v>
      </c>
      <c r="AN989" s="222"/>
      <c r="AO989" s="222">
        <v>0</v>
      </c>
    </row>
    <row r="990" spans="1:191" s="223" customFormat="1" ht="36" customHeight="1" x14ac:dyDescent="0.25">
      <c r="B990" s="215" t="s">
        <v>855</v>
      </c>
      <c r="C990" s="215"/>
      <c r="D990" s="217" t="s">
        <v>890</v>
      </c>
      <c r="E990" s="217" t="s">
        <v>890</v>
      </c>
      <c r="F990" s="217" t="s">
        <v>890</v>
      </c>
      <c r="G990" s="217" t="s">
        <v>890</v>
      </c>
      <c r="H990" s="217" t="s">
        <v>890</v>
      </c>
      <c r="I990" s="218">
        <f>I991</f>
        <v>708.1</v>
      </c>
      <c r="J990" s="218">
        <f>J991</f>
        <v>708.1</v>
      </c>
      <c r="K990" s="218">
        <f>K991</f>
        <v>650.9</v>
      </c>
      <c r="L990" s="219">
        <f>L991</f>
        <v>42</v>
      </c>
      <c r="M990" s="217" t="s">
        <v>890</v>
      </c>
      <c r="N990" s="217" t="s">
        <v>890</v>
      </c>
      <c r="O990" s="220" t="s">
        <v>890</v>
      </c>
      <c r="P990" s="190">
        <v>3029954.81</v>
      </c>
      <c r="Q990" s="190">
        <f>Q991</f>
        <v>0</v>
      </c>
      <c r="R990" s="190">
        <f>R991</f>
        <v>0</v>
      </c>
      <c r="S990" s="190">
        <f>S991</f>
        <v>3029954.81</v>
      </c>
      <c r="T990" s="190">
        <f t="shared" si="119"/>
        <v>4278.9928117497529</v>
      </c>
      <c r="U990" s="190">
        <f>U991</f>
        <v>5422.3174692839993</v>
      </c>
      <c r="V990" s="221">
        <f t="shared" si="115"/>
        <v>1143.3246575342464</v>
      </c>
      <c r="W990" s="221"/>
      <c r="X990" s="221"/>
      <c r="Y990" s="222"/>
      <c r="Z990" s="222"/>
      <c r="AA990" s="222"/>
      <c r="AB990" s="222"/>
      <c r="AC990" s="222"/>
      <c r="AD990" s="222"/>
      <c r="AE990" s="222"/>
      <c r="AF990" s="222"/>
      <c r="AG990" s="222"/>
      <c r="AH990" s="222"/>
      <c r="AI990" s="222"/>
      <c r="AJ990" s="222"/>
      <c r="AK990" s="222"/>
      <c r="AL990" s="222"/>
      <c r="AM990" s="222"/>
      <c r="AN990" s="222"/>
      <c r="AO990" s="222"/>
    </row>
    <row r="991" spans="1:191" s="223" customFormat="1" ht="36" customHeight="1" x14ac:dyDescent="0.25">
      <c r="A991" s="223">
        <v>1</v>
      </c>
      <c r="B991" s="225">
        <f>SUBTOTAL(103,$A$552:A991)</f>
        <v>385</v>
      </c>
      <c r="C991" s="215" t="s">
        <v>97</v>
      </c>
      <c r="D991" s="217">
        <v>1969</v>
      </c>
      <c r="E991" s="217"/>
      <c r="F991" s="226" t="s">
        <v>267</v>
      </c>
      <c r="G991" s="217">
        <v>2</v>
      </c>
      <c r="H991" s="217" t="s">
        <v>303</v>
      </c>
      <c r="I991" s="218">
        <v>708.1</v>
      </c>
      <c r="J991" s="218">
        <v>708.1</v>
      </c>
      <c r="K991" s="218">
        <v>650.9</v>
      </c>
      <c r="L991" s="219">
        <v>42</v>
      </c>
      <c r="M991" s="217" t="s">
        <v>265</v>
      </c>
      <c r="N991" s="217" t="s">
        <v>269</v>
      </c>
      <c r="O991" s="220" t="s">
        <v>994</v>
      </c>
      <c r="P991" s="190">
        <v>3029954.81</v>
      </c>
      <c r="Q991" s="190">
        <v>0</v>
      </c>
      <c r="R991" s="190">
        <v>0</v>
      </c>
      <c r="S991" s="190">
        <f>P991-Q991-R991</f>
        <v>3029954.81</v>
      </c>
      <c r="T991" s="190">
        <f t="shared" si="119"/>
        <v>4278.9928117497529</v>
      </c>
      <c r="U991" s="190">
        <v>5422.3174692839993</v>
      </c>
      <c r="V991" s="221">
        <f>U991-T991</f>
        <v>1143.3246575342464</v>
      </c>
      <c r="W991" s="221">
        <f>X991+Y991+Z991+AA991+AB991+AD991+AF991+AH991+AJ991+AL991+AN991+AO991</f>
        <v>5198.3574353904814</v>
      </c>
      <c r="X991" s="221">
        <v>0</v>
      </c>
      <c r="Y991" s="222">
        <v>0</v>
      </c>
      <c r="Z991" s="222">
        <v>0</v>
      </c>
      <c r="AA991" s="222">
        <v>0</v>
      </c>
      <c r="AB991" s="222">
        <v>0</v>
      </c>
      <c r="AC991" s="222">
        <v>0</v>
      </c>
      <c r="AD991" s="222">
        <v>0</v>
      </c>
      <c r="AE991" s="222">
        <v>590</v>
      </c>
      <c r="AF991" s="221">
        <f>6238.91*AE991/I991</f>
        <v>5198.3574353904814</v>
      </c>
      <c r="AG991" s="222">
        <v>0</v>
      </c>
      <c r="AH991" s="221">
        <v>0</v>
      </c>
      <c r="AI991" s="222">
        <v>0</v>
      </c>
      <c r="AJ991" s="221">
        <v>0</v>
      </c>
      <c r="AK991" s="222">
        <v>0</v>
      </c>
      <c r="AL991" s="222">
        <v>0</v>
      </c>
      <c r="AM991" s="222">
        <v>0</v>
      </c>
      <c r="AN991" s="222"/>
      <c r="AO991" s="222">
        <v>0</v>
      </c>
    </row>
    <row r="992" spans="1:191" s="223" customFormat="1" ht="36" customHeight="1" x14ac:dyDescent="0.25">
      <c r="B992" s="215" t="s">
        <v>879</v>
      </c>
      <c r="C992" s="215"/>
      <c r="D992" s="217" t="s">
        <v>890</v>
      </c>
      <c r="E992" s="217" t="s">
        <v>890</v>
      </c>
      <c r="F992" s="217" t="s">
        <v>890</v>
      </c>
      <c r="G992" s="217" t="s">
        <v>890</v>
      </c>
      <c r="H992" s="217" t="s">
        <v>890</v>
      </c>
      <c r="I992" s="218">
        <f>I993</f>
        <v>788.3</v>
      </c>
      <c r="J992" s="218">
        <f>J993</f>
        <v>726.9</v>
      </c>
      <c r="K992" s="218">
        <f>K993</f>
        <v>726.9</v>
      </c>
      <c r="L992" s="219">
        <f>L993</f>
        <v>16</v>
      </c>
      <c r="M992" s="217" t="s">
        <v>890</v>
      </c>
      <c r="N992" s="217" t="s">
        <v>890</v>
      </c>
      <c r="O992" s="220" t="s">
        <v>890</v>
      </c>
      <c r="P992" s="190">
        <v>4784142.66</v>
      </c>
      <c r="Q992" s="190">
        <f>Q993</f>
        <v>0</v>
      </c>
      <c r="R992" s="190">
        <f>R993</f>
        <v>0</v>
      </c>
      <c r="S992" s="190">
        <f>S993</f>
        <v>4784142.66</v>
      </c>
      <c r="T992" s="190">
        <f t="shared" si="119"/>
        <v>6068.9365216288224</v>
      </c>
      <c r="U992" s="190">
        <f>U993</f>
        <v>6068.9365216288224</v>
      </c>
      <c r="V992" s="221">
        <f t="shared" si="115"/>
        <v>0</v>
      </c>
      <c r="W992" s="221"/>
      <c r="X992" s="221"/>
      <c r="Y992" s="222"/>
      <c r="Z992" s="222"/>
      <c r="AA992" s="222"/>
      <c r="AB992" s="222"/>
      <c r="AC992" s="222"/>
      <c r="AD992" s="222"/>
      <c r="AE992" s="222"/>
      <c r="AF992" s="222"/>
      <c r="AG992" s="222"/>
      <c r="AH992" s="222"/>
      <c r="AI992" s="222"/>
      <c r="AJ992" s="222"/>
      <c r="AK992" s="222"/>
      <c r="AL992" s="222"/>
      <c r="AM992" s="222"/>
      <c r="AN992" s="222"/>
      <c r="AO992" s="222"/>
    </row>
    <row r="993" spans="1:41" s="223" customFormat="1" ht="36" customHeight="1" x14ac:dyDescent="0.25">
      <c r="A993" s="223">
        <v>1</v>
      </c>
      <c r="B993" s="225">
        <f>SUBTOTAL(103,$A$552:A993)</f>
        <v>386</v>
      </c>
      <c r="C993" s="215" t="s">
        <v>98</v>
      </c>
      <c r="D993" s="217">
        <v>1972</v>
      </c>
      <c r="E993" s="217"/>
      <c r="F993" s="226" t="s">
        <v>267</v>
      </c>
      <c r="G993" s="217">
        <v>2</v>
      </c>
      <c r="H993" s="217" t="s">
        <v>303</v>
      </c>
      <c r="I993" s="218">
        <v>788.3</v>
      </c>
      <c r="J993" s="218">
        <v>726.9</v>
      </c>
      <c r="K993" s="218">
        <v>726.9</v>
      </c>
      <c r="L993" s="219">
        <v>16</v>
      </c>
      <c r="M993" s="217" t="s">
        <v>265</v>
      </c>
      <c r="N993" s="217" t="s">
        <v>283</v>
      </c>
      <c r="O993" s="220" t="s">
        <v>268</v>
      </c>
      <c r="P993" s="190">
        <v>4784142.66</v>
      </c>
      <c r="Q993" s="190">
        <v>0</v>
      </c>
      <c r="R993" s="190">
        <v>0</v>
      </c>
      <c r="S993" s="190">
        <f>P993-Q993-R993</f>
        <v>4784142.66</v>
      </c>
      <c r="T993" s="190">
        <f t="shared" si="119"/>
        <v>6068.9365216288224</v>
      </c>
      <c r="U993" s="190">
        <v>6068.9365216288224</v>
      </c>
      <c r="V993" s="221">
        <f>U993-T993</f>
        <v>0</v>
      </c>
      <c r="W993" s="221">
        <f>X993+Y993+Z993+AA993+AB993+AD993+AF993+AH993+AJ993+AL993+AN993+AO993</f>
        <v>5540.0697703919832</v>
      </c>
      <c r="X993" s="221">
        <v>0</v>
      </c>
      <c r="Y993" s="222">
        <v>0</v>
      </c>
      <c r="Z993" s="222">
        <v>0</v>
      </c>
      <c r="AA993" s="222">
        <v>0</v>
      </c>
      <c r="AB993" s="222">
        <v>0</v>
      </c>
      <c r="AC993" s="222">
        <v>0</v>
      </c>
      <c r="AD993" s="222">
        <v>0</v>
      </c>
      <c r="AE993" s="222">
        <v>700</v>
      </c>
      <c r="AF993" s="221">
        <f>6238.91*AE993/I993</f>
        <v>5540.0697703919832</v>
      </c>
      <c r="AG993" s="222">
        <v>0</v>
      </c>
      <c r="AH993" s="221">
        <v>0</v>
      </c>
      <c r="AI993" s="222">
        <v>0</v>
      </c>
      <c r="AJ993" s="221">
        <v>0</v>
      </c>
      <c r="AK993" s="222">
        <v>0</v>
      </c>
      <c r="AL993" s="222">
        <v>0</v>
      </c>
      <c r="AM993" s="222">
        <v>0</v>
      </c>
      <c r="AN993" s="222"/>
      <c r="AO993" s="222">
        <v>0</v>
      </c>
    </row>
    <row r="994" spans="1:41" s="223" customFormat="1" ht="36" customHeight="1" x14ac:dyDescent="0.25">
      <c r="B994" s="215" t="s">
        <v>856</v>
      </c>
      <c r="C994" s="215"/>
      <c r="D994" s="217" t="s">
        <v>890</v>
      </c>
      <c r="E994" s="217" t="s">
        <v>890</v>
      </c>
      <c r="F994" s="217" t="s">
        <v>890</v>
      </c>
      <c r="G994" s="217" t="s">
        <v>890</v>
      </c>
      <c r="H994" s="217" t="s">
        <v>890</v>
      </c>
      <c r="I994" s="218">
        <f>I995</f>
        <v>758.5</v>
      </c>
      <c r="J994" s="218">
        <f>J995</f>
        <v>758.5</v>
      </c>
      <c r="K994" s="218">
        <f>K995</f>
        <v>400</v>
      </c>
      <c r="L994" s="219">
        <f>L995</f>
        <v>31</v>
      </c>
      <c r="M994" s="217" t="s">
        <v>890</v>
      </c>
      <c r="N994" s="217" t="s">
        <v>890</v>
      </c>
      <c r="O994" s="220" t="s">
        <v>890</v>
      </c>
      <c r="P994" s="190">
        <v>877727.45000000007</v>
      </c>
      <c r="Q994" s="190">
        <f>Q995</f>
        <v>0</v>
      </c>
      <c r="R994" s="190">
        <f>R995</f>
        <v>0</v>
      </c>
      <c r="S994" s="190">
        <f>S995</f>
        <v>877727.45000000007</v>
      </c>
      <c r="T994" s="190">
        <f t="shared" si="119"/>
        <v>1157.1884640738301</v>
      </c>
      <c r="U994" s="190">
        <f>U995</f>
        <v>1157.1884640738301</v>
      </c>
      <c r="V994" s="221">
        <f>U994-T994</f>
        <v>0</v>
      </c>
      <c r="W994" s="221"/>
      <c r="X994" s="221"/>
      <c r="Y994" s="222"/>
      <c r="Z994" s="222"/>
      <c r="AA994" s="222"/>
      <c r="AB994" s="222"/>
      <c r="AC994" s="222"/>
      <c r="AD994" s="222"/>
      <c r="AE994" s="222"/>
      <c r="AF994" s="222"/>
      <c r="AG994" s="222"/>
      <c r="AH994" s="222"/>
      <c r="AI994" s="222"/>
      <c r="AJ994" s="222"/>
      <c r="AK994" s="222"/>
      <c r="AL994" s="222"/>
      <c r="AM994" s="222"/>
      <c r="AN994" s="222"/>
      <c r="AO994" s="222"/>
    </row>
    <row r="995" spans="1:41" s="223" customFormat="1" ht="36" customHeight="1" x14ac:dyDescent="0.25">
      <c r="A995" s="223">
        <v>1</v>
      </c>
      <c r="B995" s="225">
        <f>SUBTOTAL(103,$A$552:A995)</f>
        <v>387</v>
      </c>
      <c r="C995" s="215" t="s">
        <v>1607</v>
      </c>
      <c r="D995" s="217">
        <v>1974</v>
      </c>
      <c r="E995" s="217"/>
      <c r="F995" s="226" t="s">
        <v>1341</v>
      </c>
      <c r="G995" s="217">
        <v>2</v>
      </c>
      <c r="H995" s="217" t="s">
        <v>312</v>
      </c>
      <c r="I995" s="218">
        <v>758.5</v>
      </c>
      <c r="J995" s="218">
        <v>758.5</v>
      </c>
      <c r="K995" s="218">
        <v>400</v>
      </c>
      <c r="L995" s="219">
        <v>31</v>
      </c>
      <c r="M995" s="217" t="s">
        <v>265</v>
      </c>
      <c r="N995" s="217" t="s">
        <v>266</v>
      </c>
      <c r="O995" s="220" t="s">
        <v>268</v>
      </c>
      <c r="P995" s="190">
        <v>877727.45000000007</v>
      </c>
      <c r="Q995" s="190">
        <v>0</v>
      </c>
      <c r="R995" s="190">
        <v>0</v>
      </c>
      <c r="S995" s="190">
        <f>P995-Q995-R995</f>
        <v>877727.45000000007</v>
      </c>
      <c r="T995" s="190">
        <f t="shared" si="119"/>
        <v>1157.1884640738301</v>
      </c>
      <c r="U995" s="190">
        <v>1157.1884640738301</v>
      </c>
      <c r="V995" s="221">
        <f>U995-T995</f>
        <v>0</v>
      </c>
      <c r="W995" s="221">
        <f>X995+Y995+Z995+AA995+AB995+AD995+AF995+AH995+AJ995+AL995+AN995+AO995</f>
        <v>5757.7284113381675</v>
      </c>
      <c r="X995" s="221">
        <v>0</v>
      </c>
      <c r="Y995" s="222">
        <v>0</v>
      </c>
      <c r="Z995" s="222">
        <v>0</v>
      </c>
      <c r="AA995" s="222">
        <v>0</v>
      </c>
      <c r="AB995" s="222">
        <v>0</v>
      </c>
      <c r="AC995" s="222">
        <v>0</v>
      </c>
      <c r="AD995" s="222">
        <v>0</v>
      </c>
      <c r="AE995" s="222">
        <v>700</v>
      </c>
      <c r="AF995" s="221">
        <f>6238.91*AE995/I995</f>
        <v>5757.7284113381675</v>
      </c>
      <c r="AG995" s="222">
        <v>0</v>
      </c>
      <c r="AH995" s="221">
        <v>0</v>
      </c>
      <c r="AI995" s="222">
        <v>0</v>
      </c>
      <c r="AJ995" s="221">
        <v>0</v>
      </c>
      <c r="AK995" s="222">
        <v>0</v>
      </c>
      <c r="AL995" s="222">
        <v>0</v>
      </c>
      <c r="AM995" s="222">
        <v>0</v>
      </c>
      <c r="AN995" s="222"/>
      <c r="AO995" s="222">
        <v>0</v>
      </c>
    </row>
    <row r="996" spans="1:41" s="223" customFormat="1" ht="36" customHeight="1" x14ac:dyDescent="0.25">
      <c r="B996" s="215" t="s">
        <v>857</v>
      </c>
      <c r="C996" s="215"/>
      <c r="D996" s="217" t="s">
        <v>890</v>
      </c>
      <c r="E996" s="217" t="s">
        <v>890</v>
      </c>
      <c r="F996" s="217" t="s">
        <v>890</v>
      </c>
      <c r="G996" s="217" t="s">
        <v>890</v>
      </c>
      <c r="H996" s="217" t="s">
        <v>890</v>
      </c>
      <c r="I996" s="218">
        <f>I997</f>
        <v>707.1</v>
      </c>
      <c r="J996" s="218">
        <f>J997</f>
        <v>649.5</v>
      </c>
      <c r="K996" s="218">
        <f>K997</f>
        <v>464</v>
      </c>
      <c r="L996" s="219">
        <f>L997</f>
        <v>16</v>
      </c>
      <c r="M996" s="217" t="s">
        <v>890</v>
      </c>
      <c r="N996" s="217" t="s">
        <v>890</v>
      </c>
      <c r="O996" s="220" t="s">
        <v>890</v>
      </c>
      <c r="P996" s="190">
        <v>3108475.73</v>
      </c>
      <c r="Q996" s="190">
        <f>Q997</f>
        <v>0</v>
      </c>
      <c r="R996" s="190">
        <f>R997</f>
        <v>0</v>
      </c>
      <c r="S996" s="190">
        <f>S997</f>
        <v>3108475.73</v>
      </c>
      <c r="T996" s="190">
        <f t="shared" si="119"/>
        <v>4396.090694385518</v>
      </c>
      <c r="U996" s="190">
        <f>U997</f>
        <v>5429.9858577287514</v>
      </c>
      <c r="V996" s="221">
        <f t="shared" si="115"/>
        <v>1033.8951633432334</v>
      </c>
      <c r="W996" s="221"/>
      <c r="X996" s="221"/>
      <c r="Y996" s="222"/>
      <c r="Z996" s="222"/>
      <c r="AA996" s="222"/>
      <c r="AB996" s="222"/>
      <c r="AC996" s="222"/>
      <c r="AD996" s="222"/>
      <c r="AE996" s="222"/>
      <c r="AF996" s="222"/>
      <c r="AG996" s="222"/>
      <c r="AH996" s="222"/>
      <c r="AI996" s="222"/>
      <c r="AJ996" s="222"/>
      <c r="AK996" s="222"/>
      <c r="AL996" s="222"/>
      <c r="AM996" s="222"/>
      <c r="AN996" s="222"/>
      <c r="AO996" s="222"/>
    </row>
    <row r="997" spans="1:41" s="223" customFormat="1" ht="36" customHeight="1" x14ac:dyDescent="0.25">
      <c r="A997" s="223">
        <v>1</v>
      </c>
      <c r="B997" s="225">
        <f>SUBTOTAL(103,$A$552:A997)</f>
        <v>388</v>
      </c>
      <c r="C997" s="215" t="s">
        <v>99</v>
      </c>
      <c r="D997" s="217">
        <v>1971</v>
      </c>
      <c r="E997" s="217"/>
      <c r="F997" s="226" t="s">
        <v>267</v>
      </c>
      <c r="G997" s="217">
        <v>2</v>
      </c>
      <c r="H997" s="217" t="s">
        <v>303</v>
      </c>
      <c r="I997" s="218">
        <v>707.1</v>
      </c>
      <c r="J997" s="218">
        <v>649.5</v>
      </c>
      <c r="K997" s="218">
        <v>464</v>
      </c>
      <c r="L997" s="219">
        <v>16</v>
      </c>
      <c r="M997" s="217" t="s">
        <v>265</v>
      </c>
      <c r="N997" s="217" t="s">
        <v>269</v>
      </c>
      <c r="O997" s="220" t="s">
        <v>282</v>
      </c>
      <c r="P997" s="190">
        <v>3108475.73</v>
      </c>
      <c r="Q997" s="190">
        <v>0</v>
      </c>
      <c r="R997" s="190">
        <v>0</v>
      </c>
      <c r="S997" s="190">
        <f>P997-Q997-R997</f>
        <v>3108475.73</v>
      </c>
      <c r="T997" s="190">
        <f t="shared" si="119"/>
        <v>4396.090694385518</v>
      </c>
      <c r="U997" s="190">
        <v>5429.9858577287514</v>
      </c>
      <c r="V997" s="221">
        <f>U997-T997</f>
        <v>1033.8951633432334</v>
      </c>
      <c r="W997" s="221">
        <f>X997+Y997+Z997+AA997+AB997+AD997+AF997+AH997+AJ997+AL997+AN997+AO997</f>
        <v>5205.7090934804128</v>
      </c>
      <c r="X997" s="221">
        <v>0</v>
      </c>
      <c r="Y997" s="222">
        <v>0</v>
      </c>
      <c r="Z997" s="222">
        <v>0</v>
      </c>
      <c r="AA997" s="222">
        <v>0</v>
      </c>
      <c r="AB997" s="222">
        <v>0</v>
      </c>
      <c r="AC997" s="222">
        <v>0</v>
      </c>
      <c r="AD997" s="222">
        <v>0</v>
      </c>
      <c r="AE997" s="222">
        <v>590</v>
      </c>
      <c r="AF997" s="221">
        <f>6238.91*AE997/I997</f>
        <v>5205.7090934804128</v>
      </c>
      <c r="AG997" s="222">
        <v>0</v>
      </c>
      <c r="AH997" s="221">
        <v>0</v>
      </c>
      <c r="AI997" s="222">
        <v>0</v>
      </c>
      <c r="AJ997" s="221">
        <v>0</v>
      </c>
      <c r="AK997" s="222">
        <v>0</v>
      </c>
      <c r="AL997" s="222">
        <v>0</v>
      </c>
      <c r="AM997" s="222">
        <v>0</v>
      </c>
      <c r="AN997" s="222"/>
      <c r="AO997" s="222">
        <v>0</v>
      </c>
    </row>
    <row r="998" spans="1:41" s="223" customFormat="1" ht="36" customHeight="1" x14ac:dyDescent="0.25">
      <c r="B998" s="215" t="s">
        <v>858</v>
      </c>
      <c r="C998" s="227"/>
      <c r="D998" s="217" t="s">
        <v>890</v>
      </c>
      <c r="E998" s="217" t="s">
        <v>890</v>
      </c>
      <c r="F998" s="217" t="s">
        <v>890</v>
      </c>
      <c r="G998" s="217" t="s">
        <v>890</v>
      </c>
      <c r="H998" s="217" t="s">
        <v>890</v>
      </c>
      <c r="I998" s="218">
        <f>SUM(I999:I1003)</f>
        <v>3679.7</v>
      </c>
      <c r="J998" s="218">
        <f>SUM(J999:J1003)</f>
        <v>2952.8999999999996</v>
      </c>
      <c r="K998" s="218">
        <f>SUM(K999:K1003)</f>
        <v>2497.2999999999997</v>
      </c>
      <c r="L998" s="219">
        <f>SUM(L999:L1003)</f>
        <v>153</v>
      </c>
      <c r="M998" s="217" t="s">
        <v>890</v>
      </c>
      <c r="N998" s="217" t="s">
        <v>890</v>
      </c>
      <c r="O998" s="220" t="s">
        <v>890</v>
      </c>
      <c r="P998" s="190">
        <v>10682268.789999999</v>
      </c>
      <c r="Q998" s="190">
        <f>Q999+Q1000+Q1002</f>
        <v>0</v>
      </c>
      <c r="R998" s="190">
        <f>R999+R1000+R1002</f>
        <v>0</v>
      </c>
      <c r="S998" s="190">
        <f>SUM(S999:S1003)</f>
        <v>10682268.789999999</v>
      </c>
      <c r="T998" s="190">
        <f t="shared" si="119"/>
        <v>2903.0270918824904</v>
      </c>
      <c r="U998" s="190">
        <f>MAX(U999:U1003)</f>
        <v>8794.1891891891901</v>
      </c>
      <c r="V998" s="221">
        <f t="shared" si="115"/>
        <v>5891.1620973067002</v>
      </c>
      <c r="W998" s="221"/>
      <c r="X998" s="221"/>
      <c r="Y998" s="222"/>
      <c r="Z998" s="222"/>
      <c r="AA998" s="222"/>
      <c r="AB998" s="222"/>
      <c r="AC998" s="222"/>
      <c r="AD998" s="222"/>
      <c r="AE998" s="222"/>
      <c r="AF998" s="222"/>
      <c r="AG998" s="222"/>
      <c r="AH998" s="222"/>
      <c r="AI998" s="222"/>
      <c r="AJ998" s="222"/>
      <c r="AK998" s="222"/>
      <c r="AL998" s="222"/>
      <c r="AM998" s="222"/>
      <c r="AN998" s="222"/>
      <c r="AO998" s="222"/>
    </row>
    <row r="999" spans="1:41" s="223" customFormat="1" ht="36" customHeight="1" x14ac:dyDescent="0.25">
      <c r="A999" s="223">
        <v>1</v>
      </c>
      <c r="B999" s="225">
        <f>SUBTOTAL(103,$A$552:A999)</f>
        <v>389</v>
      </c>
      <c r="C999" s="215" t="s">
        <v>188</v>
      </c>
      <c r="D999" s="217" t="s">
        <v>309</v>
      </c>
      <c r="E999" s="217"/>
      <c r="F999" s="226" t="s">
        <v>267</v>
      </c>
      <c r="G999" s="217" t="s">
        <v>303</v>
      </c>
      <c r="H999" s="217" t="s">
        <v>303</v>
      </c>
      <c r="I999" s="218">
        <v>953.3</v>
      </c>
      <c r="J999" s="218">
        <v>668.7</v>
      </c>
      <c r="K999" s="218">
        <v>542.29999999999995</v>
      </c>
      <c r="L999" s="219">
        <v>31</v>
      </c>
      <c r="M999" s="217" t="s">
        <v>265</v>
      </c>
      <c r="N999" s="217" t="s">
        <v>266</v>
      </c>
      <c r="O999" s="220" t="s">
        <v>268</v>
      </c>
      <c r="P999" s="190">
        <v>3570649.73</v>
      </c>
      <c r="Q999" s="190">
        <v>0</v>
      </c>
      <c r="R999" s="190">
        <v>0</v>
      </c>
      <c r="S999" s="190">
        <f>P999-Q999-R999</f>
        <v>3570649.73</v>
      </c>
      <c r="T999" s="190">
        <f t="shared" si="119"/>
        <v>3745.5677436273995</v>
      </c>
      <c r="U999" s="190">
        <v>4751.2422112661288</v>
      </c>
      <c r="V999" s="221">
        <f t="shared" si="115"/>
        <v>1005.6744676387293</v>
      </c>
      <c r="W999" s="221">
        <f>X999+Y999+Z999+AA999+AB999+AD999+AF999+AH999+AJ999+AL999+AN999+AO999</f>
        <v>4554.9998531417186</v>
      </c>
      <c r="X999" s="221">
        <v>0</v>
      </c>
      <c r="Y999" s="222">
        <v>0</v>
      </c>
      <c r="Z999" s="222">
        <v>0</v>
      </c>
      <c r="AA999" s="222">
        <v>0</v>
      </c>
      <c r="AB999" s="222">
        <v>0</v>
      </c>
      <c r="AC999" s="222">
        <v>0</v>
      </c>
      <c r="AD999" s="222">
        <v>0</v>
      </c>
      <c r="AE999" s="222">
        <v>696</v>
      </c>
      <c r="AF999" s="221">
        <f>6238.91*AE999/I999</f>
        <v>4554.9998531417186</v>
      </c>
      <c r="AG999" s="222">
        <v>0</v>
      </c>
      <c r="AH999" s="221">
        <v>0</v>
      </c>
      <c r="AI999" s="222">
        <v>0</v>
      </c>
      <c r="AJ999" s="221">
        <v>0</v>
      </c>
      <c r="AK999" s="222">
        <v>0</v>
      </c>
      <c r="AL999" s="222">
        <v>0</v>
      </c>
      <c r="AM999" s="222">
        <v>0</v>
      </c>
      <c r="AN999" s="222"/>
      <c r="AO999" s="222">
        <v>0</v>
      </c>
    </row>
    <row r="1000" spans="1:41" s="223" customFormat="1" ht="36" customHeight="1" x14ac:dyDescent="0.25">
      <c r="A1000" s="223">
        <v>1</v>
      </c>
      <c r="B1000" s="225">
        <f>SUBTOTAL(103,$A$552:A1000)</f>
        <v>390</v>
      </c>
      <c r="C1000" s="215" t="s">
        <v>189</v>
      </c>
      <c r="D1000" s="217" t="s">
        <v>302</v>
      </c>
      <c r="E1000" s="217"/>
      <c r="F1000" s="226" t="s">
        <v>267</v>
      </c>
      <c r="G1000" s="217" t="s">
        <v>303</v>
      </c>
      <c r="H1000" s="217" t="s">
        <v>304</v>
      </c>
      <c r="I1000" s="218">
        <v>377.4</v>
      </c>
      <c r="J1000" s="218">
        <v>377.4</v>
      </c>
      <c r="K1000" s="218">
        <v>278.10000000000002</v>
      </c>
      <c r="L1000" s="219">
        <v>31</v>
      </c>
      <c r="M1000" s="217" t="s">
        <v>265</v>
      </c>
      <c r="N1000" s="217" t="s">
        <v>266</v>
      </c>
      <c r="O1000" s="220" t="s">
        <v>268</v>
      </c>
      <c r="P1000" s="190">
        <v>3173802.39</v>
      </c>
      <c r="Q1000" s="190">
        <v>0</v>
      </c>
      <c r="R1000" s="190">
        <v>0</v>
      </c>
      <c r="S1000" s="190">
        <f>P1000-Q1000-R1000</f>
        <v>3173802.39</v>
      </c>
      <c r="T1000" s="190">
        <f t="shared" si="119"/>
        <v>8409.651271860097</v>
      </c>
      <c r="U1000" s="190">
        <v>8794.1891891891901</v>
      </c>
      <c r="V1000" s="221">
        <f t="shared" si="115"/>
        <v>384.53791732909303</v>
      </c>
      <c r="W1000" s="221">
        <f>X1000+Y1000+Z1000+AA1000+AB1000+AD1000+AF1000+AH1000+AJ1000+AL1000+AN1000+AO1000</f>
        <v>8430.95945945946</v>
      </c>
      <c r="X1000" s="221">
        <v>0</v>
      </c>
      <c r="Y1000" s="222">
        <v>0</v>
      </c>
      <c r="Z1000" s="222">
        <v>0</v>
      </c>
      <c r="AA1000" s="222">
        <v>0</v>
      </c>
      <c r="AB1000" s="222">
        <v>0</v>
      </c>
      <c r="AC1000" s="222">
        <v>0</v>
      </c>
      <c r="AD1000" s="222">
        <v>0</v>
      </c>
      <c r="AE1000" s="222">
        <v>510</v>
      </c>
      <c r="AF1000" s="221">
        <f>6238.91*AE1000/I1000</f>
        <v>8430.95945945946</v>
      </c>
      <c r="AG1000" s="222">
        <v>0</v>
      </c>
      <c r="AH1000" s="221">
        <v>0</v>
      </c>
      <c r="AI1000" s="222">
        <v>0</v>
      </c>
      <c r="AJ1000" s="221">
        <v>0</v>
      </c>
      <c r="AK1000" s="222">
        <v>0</v>
      </c>
      <c r="AL1000" s="222">
        <v>0</v>
      </c>
      <c r="AM1000" s="222">
        <v>0</v>
      </c>
      <c r="AN1000" s="222"/>
      <c r="AO1000" s="222">
        <v>0</v>
      </c>
    </row>
    <row r="1001" spans="1:41" s="223" customFormat="1" ht="36" customHeight="1" x14ac:dyDescent="0.25">
      <c r="A1001" s="223">
        <v>1</v>
      </c>
      <c r="B1001" s="225">
        <f>SUBTOTAL(103,$A$552:A1001)</f>
        <v>391</v>
      </c>
      <c r="C1001" s="215" t="s">
        <v>190</v>
      </c>
      <c r="D1001" s="217" t="s">
        <v>307</v>
      </c>
      <c r="E1001" s="217"/>
      <c r="F1001" s="226" t="s">
        <v>318</v>
      </c>
      <c r="G1001" s="217" t="s">
        <v>303</v>
      </c>
      <c r="H1001" s="217" t="s">
        <v>303</v>
      </c>
      <c r="I1001" s="218">
        <v>1058.5999999999999</v>
      </c>
      <c r="J1001" s="218">
        <v>653.79999999999995</v>
      </c>
      <c r="K1001" s="218">
        <v>608.29999999999995</v>
      </c>
      <c r="L1001" s="219">
        <v>42</v>
      </c>
      <c r="M1001" s="217" t="s">
        <v>265</v>
      </c>
      <c r="N1001" s="217" t="s">
        <v>266</v>
      </c>
      <c r="O1001" s="220" t="s">
        <v>268</v>
      </c>
      <c r="P1001" s="190">
        <v>1560606.42</v>
      </c>
      <c r="Q1001" s="190">
        <v>0</v>
      </c>
      <c r="R1001" s="190">
        <v>0</v>
      </c>
      <c r="S1001" s="190">
        <f>P1001-Q1001-R1001</f>
        <v>1560606.42</v>
      </c>
      <c r="T1001" s="190">
        <f t="shared" si="119"/>
        <v>1474.2172869828075</v>
      </c>
      <c r="U1001" s="190">
        <v>3913.8351690912527</v>
      </c>
      <c r="V1001" s="221">
        <f>U1001-T1001</f>
        <v>2439.617882108445</v>
      </c>
      <c r="W1001" s="221">
        <f>X1001+Y1001+Z1001+AA1001+AB1001+AD1001+AF1001+AH1001+AJ1001+AL1001+AN1001+AO1001</f>
        <v>3913.8351690912527</v>
      </c>
      <c r="X1001" s="221">
        <v>0</v>
      </c>
      <c r="Y1001" s="222">
        <v>0</v>
      </c>
      <c r="Z1001" s="222">
        <v>0</v>
      </c>
      <c r="AA1001" s="222">
        <v>0</v>
      </c>
      <c r="AB1001" s="222">
        <v>0</v>
      </c>
      <c r="AC1001" s="222">
        <v>0</v>
      </c>
      <c r="AD1001" s="222">
        <v>0</v>
      </c>
      <c r="AE1001" s="222">
        <v>0</v>
      </c>
      <c r="AF1001" s="221">
        <v>0</v>
      </c>
      <c r="AG1001" s="222">
        <v>0</v>
      </c>
      <c r="AH1001" s="221">
        <v>0</v>
      </c>
      <c r="AI1001" s="222">
        <v>531</v>
      </c>
      <c r="AJ1001" s="221">
        <f>7802.61*AI1001/I1001</f>
        <v>3913.8351690912527</v>
      </c>
      <c r="AK1001" s="222">
        <v>0</v>
      </c>
      <c r="AL1001" s="222">
        <v>0</v>
      </c>
      <c r="AM1001" s="222">
        <v>0</v>
      </c>
      <c r="AN1001" s="222"/>
      <c r="AO1001" s="222">
        <v>0</v>
      </c>
    </row>
    <row r="1002" spans="1:41" s="223" customFormat="1" ht="36" customHeight="1" x14ac:dyDescent="0.25">
      <c r="A1002" s="223">
        <v>1</v>
      </c>
      <c r="B1002" s="225">
        <f>SUBTOTAL(103,$A$552:A1002)</f>
        <v>392</v>
      </c>
      <c r="C1002" s="215" t="s">
        <v>183</v>
      </c>
      <c r="D1002" s="217" t="s">
        <v>302</v>
      </c>
      <c r="E1002" s="217"/>
      <c r="F1002" s="226" t="s">
        <v>267</v>
      </c>
      <c r="G1002" s="217" t="s">
        <v>303</v>
      </c>
      <c r="H1002" s="217" t="s">
        <v>304</v>
      </c>
      <c r="I1002" s="218">
        <v>365</v>
      </c>
      <c r="J1002" s="218">
        <v>328</v>
      </c>
      <c r="K1002" s="218">
        <v>309.2</v>
      </c>
      <c r="L1002" s="219">
        <v>21</v>
      </c>
      <c r="M1002" s="217" t="s">
        <v>265</v>
      </c>
      <c r="N1002" s="217" t="s">
        <v>266</v>
      </c>
      <c r="O1002" s="220" t="s">
        <v>268</v>
      </c>
      <c r="P1002" s="190">
        <v>1650705.4600000002</v>
      </c>
      <c r="Q1002" s="190">
        <v>0</v>
      </c>
      <c r="R1002" s="190">
        <v>0</v>
      </c>
      <c r="S1002" s="190">
        <f>P1002-Q1002-R1002</f>
        <v>1650705.4600000002</v>
      </c>
      <c r="T1002" s="190">
        <f t="shared" si="119"/>
        <v>4522.4807123287674</v>
      </c>
      <c r="U1002" s="190">
        <v>5384.4531506849316</v>
      </c>
      <c r="V1002" s="221">
        <f t="shared" si="115"/>
        <v>861.97243835616428</v>
      </c>
      <c r="W1002" s="221">
        <f>X1002+Y1002+Z1002+AA1002+AB1002+AD1002+AF1002+AH1002+AJ1002+AL1002+AN1002+AO1002</f>
        <v>11351.194273972602</v>
      </c>
      <c r="X1002" s="221">
        <v>0</v>
      </c>
      <c r="Y1002" s="222">
        <v>0</v>
      </c>
      <c r="Z1002" s="222">
        <v>0</v>
      </c>
      <c r="AA1002" s="222">
        <v>0</v>
      </c>
      <c r="AB1002" s="222">
        <v>0</v>
      </c>
      <c r="AC1002" s="222">
        <v>0</v>
      </c>
      <c r="AD1002" s="222">
        <v>0</v>
      </c>
      <c r="AE1002" s="222">
        <v>0</v>
      </c>
      <c r="AF1002" s="221">
        <v>0</v>
      </c>
      <c r="AG1002" s="222">
        <v>0</v>
      </c>
      <c r="AH1002" s="221">
        <v>0</v>
      </c>
      <c r="AI1002" s="222">
        <v>531</v>
      </c>
      <c r="AJ1002" s="221">
        <f>7802.61*AI1002/I1002</f>
        <v>11351.194273972602</v>
      </c>
      <c r="AK1002" s="222">
        <v>0</v>
      </c>
      <c r="AL1002" s="222">
        <v>0</v>
      </c>
      <c r="AM1002" s="222">
        <v>0</v>
      </c>
      <c r="AN1002" s="222"/>
      <c r="AO1002" s="222">
        <v>0</v>
      </c>
    </row>
    <row r="1003" spans="1:41" s="223" customFormat="1" ht="36" customHeight="1" x14ac:dyDescent="0.25">
      <c r="A1003" s="223">
        <v>1</v>
      </c>
      <c r="B1003" s="225">
        <f>SUBTOTAL(103,$A$552:A1003)</f>
        <v>393</v>
      </c>
      <c r="C1003" s="215" t="s">
        <v>1269</v>
      </c>
      <c r="D1003" s="217">
        <v>1967</v>
      </c>
      <c r="E1003" s="217">
        <v>2014</v>
      </c>
      <c r="F1003" s="226" t="s">
        <v>267</v>
      </c>
      <c r="G1003" s="217">
        <v>2</v>
      </c>
      <c r="H1003" s="217" t="s">
        <v>308</v>
      </c>
      <c r="I1003" s="190">
        <v>925.4</v>
      </c>
      <c r="J1003" s="190">
        <v>925</v>
      </c>
      <c r="K1003" s="190">
        <v>759.4</v>
      </c>
      <c r="L1003" s="219">
        <v>28</v>
      </c>
      <c r="M1003" s="217" t="s">
        <v>265</v>
      </c>
      <c r="N1003" s="217" t="s">
        <v>269</v>
      </c>
      <c r="O1003" s="220" t="s">
        <v>1347</v>
      </c>
      <c r="P1003" s="190">
        <v>726504.79</v>
      </c>
      <c r="Q1003" s="190">
        <v>0</v>
      </c>
      <c r="R1003" s="190">
        <v>0</v>
      </c>
      <c r="S1003" s="190">
        <f>P1003-Q1003-R1003</f>
        <v>726504.79</v>
      </c>
      <c r="T1003" s="190">
        <f t="shared" si="119"/>
        <v>785.07109358115417</v>
      </c>
      <c r="U1003" s="190">
        <v>810.46</v>
      </c>
      <c r="V1003" s="221">
        <f t="shared" si="115"/>
        <v>25.388906418845863</v>
      </c>
      <c r="W1003" s="221">
        <f>X1003+Y1003+Z1003+AA1003+AB1003+AD1003+AF1003+AH1003+AJ1003+AL1003+AN1003+AO1003</f>
        <v>2036.0393559541822</v>
      </c>
      <c r="X1003" s="221">
        <v>0</v>
      </c>
      <c r="Y1003" s="222">
        <v>0</v>
      </c>
      <c r="Z1003" s="222">
        <v>0</v>
      </c>
      <c r="AA1003" s="222">
        <v>0</v>
      </c>
      <c r="AB1003" s="222">
        <v>0</v>
      </c>
      <c r="AC1003" s="222">
        <v>0</v>
      </c>
      <c r="AD1003" s="222">
        <v>0</v>
      </c>
      <c r="AE1003" s="222">
        <v>302</v>
      </c>
      <c r="AF1003" s="221">
        <f>6238.91*AE1003/I1003</f>
        <v>2036.0393559541822</v>
      </c>
      <c r="AG1003" s="222">
        <v>0</v>
      </c>
      <c r="AH1003" s="221">
        <v>0</v>
      </c>
      <c r="AI1003" s="222">
        <v>0</v>
      </c>
      <c r="AJ1003" s="221">
        <v>0</v>
      </c>
      <c r="AK1003" s="222">
        <v>0</v>
      </c>
      <c r="AL1003" s="222">
        <v>0</v>
      </c>
      <c r="AM1003" s="222">
        <v>0</v>
      </c>
      <c r="AN1003" s="222"/>
      <c r="AO1003" s="222">
        <v>0</v>
      </c>
    </row>
    <row r="1004" spans="1:41" s="223" customFormat="1" ht="36" customHeight="1" x14ac:dyDescent="0.25">
      <c r="B1004" s="215" t="s">
        <v>859</v>
      </c>
      <c r="C1004" s="215"/>
      <c r="D1004" s="217" t="s">
        <v>890</v>
      </c>
      <c r="E1004" s="217" t="s">
        <v>890</v>
      </c>
      <c r="F1004" s="217" t="s">
        <v>890</v>
      </c>
      <c r="G1004" s="217" t="s">
        <v>890</v>
      </c>
      <c r="H1004" s="217" t="s">
        <v>890</v>
      </c>
      <c r="I1004" s="218">
        <f>I1005</f>
        <v>1492</v>
      </c>
      <c r="J1004" s="218">
        <f>J1005</f>
        <v>1369.9</v>
      </c>
      <c r="K1004" s="218">
        <f>K1005</f>
        <v>1369.9</v>
      </c>
      <c r="L1004" s="219">
        <f>L1005</f>
        <v>70</v>
      </c>
      <c r="M1004" s="217" t="s">
        <v>890</v>
      </c>
      <c r="N1004" s="217" t="s">
        <v>890</v>
      </c>
      <c r="O1004" s="220" t="s">
        <v>890</v>
      </c>
      <c r="P1004" s="190">
        <v>2150000</v>
      </c>
      <c r="Q1004" s="190">
        <f>Q1005</f>
        <v>0</v>
      </c>
      <c r="R1004" s="190">
        <f>R1005</f>
        <v>0</v>
      </c>
      <c r="S1004" s="190">
        <f>S1005</f>
        <v>2150000</v>
      </c>
      <c r="T1004" s="190">
        <f t="shared" si="119"/>
        <v>1441.0187667560322</v>
      </c>
      <c r="U1004" s="190">
        <f>U1005</f>
        <v>2617.0375335120643</v>
      </c>
      <c r="V1004" s="221">
        <f t="shared" si="115"/>
        <v>1176.0187667560322</v>
      </c>
      <c r="W1004" s="221"/>
      <c r="X1004" s="221"/>
      <c r="Y1004" s="222"/>
      <c r="Z1004" s="222"/>
      <c r="AA1004" s="222"/>
      <c r="AB1004" s="222"/>
      <c r="AC1004" s="222"/>
      <c r="AD1004" s="222"/>
      <c r="AE1004" s="222"/>
      <c r="AF1004" s="222"/>
      <c r="AG1004" s="222"/>
      <c r="AH1004" s="222"/>
      <c r="AI1004" s="222"/>
      <c r="AJ1004" s="222"/>
      <c r="AK1004" s="222"/>
      <c r="AL1004" s="222"/>
      <c r="AM1004" s="222"/>
      <c r="AN1004" s="222"/>
      <c r="AO1004" s="222"/>
    </row>
    <row r="1005" spans="1:41" s="223" customFormat="1" ht="36" customHeight="1" x14ac:dyDescent="0.25">
      <c r="A1005" s="223">
        <v>1</v>
      </c>
      <c r="B1005" s="225">
        <f>SUBTOTAL(103,$A$552:A1005)</f>
        <v>394</v>
      </c>
      <c r="C1005" s="215" t="s">
        <v>2300</v>
      </c>
      <c r="D1005" s="217">
        <v>1982</v>
      </c>
      <c r="E1005" s="217"/>
      <c r="F1005" s="226" t="s">
        <v>318</v>
      </c>
      <c r="G1005" s="217">
        <v>3</v>
      </c>
      <c r="H1005" s="217" t="s">
        <v>312</v>
      </c>
      <c r="I1005" s="218">
        <v>1492</v>
      </c>
      <c r="J1005" s="218">
        <v>1369.9</v>
      </c>
      <c r="K1005" s="218">
        <v>1369.9</v>
      </c>
      <c r="L1005" s="219">
        <v>70</v>
      </c>
      <c r="M1005" s="217" t="s">
        <v>265</v>
      </c>
      <c r="N1005" s="217" t="s">
        <v>266</v>
      </c>
      <c r="O1005" s="220" t="s">
        <v>268</v>
      </c>
      <c r="P1005" s="190">
        <v>2150000</v>
      </c>
      <c r="Q1005" s="190">
        <v>0</v>
      </c>
      <c r="R1005" s="190">
        <v>0</v>
      </c>
      <c r="S1005" s="190">
        <f>P1005-Q1005-R1005</f>
        <v>2150000</v>
      </c>
      <c r="T1005" s="190">
        <f t="shared" si="119"/>
        <v>1441.0187667560322</v>
      </c>
      <c r="U1005" s="190">
        <v>2617.0375335120643</v>
      </c>
      <c r="V1005" s="221">
        <f>U1005-T1005</f>
        <v>1176.0187667560322</v>
      </c>
      <c r="W1005" s="221">
        <f>X1005+Y1005+Z1005+AA1005+AB1005+AD1005+AF1005+AH1005+AJ1005+AL1005+AN1005+AO1005</f>
        <v>3505.5398259383383</v>
      </c>
      <c r="X1005" s="221">
        <v>0</v>
      </c>
      <c r="Y1005" s="222">
        <v>0</v>
      </c>
      <c r="Z1005" s="222">
        <v>0</v>
      </c>
      <c r="AA1005" s="222">
        <v>0</v>
      </c>
      <c r="AB1005" s="222">
        <v>0</v>
      </c>
      <c r="AC1005" s="222">
        <v>0</v>
      </c>
      <c r="AD1005" s="222">
        <v>0</v>
      </c>
      <c r="AE1005" s="222">
        <v>838.33</v>
      </c>
      <c r="AF1005" s="221">
        <f>6238.91*AE1005/I1005</f>
        <v>3505.5398259383383</v>
      </c>
      <c r="AG1005" s="222">
        <v>0</v>
      </c>
      <c r="AH1005" s="221">
        <v>0</v>
      </c>
      <c r="AI1005" s="222">
        <v>0</v>
      </c>
      <c r="AJ1005" s="221">
        <v>0</v>
      </c>
      <c r="AK1005" s="222">
        <v>0</v>
      </c>
      <c r="AL1005" s="222">
        <v>0</v>
      </c>
      <c r="AM1005" s="222">
        <v>0</v>
      </c>
      <c r="AN1005" s="222"/>
      <c r="AO1005" s="222">
        <v>0</v>
      </c>
    </row>
    <row r="1006" spans="1:41" s="223" customFormat="1" ht="36" customHeight="1" x14ac:dyDescent="0.25">
      <c r="B1006" s="215" t="s">
        <v>860</v>
      </c>
      <c r="C1006" s="215"/>
      <c r="D1006" s="217" t="s">
        <v>890</v>
      </c>
      <c r="E1006" s="217" t="s">
        <v>890</v>
      </c>
      <c r="F1006" s="217" t="s">
        <v>890</v>
      </c>
      <c r="G1006" s="217" t="s">
        <v>890</v>
      </c>
      <c r="H1006" s="217" t="s">
        <v>890</v>
      </c>
      <c r="I1006" s="218">
        <f>I1007</f>
        <v>834.7</v>
      </c>
      <c r="J1006" s="218">
        <f>J1007</f>
        <v>476.3</v>
      </c>
      <c r="K1006" s="218">
        <f>K1007</f>
        <v>476.3</v>
      </c>
      <c r="L1006" s="219">
        <f>L1007</f>
        <v>56</v>
      </c>
      <c r="M1006" s="217" t="s">
        <v>890</v>
      </c>
      <c r="N1006" s="217" t="s">
        <v>890</v>
      </c>
      <c r="O1006" s="220" t="s">
        <v>890</v>
      </c>
      <c r="P1006" s="190">
        <v>4822502.0600000005</v>
      </c>
      <c r="Q1006" s="190">
        <f>Q1007</f>
        <v>0</v>
      </c>
      <c r="R1006" s="190">
        <f>R1007</f>
        <v>0</v>
      </c>
      <c r="S1006" s="190">
        <f>S1007</f>
        <v>4822502.0600000005</v>
      </c>
      <c r="T1006" s="190">
        <f t="shared" si="119"/>
        <v>5777.5273271834194</v>
      </c>
      <c r="U1006" s="190">
        <f>U1007</f>
        <v>6536.0011273511436</v>
      </c>
      <c r="V1006" s="221">
        <f t="shared" si="115"/>
        <v>758.47380016772422</v>
      </c>
      <c r="W1006" s="221"/>
      <c r="X1006" s="221"/>
      <c r="Y1006" s="222"/>
      <c r="Z1006" s="222"/>
      <c r="AA1006" s="222"/>
      <c r="AB1006" s="222"/>
      <c r="AC1006" s="222"/>
      <c r="AD1006" s="222"/>
      <c r="AE1006" s="222"/>
      <c r="AF1006" s="222"/>
      <c r="AG1006" s="222"/>
      <c r="AH1006" s="222"/>
      <c r="AI1006" s="222"/>
      <c r="AJ1006" s="222"/>
      <c r="AK1006" s="222"/>
      <c r="AL1006" s="222"/>
      <c r="AM1006" s="222"/>
      <c r="AN1006" s="222"/>
      <c r="AO1006" s="222"/>
    </row>
    <row r="1007" spans="1:41" s="223" customFormat="1" ht="36" customHeight="1" x14ac:dyDescent="0.25">
      <c r="A1007" s="223">
        <v>1</v>
      </c>
      <c r="B1007" s="225">
        <f>SUBTOTAL(103,$A$552:A1007)</f>
        <v>395</v>
      </c>
      <c r="C1007" s="215" t="s">
        <v>192</v>
      </c>
      <c r="D1007" s="217" t="s">
        <v>310</v>
      </c>
      <c r="E1007" s="217"/>
      <c r="F1007" s="226" t="s">
        <v>311</v>
      </c>
      <c r="G1007" s="217" t="s">
        <v>303</v>
      </c>
      <c r="H1007" s="217" t="s">
        <v>312</v>
      </c>
      <c r="I1007" s="218">
        <v>834.7</v>
      </c>
      <c r="J1007" s="218">
        <v>476.3</v>
      </c>
      <c r="K1007" s="218">
        <v>476.3</v>
      </c>
      <c r="L1007" s="219">
        <v>56</v>
      </c>
      <c r="M1007" s="217" t="s">
        <v>265</v>
      </c>
      <c r="N1007" s="217" t="s">
        <v>266</v>
      </c>
      <c r="O1007" s="220" t="s">
        <v>268</v>
      </c>
      <c r="P1007" s="190">
        <v>4822502.0600000005</v>
      </c>
      <c r="Q1007" s="190">
        <v>0</v>
      </c>
      <c r="R1007" s="190">
        <v>0</v>
      </c>
      <c r="S1007" s="190">
        <f>P1007-Q1007-R1007</f>
        <v>4822502.0600000005</v>
      </c>
      <c r="T1007" s="190">
        <f t="shared" si="119"/>
        <v>5777.5273271834194</v>
      </c>
      <c r="U1007" s="190">
        <v>6536.0011273511436</v>
      </c>
      <c r="V1007" s="221">
        <f>U1007-T1007</f>
        <v>758.47380016772422</v>
      </c>
      <c r="W1007" s="221">
        <f>X1007+Y1007+Z1007+AA1007+AB1007+AD1007+AF1007+AH1007+AJ1007+AL1007+AN1007+AO1007</f>
        <v>6266.0421951599374</v>
      </c>
      <c r="X1007" s="221">
        <v>0</v>
      </c>
      <c r="Y1007" s="222">
        <v>0</v>
      </c>
      <c r="Z1007" s="222">
        <v>0</v>
      </c>
      <c r="AA1007" s="222">
        <v>0</v>
      </c>
      <c r="AB1007" s="222">
        <v>0</v>
      </c>
      <c r="AC1007" s="222">
        <v>0</v>
      </c>
      <c r="AD1007" s="222">
        <v>0</v>
      </c>
      <c r="AE1007" s="222">
        <v>838.33</v>
      </c>
      <c r="AF1007" s="221">
        <f>6238.91*AE1007/I1007</f>
        <v>6266.0421951599374</v>
      </c>
      <c r="AG1007" s="222">
        <v>0</v>
      </c>
      <c r="AH1007" s="221">
        <v>0</v>
      </c>
      <c r="AI1007" s="222">
        <v>0</v>
      </c>
      <c r="AJ1007" s="221">
        <v>0</v>
      </c>
      <c r="AK1007" s="222">
        <v>0</v>
      </c>
      <c r="AL1007" s="222">
        <v>0</v>
      </c>
      <c r="AM1007" s="222">
        <v>0</v>
      </c>
      <c r="AN1007" s="222"/>
      <c r="AO1007" s="222">
        <v>0</v>
      </c>
    </row>
    <row r="1008" spans="1:41" s="223" customFormat="1" ht="36" customHeight="1" x14ac:dyDescent="0.25">
      <c r="B1008" s="215" t="s">
        <v>861</v>
      </c>
      <c r="C1008" s="215"/>
      <c r="D1008" s="217" t="s">
        <v>890</v>
      </c>
      <c r="E1008" s="217" t="s">
        <v>890</v>
      </c>
      <c r="F1008" s="217" t="s">
        <v>890</v>
      </c>
      <c r="G1008" s="217" t="s">
        <v>890</v>
      </c>
      <c r="H1008" s="217" t="s">
        <v>890</v>
      </c>
      <c r="I1008" s="218">
        <f>I1009</f>
        <v>350.9</v>
      </c>
      <c r="J1008" s="218">
        <f>J1009</f>
        <v>350.9</v>
      </c>
      <c r="K1008" s="218">
        <f>K1009</f>
        <v>266.79999999999995</v>
      </c>
      <c r="L1008" s="219">
        <f>L1009</f>
        <v>18</v>
      </c>
      <c r="M1008" s="217" t="s">
        <v>890</v>
      </c>
      <c r="N1008" s="217" t="s">
        <v>890</v>
      </c>
      <c r="O1008" s="220" t="s">
        <v>890</v>
      </c>
      <c r="P1008" s="190">
        <v>1403643.06</v>
      </c>
      <c r="Q1008" s="190">
        <f>Q1009</f>
        <v>0</v>
      </c>
      <c r="R1008" s="190">
        <f>R1009</f>
        <v>0</v>
      </c>
      <c r="S1008" s="190">
        <f>S1009</f>
        <v>1403643.06</v>
      </c>
      <c r="T1008" s="190">
        <f t="shared" si="119"/>
        <v>4000.1227130236539</v>
      </c>
      <c r="U1008" s="190">
        <f>U1009</f>
        <v>6189.2696523225995</v>
      </c>
      <c r="V1008" s="221">
        <f t="shared" si="115"/>
        <v>2189.1469392989457</v>
      </c>
      <c r="W1008" s="221"/>
      <c r="X1008" s="221"/>
      <c r="Y1008" s="222"/>
      <c r="Z1008" s="222"/>
      <c r="AA1008" s="222"/>
      <c r="AB1008" s="222"/>
      <c r="AC1008" s="222"/>
      <c r="AD1008" s="222"/>
      <c r="AE1008" s="222"/>
      <c r="AF1008" s="222"/>
      <c r="AG1008" s="222"/>
      <c r="AH1008" s="222"/>
      <c r="AI1008" s="222"/>
      <c r="AJ1008" s="222"/>
      <c r="AK1008" s="222"/>
      <c r="AL1008" s="222"/>
      <c r="AM1008" s="222"/>
      <c r="AN1008" s="222"/>
      <c r="AO1008" s="222"/>
    </row>
    <row r="1009" spans="1:41" s="223" customFormat="1" ht="36" customHeight="1" x14ac:dyDescent="0.25">
      <c r="A1009" s="223">
        <v>1</v>
      </c>
      <c r="B1009" s="225">
        <f>SUBTOTAL(103,$A$552:A1009)</f>
        <v>396</v>
      </c>
      <c r="C1009" s="215" t="s">
        <v>794</v>
      </c>
      <c r="D1009" s="217">
        <v>1930</v>
      </c>
      <c r="E1009" s="217"/>
      <c r="F1009" s="226" t="s">
        <v>267</v>
      </c>
      <c r="G1009" s="217">
        <v>2</v>
      </c>
      <c r="H1009" s="217" t="s">
        <v>304</v>
      </c>
      <c r="I1009" s="218">
        <v>350.9</v>
      </c>
      <c r="J1009" s="218">
        <v>350.9</v>
      </c>
      <c r="K1009" s="218">
        <v>266.79999999999995</v>
      </c>
      <c r="L1009" s="219">
        <v>18</v>
      </c>
      <c r="M1009" s="217" t="s">
        <v>265</v>
      </c>
      <c r="N1009" s="217" t="s">
        <v>266</v>
      </c>
      <c r="O1009" s="220" t="s">
        <v>268</v>
      </c>
      <c r="P1009" s="190">
        <v>1403643.06</v>
      </c>
      <c r="Q1009" s="190">
        <v>0</v>
      </c>
      <c r="R1009" s="190">
        <v>0</v>
      </c>
      <c r="S1009" s="190">
        <f>P1009-Q1009-R1009</f>
        <v>1403643.06</v>
      </c>
      <c r="T1009" s="190">
        <f t="shared" si="119"/>
        <v>4000.1227130236539</v>
      </c>
      <c r="U1009" s="190">
        <v>6189.2696523225995</v>
      </c>
      <c r="V1009" s="221">
        <f>U1009-T1009</f>
        <v>2189.1469392989457</v>
      </c>
      <c r="W1009" s="221">
        <f>X1009+Y1009+Z1009+AA1009+AB1009+AD1009+AF1009+AH1009+AJ1009+AL1009+AN1009+AO1009</f>
        <v>5933.6319016813914</v>
      </c>
      <c r="X1009" s="221">
        <v>0</v>
      </c>
      <c r="Y1009" s="222">
        <v>0</v>
      </c>
      <c r="Z1009" s="222">
        <v>0</v>
      </c>
      <c r="AA1009" s="222">
        <v>0</v>
      </c>
      <c r="AB1009" s="222">
        <v>0</v>
      </c>
      <c r="AC1009" s="222">
        <v>0</v>
      </c>
      <c r="AD1009" s="222">
        <v>0</v>
      </c>
      <c r="AE1009" s="222">
        <v>333.73</v>
      </c>
      <c r="AF1009" s="221">
        <f>6238.91*AE1009/I1009</f>
        <v>5933.6319016813914</v>
      </c>
      <c r="AG1009" s="222">
        <v>0</v>
      </c>
      <c r="AH1009" s="221">
        <v>0</v>
      </c>
      <c r="AI1009" s="222">
        <v>0</v>
      </c>
      <c r="AJ1009" s="221">
        <v>0</v>
      </c>
      <c r="AK1009" s="222">
        <v>0</v>
      </c>
      <c r="AL1009" s="222">
        <v>0</v>
      </c>
      <c r="AM1009" s="222">
        <v>0</v>
      </c>
      <c r="AN1009" s="222"/>
      <c r="AO1009" s="222">
        <v>0</v>
      </c>
    </row>
    <row r="1010" spans="1:41" s="223" customFormat="1" ht="36" customHeight="1" x14ac:dyDescent="0.25">
      <c r="B1010" s="215" t="s">
        <v>862</v>
      </c>
      <c r="C1010" s="227"/>
      <c r="D1010" s="217" t="s">
        <v>890</v>
      </c>
      <c r="E1010" s="217" t="s">
        <v>890</v>
      </c>
      <c r="F1010" s="217" t="s">
        <v>890</v>
      </c>
      <c r="G1010" s="217" t="s">
        <v>890</v>
      </c>
      <c r="H1010" s="217" t="s">
        <v>890</v>
      </c>
      <c r="I1010" s="218">
        <f>SUM(I1011:I1017)</f>
        <v>8823.68</v>
      </c>
      <c r="J1010" s="218">
        <f>SUM(J1011:J1017)</f>
        <v>7537.8799999999992</v>
      </c>
      <c r="K1010" s="218">
        <f>SUM(K1011:K1017)</f>
        <v>6741.9</v>
      </c>
      <c r="L1010" s="219">
        <f>SUM(L1011:L1017)</f>
        <v>390</v>
      </c>
      <c r="M1010" s="217" t="s">
        <v>890</v>
      </c>
      <c r="N1010" s="217" t="s">
        <v>890</v>
      </c>
      <c r="O1010" s="220" t="s">
        <v>890</v>
      </c>
      <c r="P1010" s="190">
        <v>16542453.889999999</v>
      </c>
      <c r="Q1010" s="190">
        <f>SUM(Q1011:Q1017)</f>
        <v>0</v>
      </c>
      <c r="R1010" s="190">
        <f>SUM(R1011:R1017)</f>
        <v>0</v>
      </c>
      <c r="S1010" s="190">
        <f>SUM(S1011:S1017)</f>
        <v>16542453.889999999</v>
      </c>
      <c r="T1010" s="190">
        <f t="shared" si="119"/>
        <v>1874.7794446308114</v>
      </c>
      <c r="U1010" s="190">
        <f>MAX(U1011:U1017)</f>
        <v>5070.0330843116326</v>
      </c>
      <c r="V1010" s="221">
        <f t="shared" si="115"/>
        <v>3195.2536396808209</v>
      </c>
      <c r="W1010" s="221"/>
      <c r="X1010" s="221"/>
      <c r="Y1010" s="222"/>
      <c r="Z1010" s="222"/>
      <c r="AA1010" s="222"/>
      <c r="AB1010" s="222"/>
      <c r="AC1010" s="222"/>
      <c r="AD1010" s="222"/>
      <c r="AE1010" s="222"/>
      <c r="AF1010" s="222"/>
      <c r="AG1010" s="222"/>
      <c r="AH1010" s="222"/>
      <c r="AI1010" s="222"/>
      <c r="AJ1010" s="222"/>
      <c r="AK1010" s="222"/>
      <c r="AL1010" s="222"/>
      <c r="AM1010" s="222"/>
      <c r="AN1010" s="222"/>
      <c r="AO1010" s="222"/>
    </row>
    <row r="1011" spans="1:41" s="223" customFormat="1" ht="36" customHeight="1" x14ac:dyDescent="0.25">
      <c r="A1011" s="223">
        <v>1</v>
      </c>
      <c r="B1011" s="225">
        <f>SUBTOTAL(103,$A$552:A1011)</f>
        <v>397</v>
      </c>
      <c r="C1011" s="215" t="s">
        <v>211</v>
      </c>
      <c r="D1011" s="217">
        <v>1938</v>
      </c>
      <c r="E1011" s="217"/>
      <c r="F1011" s="226" t="s">
        <v>267</v>
      </c>
      <c r="G1011" s="217">
        <v>3</v>
      </c>
      <c r="H1011" s="217" t="s">
        <v>308</v>
      </c>
      <c r="I1011" s="218">
        <v>1645.1</v>
      </c>
      <c r="J1011" s="218">
        <v>1444.2</v>
      </c>
      <c r="K1011" s="218">
        <v>1029.4000000000001</v>
      </c>
      <c r="L1011" s="219">
        <v>58</v>
      </c>
      <c r="M1011" s="217" t="s">
        <v>265</v>
      </c>
      <c r="N1011" s="217" t="s">
        <v>266</v>
      </c>
      <c r="O1011" s="220" t="s">
        <v>268</v>
      </c>
      <c r="P1011" s="190">
        <v>6058289.959999999</v>
      </c>
      <c r="Q1011" s="190">
        <v>0</v>
      </c>
      <c r="R1011" s="190">
        <v>0</v>
      </c>
      <c r="S1011" s="190">
        <f>P1011-Q1011-R1011</f>
        <v>6058289.959999999</v>
      </c>
      <c r="T1011" s="190">
        <f t="shared" si="119"/>
        <v>3682.6271716005103</v>
      </c>
      <c r="U1011" s="190">
        <v>4758.8372135432501</v>
      </c>
      <c r="V1011" s="221">
        <f t="shared" si="115"/>
        <v>1076.2100419427397</v>
      </c>
      <c r="W1011" s="221">
        <f t="shared" ref="W1011:W1017" si="123">X1011+Y1011+Z1011+AA1011+AB1011+AD1011+AF1011+AH1011+AJ1011+AL1011+AN1011+AO1011</f>
        <v>4562.2811561607195</v>
      </c>
      <c r="X1011" s="221">
        <v>0</v>
      </c>
      <c r="Y1011" s="222">
        <v>0</v>
      </c>
      <c r="Z1011" s="222">
        <v>0</v>
      </c>
      <c r="AA1011" s="222">
        <v>0</v>
      </c>
      <c r="AB1011" s="222">
        <v>0</v>
      </c>
      <c r="AC1011" s="222">
        <v>0</v>
      </c>
      <c r="AD1011" s="222">
        <v>0</v>
      </c>
      <c r="AE1011" s="222">
        <v>1203</v>
      </c>
      <c r="AF1011" s="221">
        <f>6238.91*AE1011/I1011</f>
        <v>4562.2811561607195</v>
      </c>
      <c r="AG1011" s="222">
        <v>0</v>
      </c>
      <c r="AH1011" s="221">
        <v>0</v>
      </c>
      <c r="AI1011" s="222">
        <v>0</v>
      </c>
      <c r="AJ1011" s="221">
        <v>0</v>
      </c>
      <c r="AK1011" s="222">
        <v>0</v>
      </c>
      <c r="AL1011" s="222">
        <v>0</v>
      </c>
      <c r="AM1011" s="222">
        <v>0</v>
      </c>
      <c r="AN1011" s="222"/>
      <c r="AO1011" s="222">
        <v>0</v>
      </c>
    </row>
    <row r="1012" spans="1:41" s="223" customFormat="1" ht="36" customHeight="1" x14ac:dyDescent="0.25">
      <c r="A1012" s="223">
        <v>1</v>
      </c>
      <c r="B1012" s="225">
        <f>SUBTOTAL(103,$A$552:A1012)</f>
        <v>398</v>
      </c>
      <c r="C1012" s="215" t="s">
        <v>212</v>
      </c>
      <c r="D1012" s="217">
        <v>1974</v>
      </c>
      <c r="E1012" s="217"/>
      <c r="F1012" s="226" t="s">
        <v>267</v>
      </c>
      <c r="G1012" s="217">
        <v>2</v>
      </c>
      <c r="H1012" s="217" t="s">
        <v>303</v>
      </c>
      <c r="I1012" s="218">
        <v>749.6</v>
      </c>
      <c r="J1012" s="218">
        <v>685.4</v>
      </c>
      <c r="K1012" s="218">
        <v>685.4</v>
      </c>
      <c r="L1012" s="219">
        <v>36</v>
      </c>
      <c r="M1012" s="217" t="s">
        <v>265</v>
      </c>
      <c r="N1012" s="217" t="s">
        <v>269</v>
      </c>
      <c r="O1012" s="220" t="s">
        <v>332</v>
      </c>
      <c r="P1012" s="190">
        <v>2944222.6500000004</v>
      </c>
      <c r="Q1012" s="190">
        <v>0</v>
      </c>
      <c r="R1012" s="190">
        <v>0</v>
      </c>
      <c r="S1012" s="190">
        <f>P1012-Q1012-R1012</f>
        <v>2944222.6500000004</v>
      </c>
      <c r="T1012" s="190">
        <f t="shared" si="119"/>
        <v>3927.7249866595521</v>
      </c>
      <c r="U1012" s="190">
        <v>5070.0330843116326</v>
      </c>
      <c r="V1012" s="221">
        <f t="shared" si="115"/>
        <v>1142.3080976520805</v>
      </c>
      <c r="W1012" s="221">
        <f t="shared" si="123"/>
        <v>4860.6235859124863</v>
      </c>
      <c r="X1012" s="221">
        <v>0</v>
      </c>
      <c r="Y1012" s="222">
        <v>0</v>
      </c>
      <c r="Z1012" s="222">
        <v>0</v>
      </c>
      <c r="AA1012" s="222">
        <v>0</v>
      </c>
      <c r="AB1012" s="222">
        <v>0</v>
      </c>
      <c r="AC1012" s="222">
        <v>0</v>
      </c>
      <c r="AD1012" s="222">
        <v>0</v>
      </c>
      <c r="AE1012" s="222">
        <v>584</v>
      </c>
      <c r="AF1012" s="221">
        <f>6238.91*AE1012/I1012</f>
        <v>4860.6235859124863</v>
      </c>
      <c r="AG1012" s="222">
        <v>0</v>
      </c>
      <c r="AH1012" s="221">
        <v>0</v>
      </c>
      <c r="AI1012" s="222">
        <v>0</v>
      </c>
      <c r="AJ1012" s="221">
        <v>0</v>
      </c>
      <c r="AK1012" s="222">
        <v>0</v>
      </c>
      <c r="AL1012" s="222">
        <v>0</v>
      </c>
      <c r="AM1012" s="222">
        <v>0</v>
      </c>
      <c r="AN1012" s="222"/>
      <c r="AO1012" s="222">
        <v>0</v>
      </c>
    </row>
    <row r="1013" spans="1:41" s="223" customFormat="1" ht="36" customHeight="1" x14ac:dyDescent="0.25">
      <c r="A1013" s="223">
        <v>1</v>
      </c>
      <c r="B1013" s="225">
        <f>SUBTOTAL(103,$A$552:A1013)</f>
        <v>399</v>
      </c>
      <c r="C1013" s="215" t="s">
        <v>217</v>
      </c>
      <c r="D1013" s="217">
        <v>1992</v>
      </c>
      <c r="E1013" s="217"/>
      <c r="F1013" s="226" t="s">
        <v>311</v>
      </c>
      <c r="G1013" s="217">
        <v>2</v>
      </c>
      <c r="H1013" s="217" t="s">
        <v>303</v>
      </c>
      <c r="I1013" s="190">
        <v>690.3</v>
      </c>
      <c r="J1013" s="190">
        <v>630.29999999999995</v>
      </c>
      <c r="K1013" s="190">
        <v>630.29999999999995</v>
      </c>
      <c r="L1013" s="219">
        <v>29</v>
      </c>
      <c r="M1013" s="217" t="s">
        <v>265</v>
      </c>
      <c r="N1013" s="217" t="s">
        <v>269</v>
      </c>
      <c r="O1013" s="220" t="s">
        <v>332</v>
      </c>
      <c r="P1013" s="190">
        <v>653859.32000000007</v>
      </c>
      <c r="Q1013" s="190">
        <v>0</v>
      </c>
      <c r="R1013" s="190">
        <v>0</v>
      </c>
      <c r="S1013" s="190">
        <f>P1013-Q1013-R1013</f>
        <v>653859.32000000007</v>
      </c>
      <c r="T1013" s="190">
        <f t="shared" si="119"/>
        <v>947.21037230189791</v>
      </c>
      <c r="U1013" s="190">
        <v>3626.97</v>
      </c>
      <c r="V1013" s="221">
        <f>U1013-T1013</f>
        <v>2679.7596276981021</v>
      </c>
      <c r="W1013" s="221">
        <f>X1013+Y1013+Z1013+AA1013+AB1013+AD1013+AF1013+AH1013+AJ1013+AL1013+AN1013+AO1013</f>
        <v>3259.66</v>
      </c>
      <c r="X1013" s="221">
        <v>0</v>
      </c>
      <c r="Y1013" s="222">
        <v>0</v>
      </c>
      <c r="Z1013" s="222">
        <v>3259.66</v>
      </c>
      <c r="AA1013" s="222">
        <v>0</v>
      </c>
      <c r="AB1013" s="222">
        <v>0</v>
      </c>
      <c r="AC1013" s="222">
        <v>0</v>
      </c>
      <c r="AD1013" s="222">
        <v>0</v>
      </c>
      <c r="AE1013" s="222">
        <v>0</v>
      </c>
      <c r="AF1013" s="221">
        <v>0</v>
      </c>
      <c r="AG1013" s="222">
        <v>0</v>
      </c>
      <c r="AH1013" s="221">
        <v>0</v>
      </c>
      <c r="AI1013" s="222">
        <v>0</v>
      </c>
      <c r="AJ1013" s="221">
        <v>0</v>
      </c>
      <c r="AK1013" s="222">
        <v>0</v>
      </c>
      <c r="AL1013" s="222">
        <v>0</v>
      </c>
      <c r="AM1013" s="222">
        <v>0</v>
      </c>
      <c r="AN1013" s="222"/>
      <c r="AO1013" s="222">
        <v>0</v>
      </c>
    </row>
    <row r="1014" spans="1:41" s="223" customFormat="1" ht="36" customHeight="1" x14ac:dyDescent="0.25">
      <c r="A1014" s="223">
        <v>1</v>
      </c>
      <c r="B1014" s="225">
        <f>SUBTOTAL(103,$A$552:A1014)</f>
        <v>400</v>
      </c>
      <c r="C1014" s="215" t="s">
        <v>1556</v>
      </c>
      <c r="D1014" s="217">
        <v>1981</v>
      </c>
      <c r="E1014" s="217"/>
      <c r="F1014" s="226" t="s">
        <v>1571</v>
      </c>
      <c r="G1014" s="217">
        <v>2</v>
      </c>
      <c r="H1014" s="217" t="s">
        <v>312</v>
      </c>
      <c r="I1014" s="190">
        <v>922.9</v>
      </c>
      <c r="J1014" s="190">
        <v>838.7</v>
      </c>
      <c r="K1014" s="190">
        <v>838.7</v>
      </c>
      <c r="L1014" s="219">
        <v>43</v>
      </c>
      <c r="M1014" s="217" t="s">
        <v>265</v>
      </c>
      <c r="N1014" s="217" t="s">
        <v>266</v>
      </c>
      <c r="O1014" s="220" t="s">
        <v>268</v>
      </c>
      <c r="P1014" s="190">
        <v>1015000</v>
      </c>
      <c r="Q1014" s="190">
        <v>0</v>
      </c>
      <c r="R1014" s="190">
        <v>0</v>
      </c>
      <c r="S1014" s="190">
        <f>P1014-Q1014-R1014</f>
        <v>1015000</v>
      </c>
      <c r="T1014" s="190">
        <f t="shared" si="119"/>
        <v>1099.7941272077148</v>
      </c>
      <c r="U1014" s="190">
        <v>3626.97</v>
      </c>
      <c r="V1014" s="221">
        <f t="shared" si="115"/>
        <v>2527.1758727922852</v>
      </c>
      <c r="W1014" s="221">
        <f t="shared" si="123"/>
        <v>3259.66</v>
      </c>
      <c r="X1014" s="221">
        <v>0</v>
      </c>
      <c r="Y1014" s="222">
        <v>0</v>
      </c>
      <c r="Z1014" s="222">
        <v>3259.66</v>
      </c>
      <c r="AA1014" s="222">
        <v>0</v>
      </c>
      <c r="AB1014" s="222">
        <v>0</v>
      </c>
      <c r="AC1014" s="222">
        <v>0</v>
      </c>
      <c r="AD1014" s="222">
        <v>0</v>
      </c>
      <c r="AE1014" s="222">
        <v>0</v>
      </c>
      <c r="AF1014" s="221">
        <v>0</v>
      </c>
      <c r="AG1014" s="222">
        <v>0</v>
      </c>
      <c r="AH1014" s="221">
        <v>0</v>
      </c>
      <c r="AI1014" s="222">
        <v>0</v>
      </c>
      <c r="AJ1014" s="221">
        <v>0</v>
      </c>
      <c r="AK1014" s="222">
        <v>0</v>
      </c>
      <c r="AL1014" s="222">
        <v>0</v>
      </c>
      <c r="AM1014" s="222">
        <v>0</v>
      </c>
      <c r="AN1014" s="222"/>
      <c r="AO1014" s="222">
        <v>0</v>
      </c>
    </row>
    <row r="1015" spans="1:41" s="223" customFormat="1" ht="36" customHeight="1" x14ac:dyDescent="0.25">
      <c r="A1015" s="223">
        <v>1</v>
      </c>
      <c r="B1015" s="225">
        <f>SUBTOTAL(103,$A$552:A1015)</f>
        <v>401</v>
      </c>
      <c r="C1015" s="215" t="s">
        <v>1557</v>
      </c>
      <c r="D1015" s="217">
        <v>1980</v>
      </c>
      <c r="E1015" s="217"/>
      <c r="F1015" s="226" t="s">
        <v>1571</v>
      </c>
      <c r="G1015" s="217">
        <v>2</v>
      </c>
      <c r="H1015" s="217" t="s">
        <v>312</v>
      </c>
      <c r="I1015" s="190">
        <v>1035.4000000000001</v>
      </c>
      <c r="J1015" s="190">
        <v>947.5</v>
      </c>
      <c r="K1015" s="190">
        <v>795.4</v>
      </c>
      <c r="L1015" s="219">
        <v>35</v>
      </c>
      <c r="M1015" s="217" t="s">
        <v>265</v>
      </c>
      <c r="N1015" s="217" t="s">
        <v>266</v>
      </c>
      <c r="O1015" s="220" t="s">
        <v>268</v>
      </c>
      <c r="P1015" s="190">
        <v>964250</v>
      </c>
      <c r="Q1015" s="190">
        <v>0</v>
      </c>
      <c r="R1015" s="190">
        <v>0</v>
      </c>
      <c r="S1015" s="190">
        <f>P1015-R1015-Q1015</f>
        <v>964250</v>
      </c>
      <c r="T1015" s="190">
        <f t="shared" si="119"/>
        <v>931.28259609812619</v>
      </c>
      <c r="U1015" s="190">
        <v>3626.97</v>
      </c>
      <c r="V1015" s="221">
        <f>U1015-T1015</f>
        <v>2695.6874039018735</v>
      </c>
      <c r="W1015" s="221">
        <f t="shared" si="123"/>
        <v>3259.66</v>
      </c>
      <c r="X1015" s="221">
        <v>0</v>
      </c>
      <c r="Y1015" s="222">
        <v>0</v>
      </c>
      <c r="Z1015" s="222">
        <v>3259.66</v>
      </c>
      <c r="AA1015" s="222">
        <v>0</v>
      </c>
      <c r="AB1015" s="222">
        <v>0</v>
      </c>
      <c r="AC1015" s="222">
        <v>0</v>
      </c>
      <c r="AD1015" s="222">
        <v>0</v>
      </c>
      <c r="AE1015" s="222">
        <v>0</v>
      </c>
      <c r="AF1015" s="221">
        <v>0</v>
      </c>
      <c r="AG1015" s="222">
        <v>0</v>
      </c>
      <c r="AH1015" s="221">
        <v>0</v>
      </c>
      <c r="AI1015" s="222">
        <v>0</v>
      </c>
      <c r="AJ1015" s="221">
        <v>0</v>
      </c>
      <c r="AK1015" s="222">
        <v>0</v>
      </c>
      <c r="AL1015" s="222">
        <v>0</v>
      </c>
      <c r="AM1015" s="222">
        <v>0</v>
      </c>
      <c r="AN1015" s="222"/>
      <c r="AO1015" s="222">
        <v>0</v>
      </c>
    </row>
    <row r="1016" spans="1:41" s="223" customFormat="1" ht="36" customHeight="1" x14ac:dyDescent="0.25">
      <c r="A1016" s="223">
        <v>1</v>
      </c>
      <c r="B1016" s="225">
        <f>SUBTOTAL(103,$A$552:A1016)</f>
        <v>402</v>
      </c>
      <c r="C1016" s="215" t="s">
        <v>1273</v>
      </c>
      <c r="D1016" s="217">
        <v>1964</v>
      </c>
      <c r="E1016" s="217"/>
      <c r="F1016" s="226" t="s">
        <v>267</v>
      </c>
      <c r="G1016" s="217">
        <v>2</v>
      </c>
      <c r="H1016" s="217" t="s">
        <v>308</v>
      </c>
      <c r="I1016" s="190">
        <v>1853.08</v>
      </c>
      <c r="J1016" s="190">
        <v>1215.3800000000001</v>
      </c>
      <c r="K1016" s="190">
        <v>986.3</v>
      </c>
      <c r="L1016" s="219">
        <v>115</v>
      </c>
      <c r="M1016" s="217" t="s">
        <v>265</v>
      </c>
      <c r="N1016" s="217" t="s">
        <v>269</v>
      </c>
      <c r="O1016" s="220" t="s">
        <v>1298</v>
      </c>
      <c r="P1016" s="190">
        <v>1468399.1199999999</v>
      </c>
      <c r="Q1016" s="190">
        <v>0</v>
      </c>
      <c r="R1016" s="190">
        <v>0</v>
      </c>
      <c r="S1016" s="190">
        <f>P1016-R1016-Q1016</f>
        <v>1468399.1199999999</v>
      </c>
      <c r="T1016" s="190">
        <f t="shared" si="119"/>
        <v>792.40999848900208</v>
      </c>
      <c r="U1016" s="190">
        <v>3626.97</v>
      </c>
      <c r="V1016" s="221">
        <f>U1016-T1016</f>
        <v>2834.5600015109976</v>
      </c>
      <c r="W1016" s="221">
        <f t="shared" si="123"/>
        <v>3259.66</v>
      </c>
      <c r="X1016" s="221">
        <v>0</v>
      </c>
      <c r="Y1016" s="222">
        <v>0</v>
      </c>
      <c r="Z1016" s="222">
        <v>3259.66</v>
      </c>
      <c r="AA1016" s="222">
        <v>0</v>
      </c>
      <c r="AB1016" s="222">
        <v>0</v>
      </c>
      <c r="AC1016" s="222">
        <v>0</v>
      </c>
      <c r="AD1016" s="222">
        <v>0</v>
      </c>
      <c r="AE1016" s="222">
        <v>0</v>
      </c>
      <c r="AF1016" s="221">
        <v>0</v>
      </c>
      <c r="AG1016" s="222">
        <v>0</v>
      </c>
      <c r="AH1016" s="221">
        <v>0</v>
      </c>
      <c r="AI1016" s="222">
        <v>0</v>
      </c>
      <c r="AJ1016" s="221">
        <v>0</v>
      </c>
      <c r="AK1016" s="222">
        <v>0</v>
      </c>
      <c r="AL1016" s="222">
        <v>0</v>
      </c>
      <c r="AM1016" s="222">
        <v>0</v>
      </c>
      <c r="AN1016" s="222"/>
      <c r="AO1016" s="222">
        <v>0</v>
      </c>
    </row>
    <row r="1017" spans="1:41" s="223" customFormat="1" ht="36" customHeight="1" x14ac:dyDescent="0.25">
      <c r="A1017" s="223">
        <v>1</v>
      </c>
      <c r="B1017" s="225">
        <f>SUBTOTAL(103,$A$552:A1017)</f>
        <v>403</v>
      </c>
      <c r="C1017" s="215" t="s">
        <v>2312</v>
      </c>
      <c r="D1017" s="217">
        <v>1970</v>
      </c>
      <c r="E1017" s="217"/>
      <c r="F1017" s="226" t="s">
        <v>267</v>
      </c>
      <c r="G1017" s="217">
        <v>5</v>
      </c>
      <c r="H1017" s="217">
        <v>2</v>
      </c>
      <c r="I1017" s="190">
        <v>1927.3</v>
      </c>
      <c r="J1017" s="190">
        <v>1776.4</v>
      </c>
      <c r="K1017" s="190">
        <v>1776.4</v>
      </c>
      <c r="L1017" s="219">
        <v>74</v>
      </c>
      <c r="M1017" s="217" t="s">
        <v>265</v>
      </c>
      <c r="N1017" s="217" t="s">
        <v>269</v>
      </c>
      <c r="O1017" s="220" t="s">
        <v>1298</v>
      </c>
      <c r="P1017" s="190">
        <v>3438432.8400000003</v>
      </c>
      <c r="Q1017" s="190">
        <v>0</v>
      </c>
      <c r="R1017" s="190">
        <v>0</v>
      </c>
      <c r="S1017" s="190">
        <f>P1017-R1017-Q1017</f>
        <v>3438432.8400000003</v>
      </c>
      <c r="T1017" s="190">
        <f t="shared" si="119"/>
        <v>1784.0672650858717</v>
      </c>
      <c r="U1017" s="190">
        <v>2093.4851865303795</v>
      </c>
      <c r="V1017" s="221">
        <f>U1017-T1017</f>
        <v>309.41792144450778</v>
      </c>
      <c r="W1017" s="221">
        <f t="shared" si="123"/>
        <v>3259.66</v>
      </c>
      <c r="X1017" s="221">
        <v>0</v>
      </c>
      <c r="Y1017" s="222">
        <v>0</v>
      </c>
      <c r="Z1017" s="222">
        <v>3259.66</v>
      </c>
      <c r="AA1017" s="222">
        <v>0</v>
      </c>
      <c r="AB1017" s="222">
        <v>0</v>
      </c>
      <c r="AC1017" s="222">
        <v>0</v>
      </c>
      <c r="AD1017" s="222">
        <v>0</v>
      </c>
      <c r="AE1017" s="222">
        <v>0</v>
      </c>
      <c r="AF1017" s="221">
        <v>0</v>
      </c>
      <c r="AG1017" s="222">
        <v>0</v>
      </c>
      <c r="AH1017" s="221">
        <v>0</v>
      </c>
      <c r="AI1017" s="222">
        <v>0</v>
      </c>
      <c r="AJ1017" s="221">
        <v>0</v>
      </c>
      <c r="AK1017" s="222">
        <v>0</v>
      </c>
      <c r="AL1017" s="222">
        <v>0</v>
      </c>
      <c r="AM1017" s="222">
        <v>0</v>
      </c>
      <c r="AN1017" s="222"/>
      <c r="AO1017" s="222">
        <v>0</v>
      </c>
    </row>
    <row r="1018" spans="1:41" s="223" customFormat="1" ht="36" customHeight="1" x14ac:dyDescent="0.25">
      <c r="B1018" s="215" t="s">
        <v>863</v>
      </c>
      <c r="C1018" s="215"/>
      <c r="D1018" s="217" t="s">
        <v>890</v>
      </c>
      <c r="E1018" s="217" t="s">
        <v>890</v>
      </c>
      <c r="F1018" s="217" t="s">
        <v>890</v>
      </c>
      <c r="G1018" s="217" t="s">
        <v>890</v>
      </c>
      <c r="H1018" s="217" t="s">
        <v>890</v>
      </c>
      <c r="I1018" s="218">
        <f>SUM(I1019:I1023)</f>
        <v>3328.2</v>
      </c>
      <c r="J1018" s="218">
        <f>SUM(J1019:J1023)</f>
        <v>3072.7999999999997</v>
      </c>
      <c r="K1018" s="218">
        <f>SUM(K1019:K1023)</f>
        <v>2888</v>
      </c>
      <c r="L1018" s="219">
        <f>SUM(L1019:L1023)</f>
        <v>142</v>
      </c>
      <c r="M1018" s="217" t="s">
        <v>890</v>
      </c>
      <c r="N1018" s="217" t="s">
        <v>890</v>
      </c>
      <c r="O1018" s="220" t="s">
        <v>890</v>
      </c>
      <c r="P1018" s="190">
        <v>9904028.3699999992</v>
      </c>
      <c r="Q1018" s="190">
        <f>SUM(Q1019:Q1023)</f>
        <v>0</v>
      </c>
      <c r="R1018" s="190">
        <f>SUM(R1019:R1023)</f>
        <v>0</v>
      </c>
      <c r="S1018" s="190">
        <f>SUM(S1019:S1023)</f>
        <v>9904028.3699999992</v>
      </c>
      <c r="T1018" s="190">
        <f t="shared" si="119"/>
        <v>2975.7912294934199</v>
      </c>
      <c r="U1018" s="190">
        <f>MAX(U1019:U1023)</f>
        <v>5715.1932084309128</v>
      </c>
      <c r="V1018" s="221">
        <f t="shared" ref="V1018:V1092" si="124">U1018-T1018</f>
        <v>2739.4019789374929</v>
      </c>
      <c r="W1018" s="221"/>
      <c r="X1018" s="221"/>
      <c r="Y1018" s="222"/>
      <c r="Z1018" s="222"/>
      <c r="AA1018" s="222"/>
      <c r="AB1018" s="222"/>
      <c r="AC1018" s="222"/>
      <c r="AD1018" s="222"/>
      <c r="AE1018" s="222"/>
      <c r="AF1018" s="222"/>
      <c r="AG1018" s="222"/>
      <c r="AH1018" s="222"/>
      <c r="AI1018" s="222"/>
      <c r="AJ1018" s="222"/>
      <c r="AK1018" s="222"/>
      <c r="AL1018" s="222"/>
      <c r="AM1018" s="222"/>
      <c r="AN1018" s="222"/>
      <c r="AO1018" s="222"/>
    </row>
    <row r="1019" spans="1:41" s="223" customFormat="1" ht="36" customHeight="1" x14ac:dyDescent="0.25">
      <c r="A1019" s="223">
        <v>1</v>
      </c>
      <c r="B1019" s="225">
        <f>SUBTOTAL(103,$A$552:A1019)</f>
        <v>404</v>
      </c>
      <c r="C1019" s="215" t="s">
        <v>224</v>
      </c>
      <c r="D1019" s="217">
        <v>1973</v>
      </c>
      <c r="E1019" s="217"/>
      <c r="F1019" s="226" t="s">
        <v>267</v>
      </c>
      <c r="G1019" s="217">
        <v>2</v>
      </c>
      <c r="H1019" s="217" t="s">
        <v>303</v>
      </c>
      <c r="I1019" s="190">
        <v>813.6</v>
      </c>
      <c r="J1019" s="190">
        <v>752.3</v>
      </c>
      <c r="K1019" s="190">
        <v>752.3</v>
      </c>
      <c r="L1019" s="219">
        <v>39</v>
      </c>
      <c r="M1019" s="217" t="s">
        <v>265</v>
      </c>
      <c r="N1019" s="217" t="s">
        <v>266</v>
      </c>
      <c r="O1019" s="220" t="s">
        <v>268</v>
      </c>
      <c r="P1019" s="190">
        <v>3575027.3</v>
      </c>
      <c r="Q1019" s="190">
        <v>0</v>
      </c>
      <c r="R1019" s="190">
        <v>0</v>
      </c>
      <c r="S1019" s="190">
        <f>P1019-Q1019-R1019</f>
        <v>3575027.3</v>
      </c>
      <c r="T1019" s="190">
        <f t="shared" si="119"/>
        <v>4394.0846853490657</v>
      </c>
      <c r="U1019" s="190">
        <v>5487.0725172074726</v>
      </c>
      <c r="V1019" s="221">
        <f t="shared" si="124"/>
        <v>1092.9878318584069</v>
      </c>
      <c r="W1019" s="221">
        <f>X1019+Y1019+Z1019+AA1019+AB1019+AD1019+AF1019+AH1019+AJ1019+AL1019+AN1019+AO1019</f>
        <v>3259.66</v>
      </c>
      <c r="X1019" s="221">
        <v>0</v>
      </c>
      <c r="Y1019" s="222">
        <v>0</v>
      </c>
      <c r="Z1019" s="222">
        <v>3259.66</v>
      </c>
      <c r="AA1019" s="222">
        <v>0</v>
      </c>
      <c r="AB1019" s="222">
        <v>0</v>
      </c>
      <c r="AC1019" s="222">
        <v>0</v>
      </c>
      <c r="AD1019" s="222">
        <v>0</v>
      </c>
      <c r="AE1019" s="222">
        <v>0</v>
      </c>
      <c r="AF1019" s="221">
        <v>0</v>
      </c>
      <c r="AG1019" s="222">
        <v>0</v>
      </c>
      <c r="AH1019" s="221">
        <v>0</v>
      </c>
      <c r="AI1019" s="222">
        <v>0</v>
      </c>
      <c r="AJ1019" s="221">
        <v>0</v>
      </c>
      <c r="AK1019" s="222">
        <v>0</v>
      </c>
      <c r="AL1019" s="222">
        <v>0</v>
      </c>
      <c r="AM1019" s="222">
        <v>0</v>
      </c>
      <c r="AN1019" s="222"/>
      <c r="AO1019" s="222">
        <v>0</v>
      </c>
    </row>
    <row r="1020" spans="1:41" s="223" customFormat="1" ht="36" customHeight="1" x14ac:dyDescent="0.25">
      <c r="A1020" s="223">
        <v>1</v>
      </c>
      <c r="B1020" s="225">
        <f>SUBTOTAL(103,$A$552:A1020)</f>
        <v>405</v>
      </c>
      <c r="C1020" s="215" t="s">
        <v>2313</v>
      </c>
      <c r="D1020" s="217">
        <v>1965</v>
      </c>
      <c r="E1020" s="217"/>
      <c r="F1020" s="226" t="s">
        <v>267</v>
      </c>
      <c r="G1020" s="217">
        <v>2</v>
      </c>
      <c r="H1020" s="217">
        <v>1</v>
      </c>
      <c r="I1020" s="190">
        <v>341.6</v>
      </c>
      <c r="J1020" s="190">
        <v>317.2</v>
      </c>
      <c r="K1020" s="190">
        <v>157.4</v>
      </c>
      <c r="L1020" s="219">
        <v>20</v>
      </c>
      <c r="M1020" s="217" t="s">
        <v>265</v>
      </c>
      <c r="N1020" s="217" t="s">
        <v>269</v>
      </c>
      <c r="O1020" s="220" t="s">
        <v>332</v>
      </c>
      <c r="P1020" s="190">
        <v>1858322.61</v>
      </c>
      <c r="Q1020" s="190">
        <v>0</v>
      </c>
      <c r="R1020" s="190">
        <v>0</v>
      </c>
      <c r="S1020" s="190">
        <f>P1020-Q1020-R1020</f>
        <v>1858322.61</v>
      </c>
      <c r="T1020" s="190">
        <f t="shared" si="119"/>
        <v>5440.054478922717</v>
      </c>
      <c r="U1020" s="190">
        <v>5715.1932084309128</v>
      </c>
      <c r="V1020" s="221">
        <f t="shared" si="124"/>
        <v>275.13872950819587</v>
      </c>
      <c r="W1020" s="221">
        <f>X1020+Y1020+Z1020+AA1020+AB1020+AD1020+AF1020+AH1020+AJ1020+AL1020+AN1020+AO1020</f>
        <v>3259.66</v>
      </c>
      <c r="X1020" s="221">
        <v>0</v>
      </c>
      <c r="Y1020" s="222">
        <v>0</v>
      </c>
      <c r="Z1020" s="222">
        <v>3259.66</v>
      </c>
      <c r="AA1020" s="222">
        <v>0</v>
      </c>
      <c r="AB1020" s="222">
        <v>0</v>
      </c>
      <c r="AC1020" s="222">
        <v>0</v>
      </c>
      <c r="AD1020" s="222">
        <v>0</v>
      </c>
      <c r="AE1020" s="222">
        <v>0</v>
      </c>
      <c r="AF1020" s="221">
        <v>0</v>
      </c>
      <c r="AG1020" s="222">
        <v>0</v>
      </c>
      <c r="AH1020" s="221">
        <v>0</v>
      </c>
      <c r="AI1020" s="222">
        <v>0</v>
      </c>
      <c r="AJ1020" s="221">
        <v>0</v>
      </c>
      <c r="AK1020" s="222">
        <v>0</v>
      </c>
      <c r="AL1020" s="222">
        <v>0</v>
      </c>
      <c r="AM1020" s="222">
        <v>0</v>
      </c>
      <c r="AN1020" s="222"/>
      <c r="AO1020" s="222">
        <v>0</v>
      </c>
    </row>
    <row r="1021" spans="1:41" s="223" customFormat="1" ht="36" customHeight="1" x14ac:dyDescent="0.25">
      <c r="A1021" s="223">
        <v>1</v>
      </c>
      <c r="B1021" s="225">
        <f>SUBTOTAL(103,$A$552:A1021)</f>
        <v>406</v>
      </c>
      <c r="C1021" s="215" t="s">
        <v>219</v>
      </c>
      <c r="D1021" s="217">
        <v>1973</v>
      </c>
      <c r="E1021" s="217"/>
      <c r="F1021" s="226" t="s">
        <v>267</v>
      </c>
      <c r="G1021" s="217">
        <v>2</v>
      </c>
      <c r="H1021" s="217" t="s">
        <v>303</v>
      </c>
      <c r="I1021" s="190">
        <v>775.5</v>
      </c>
      <c r="J1021" s="190">
        <v>715.8</v>
      </c>
      <c r="K1021" s="190">
        <v>715.8</v>
      </c>
      <c r="L1021" s="219">
        <v>31</v>
      </c>
      <c r="M1021" s="217" t="s">
        <v>265</v>
      </c>
      <c r="N1021" s="217" t="s">
        <v>269</v>
      </c>
      <c r="O1021" s="220" t="s">
        <v>332</v>
      </c>
      <c r="P1021" s="190">
        <v>400289.33999999997</v>
      </c>
      <c r="Q1021" s="190">
        <v>0</v>
      </c>
      <c r="R1021" s="190">
        <v>0</v>
      </c>
      <c r="S1021" s="190">
        <f>P1021-R1021-Q1021</f>
        <v>400289.33999999997</v>
      </c>
      <c r="T1021" s="190">
        <f t="shared" si="119"/>
        <v>516.16936170212762</v>
      </c>
      <c r="U1021" s="190">
        <v>516.16936170212762</v>
      </c>
      <c r="V1021" s="221">
        <f t="shared" si="124"/>
        <v>0</v>
      </c>
      <c r="W1021" s="221">
        <f>X1021+Y1021+Z1021+AA1021+AB1021+AD1021+AF1021+AH1021+AJ1021+AL1021+AN1021+AO1021</f>
        <v>3259.66</v>
      </c>
      <c r="X1021" s="221">
        <v>0</v>
      </c>
      <c r="Y1021" s="222">
        <v>0</v>
      </c>
      <c r="Z1021" s="222">
        <v>3259.66</v>
      </c>
      <c r="AA1021" s="222">
        <v>0</v>
      </c>
      <c r="AB1021" s="222">
        <v>0</v>
      </c>
      <c r="AC1021" s="222">
        <v>0</v>
      </c>
      <c r="AD1021" s="222">
        <v>0</v>
      </c>
      <c r="AE1021" s="222">
        <v>0</v>
      </c>
      <c r="AF1021" s="221">
        <v>0</v>
      </c>
      <c r="AG1021" s="222">
        <v>0</v>
      </c>
      <c r="AH1021" s="221">
        <v>0</v>
      </c>
      <c r="AI1021" s="222">
        <v>0</v>
      </c>
      <c r="AJ1021" s="221">
        <v>0</v>
      </c>
      <c r="AK1021" s="222">
        <v>0</v>
      </c>
      <c r="AL1021" s="222">
        <v>0</v>
      </c>
      <c r="AM1021" s="222">
        <v>0</v>
      </c>
      <c r="AN1021" s="222"/>
      <c r="AO1021" s="222">
        <v>0</v>
      </c>
    </row>
    <row r="1022" spans="1:41" s="223" customFormat="1" ht="36" customHeight="1" x14ac:dyDescent="0.25">
      <c r="A1022" s="223">
        <v>1</v>
      </c>
      <c r="B1022" s="225">
        <f>SUBTOTAL(103,$A$552:A1022)</f>
        <v>407</v>
      </c>
      <c r="C1022" s="215" t="s">
        <v>225</v>
      </c>
      <c r="D1022" s="217">
        <v>1978</v>
      </c>
      <c r="E1022" s="217"/>
      <c r="F1022" s="226" t="s">
        <v>311</v>
      </c>
      <c r="G1022" s="217">
        <v>3</v>
      </c>
      <c r="H1022" s="217" t="s">
        <v>303</v>
      </c>
      <c r="I1022" s="190">
        <v>1015.3</v>
      </c>
      <c r="J1022" s="190">
        <v>929.3</v>
      </c>
      <c r="K1022" s="190">
        <v>929.3</v>
      </c>
      <c r="L1022" s="219">
        <v>37</v>
      </c>
      <c r="M1022" s="217" t="s">
        <v>265</v>
      </c>
      <c r="N1022" s="217" t="s">
        <v>269</v>
      </c>
      <c r="O1022" s="220" t="s">
        <v>332</v>
      </c>
      <c r="P1022" s="190">
        <v>3386066.8299999996</v>
      </c>
      <c r="Q1022" s="190">
        <v>0</v>
      </c>
      <c r="R1022" s="190">
        <v>0</v>
      </c>
      <c r="S1022" s="190">
        <f>P1022-R1022-Q1022</f>
        <v>3386066.8299999996</v>
      </c>
      <c r="T1022" s="190">
        <f t="shared" si="119"/>
        <v>3335.0407071801437</v>
      </c>
      <c r="U1022" s="190">
        <v>3335.0407071801437</v>
      </c>
      <c r="V1022" s="221">
        <f t="shared" si="124"/>
        <v>0</v>
      </c>
      <c r="W1022" s="221">
        <f>X1022+Y1022+Z1022+AA1022+AB1022+AD1022+AF1022+AH1022+AJ1022+AL1022+AN1022+AO1022</f>
        <v>3259.66</v>
      </c>
      <c r="X1022" s="221">
        <v>0</v>
      </c>
      <c r="Y1022" s="222">
        <v>0</v>
      </c>
      <c r="Z1022" s="222">
        <v>3259.66</v>
      </c>
      <c r="AA1022" s="222">
        <v>0</v>
      </c>
      <c r="AB1022" s="222">
        <v>0</v>
      </c>
      <c r="AC1022" s="222">
        <v>0</v>
      </c>
      <c r="AD1022" s="222">
        <v>0</v>
      </c>
      <c r="AE1022" s="222">
        <v>0</v>
      </c>
      <c r="AF1022" s="221">
        <v>0</v>
      </c>
      <c r="AG1022" s="222">
        <v>0</v>
      </c>
      <c r="AH1022" s="221">
        <v>0</v>
      </c>
      <c r="AI1022" s="222">
        <v>0</v>
      </c>
      <c r="AJ1022" s="221">
        <v>0</v>
      </c>
      <c r="AK1022" s="222">
        <v>0</v>
      </c>
      <c r="AL1022" s="222">
        <v>0</v>
      </c>
      <c r="AM1022" s="222">
        <v>0</v>
      </c>
      <c r="AN1022" s="222"/>
      <c r="AO1022" s="222">
        <v>0</v>
      </c>
    </row>
    <row r="1023" spans="1:41" s="223" customFormat="1" ht="36" customHeight="1" x14ac:dyDescent="0.25">
      <c r="A1023" s="223">
        <v>1</v>
      </c>
      <c r="B1023" s="225">
        <f>SUBTOTAL(103,$A$552:A1023)</f>
        <v>408</v>
      </c>
      <c r="C1023" s="215" t="s">
        <v>1274</v>
      </c>
      <c r="D1023" s="217">
        <v>1970</v>
      </c>
      <c r="E1023" s="217"/>
      <c r="F1023" s="226" t="s">
        <v>267</v>
      </c>
      <c r="G1023" s="217">
        <v>2</v>
      </c>
      <c r="H1023" s="217" t="s">
        <v>304</v>
      </c>
      <c r="I1023" s="218">
        <v>382.2</v>
      </c>
      <c r="J1023" s="218">
        <v>358.2</v>
      </c>
      <c r="K1023" s="218">
        <v>333.2</v>
      </c>
      <c r="L1023" s="219">
        <v>15</v>
      </c>
      <c r="M1023" s="217" t="s">
        <v>265</v>
      </c>
      <c r="N1023" s="217" t="s">
        <v>269</v>
      </c>
      <c r="O1023" s="220" t="s">
        <v>1348</v>
      </c>
      <c r="P1023" s="190">
        <v>684322.28999999992</v>
      </c>
      <c r="Q1023" s="190">
        <v>0</v>
      </c>
      <c r="R1023" s="190">
        <v>0</v>
      </c>
      <c r="S1023" s="190">
        <f>P1023-Q1023-R1023</f>
        <v>684322.28999999992</v>
      </c>
      <c r="T1023" s="190">
        <f t="shared" si="119"/>
        <v>1790.4821821036105</v>
      </c>
      <c r="U1023" s="190">
        <v>1790.4821821036105</v>
      </c>
      <c r="V1023" s="221">
        <f>U1023-T1023</f>
        <v>0</v>
      </c>
      <c r="W1023" s="221">
        <f>X1023+Y1023+Z1023+AA1023+AB1023+AD1023+AF1023+AH1023+AJ1023+AL1023+AN1023+AO1023</f>
        <v>11198.043589743589</v>
      </c>
      <c r="X1023" s="221">
        <v>0</v>
      </c>
      <c r="Y1023" s="222">
        <v>0</v>
      </c>
      <c r="Z1023" s="222">
        <v>0</v>
      </c>
      <c r="AA1023" s="222">
        <v>0</v>
      </c>
      <c r="AB1023" s="222">
        <v>0</v>
      </c>
      <c r="AC1023" s="222">
        <v>0</v>
      </c>
      <c r="AD1023" s="222">
        <v>0</v>
      </c>
      <c r="AE1023" s="222">
        <v>686</v>
      </c>
      <c r="AF1023" s="221">
        <f>6238.91*AE1023/I1023</f>
        <v>11198.043589743589</v>
      </c>
      <c r="AG1023" s="222">
        <v>0</v>
      </c>
      <c r="AH1023" s="221">
        <v>0</v>
      </c>
      <c r="AI1023" s="222">
        <v>0</v>
      </c>
      <c r="AJ1023" s="221">
        <v>0</v>
      </c>
      <c r="AK1023" s="222">
        <v>0</v>
      </c>
      <c r="AL1023" s="222">
        <v>0</v>
      </c>
      <c r="AM1023" s="222">
        <v>0</v>
      </c>
      <c r="AN1023" s="222"/>
      <c r="AO1023" s="222">
        <v>0</v>
      </c>
    </row>
    <row r="1024" spans="1:41" s="223" customFormat="1" ht="36" customHeight="1" x14ac:dyDescent="0.25">
      <c r="B1024" s="215" t="s">
        <v>865</v>
      </c>
      <c r="C1024" s="215"/>
      <c r="D1024" s="217" t="s">
        <v>890</v>
      </c>
      <c r="E1024" s="217" t="s">
        <v>890</v>
      </c>
      <c r="F1024" s="217" t="s">
        <v>890</v>
      </c>
      <c r="G1024" s="217" t="s">
        <v>890</v>
      </c>
      <c r="H1024" s="217" t="s">
        <v>890</v>
      </c>
      <c r="I1024" s="218">
        <f>I1025</f>
        <v>791.9</v>
      </c>
      <c r="J1024" s="218">
        <f>J1025</f>
        <v>736.9</v>
      </c>
      <c r="K1024" s="218">
        <f>K1025</f>
        <v>695.3</v>
      </c>
      <c r="L1024" s="219">
        <f>L1025</f>
        <v>27</v>
      </c>
      <c r="M1024" s="217" t="s">
        <v>890</v>
      </c>
      <c r="N1024" s="217" t="s">
        <v>890</v>
      </c>
      <c r="O1024" s="220" t="s">
        <v>890</v>
      </c>
      <c r="P1024" s="190">
        <v>3417127.3200000003</v>
      </c>
      <c r="Q1024" s="190">
        <f>Q1025</f>
        <v>0</v>
      </c>
      <c r="R1024" s="190">
        <f>R1025</f>
        <v>0</v>
      </c>
      <c r="S1024" s="190">
        <f>S1025</f>
        <v>3417127.3200000003</v>
      </c>
      <c r="T1024" s="190">
        <f t="shared" si="119"/>
        <v>4315.0995327692899</v>
      </c>
      <c r="U1024" s="190">
        <f>U1025</f>
        <v>5205.1738603359008</v>
      </c>
      <c r="V1024" s="221">
        <f>U1024-T1024</f>
        <v>890.07432756661092</v>
      </c>
      <c r="W1024" s="221"/>
      <c r="X1024" s="221"/>
      <c r="Y1024" s="222"/>
      <c r="Z1024" s="222"/>
      <c r="AA1024" s="222"/>
      <c r="AB1024" s="222"/>
      <c r="AC1024" s="222"/>
      <c r="AD1024" s="222"/>
      <c r="AE1024" s="222"/>
      <c r="AF1024" s="222"/>
      <c r="AG1024" s="222"/>
      <c r="AH1024" s="222"/>
      <c r="AI1024" s="222"/>
      <c r="AJ1024" s="222"/>
      <c r="AK1024" s="222"/>
      <c r="AL1024" s="222"/>
      <c r="AM1024" s="222"/>
      <c r="AN1024" s="222"/>
      <c r="AO1024" s="222"/>
    </row>
    <row r="1025" spans="1:41" s="223" customFormat="1" ht="36" customHeight="1" x14ac:dyDescent="0.25">
      <c r="A1025" s="223">
        <v>1</v>
      </c>
      <c r="B1025" s="225">
        <f>SUBTOTAL(103,$A$552:A1025)</f>
        <v>409</v>
      </c>
      <c r="C1025" s="215" t="s">
        <v>218</v>
      </c>
      <c r="D1025" s="217">
        <v>1979</v>
      </c>
      <c r="E1025" s="217"/>
      <c r="F1025" s="226" t="s">
        <v>267</v>
      </c>
      <c r="G1025" s="217">
        <v>2</v>
      </c>
      <c r="H1025" s="217" t="s">
        <v>303</v>
      </c>
      <c r="I1025" s="218">
        <v>791.9</v>
      </c>
      <c r="J1025" s="218">
        <v>736.9</v>
      </c>
      <c r="K1025" s="218">
        <v>695.3</v>
      </c>
      <c r="L1025" s="219">
        <v>27</v>
      </c>
      <c r="M1025" s="217" t="s">
        <v>265</v>
      </c>
      <c r="N1025" s="217" t="s">
        <v>266</v>
      </c>
      <c r="O1025" s="220" t="s">
        <v>268</v>
      </c>
      <c r="P1025" s="190">
        <v>3417127.3200000003</v>
      </c>
      <c r="Q1025" s="190">
        <v>0</v>
      </c>
      <c r="R1025" s="190">
        <v>0</v>
      </c>
      <c r="S1025" s="190">
        <f>P1025-Q1025-R1025</f>
        <v>3417127.3200000003</v>
      </c>
      <c r="T1025" s="190">
        <f t="shared" si="119"/>
        <v>4315.0995327692899</v>
      </c>
      <c r="U1025" s="190">
        <v>5205.1738603359008</v>
      </c>
      <c r="V1025" s="221">
        <f>U1025-T1025</f>
        <v>890.07432756661092</v>
      </c>
      <c r="W1025" s="221">
        <f>X1025+Y1025+Z1025+AA1025+AB1025+AD1025+AF1025+AH1025+AJ1025+AL1025+AN1025+AO1025</f>
        <v>4990.1825912362665</v>
      </c>
      <c r="X1025" s="221">
        <v>0</v>
      </c>
      <c r="Y1025" s="222">
        <v>0</v>
      </c>
      <c r="Z1025" s="222">
        <v>0</v>
      </c>
      <c r="AA1025" s="222">
        <v>0</v>
      </c>
      <c r="AB1025" s="222">
        <v>0</v>
      </c>
      <c r="AC1025" s="222">
        <v>0</v>
      </c>
      <c r="AD1025" s="222">
        <v>0</v>
      </c>
      <c r="AE1025" s="222">
        <v>633.4</v>
      </c>
      <c r="AF1025" s="221">
        <f>6238.91*AE1025/I1025</f>
        <v>4990.1825912362665</v>
      </c>
      <c r="AG1025" s="222">
        <v>0</v>
      </c>
      <c r="AH1025" s="221">
        <v>0</v>
      </c>
      <c r="AI1025" s="222">
        <v>0</v>
      </c>
      <c r="AJ1025" s="221">
        <v>0</v>
      </c>
      <c r="AK1025" s="222">
        <v>0</v>
      </c>
      <c r="AL1025" s="222">
        <v>0</v>
      </c>
      <c r="AM1025" s="222">
        <v>0</v>
      </c>
      <c r="AN1025" s="222"/>
      <c r="AO1025" s="222">
        <v>0</v>
      </c>
    </row>
    <row r="1026" spans="1:41" s="223" customFormat="1" ht="36" customHeight="1" x14ac:dyDescent="0.25">
      <c r="B1026" s="215" t="s">
        <v>864</v>
      </c>
      <c r="C1026" s="215"/>
      <c r="D1026" s="217" t="s">
        <v>890</v>
      </c>
      <c r="E1026" s="217" t="s">
        <v>890</v>
      </c>
      <c r="F1026" s="217" t="s">
        <v>890</v>
      </c>
      <c r="G1026" s="217" t="s">
        <v>890</v>
      </c>
      <c r="H1026" s="217" t="s">
        <v>890</v>
      </c>
      <c r="I1026" s="218">
        <f>I1027</f>
        <v>212.1</v>
      </c>
      <c r="J1026" s="218">
        <f>J1027</f>
        <v>212.1</v>
      </c>
      <c r="K1026" s="218">
        <f>K1027</f>
        <v>187.1</v>
      </c>
      <c r="L1026" s="219">
        <f>L1027</f>
        <v>7</v>
      </c>
      <c r="M1026" s="217" t="s">
        <v>890</v>
      </c>
      <c r="N1026" s="217" t="s">
        <v>890</v>
      </c>
      <c r="O1026" s="220" t="s">
        <v>890</v>
      </c>
      <c r="P1026" s="190">
        <v>236741.66999999998</v>
      </c>
      <c r="Q1026" s="190">
        <f>Q1027</f>
        <v>0</v>
      </c>
      <c r="R1026" s="190">
        <f>R1027</f>
        <v>0</v>
      </c>
      <c r="S1026" s="190">
        <f>S1027</f>
        <v>236741.66999999998</v>
      </c>
      <c r="T1026" s="190">
        <f t="shared" si="119"/>
        <v>1116.1794908062234</v>
      </c>
      <c r="U1026" s="190">
        <f>U1027</f>
        <v>1116.1794908062234</v>
      </c>
      <c r="V1026" s="221">
        <f t="shared" si="124"/>
        <v>0</v>
      </c>
      <c r="W1026" s="221"/>
      <c r="X1026" s="221"/>
      <c r="Y1026" s="222"/>
      <c r="Z1026" s="222"/>
      <c r="AA1026" s="222"/>
      <c r="AB1026" s="222"/>
      <c r="AC1026" s="222"/>
      <c r="AD1026" s="222"/>
      <c r="AE1026" s="222"/>
      <c r="AF1026" s="222"/>
      <c r="AG1026" s="222"/>
      <c r="AH1026" s="222"/>
      <c r="AI1026" s="222"/>
      <c r="AJ1026" s="222"/>
      <c r="AK1026" s="222"/>
      <c r="AL1026" s="222"/>
      <c r="AM1026" s="222"/>
      <c r="AN1026" s="222"/>
      <c r="AO1026" s="222"/>
    </row>
    <row r="1027" spans="1:41" s="223" customFormat="1" ht="36" customHeight="1" x14ac:dyDescent="0.25">
      <c r="A1027" s="223">
        <v>1</v>
      </c>
      <c r="B1027" s="225">
        <f>SUBTOTAL(103,$A$552:A1027)</f>
        <v>410</v>
      </c>
      <c r="C1027" s="215" t="s">
        <v>223</v>
      </c>
      <c r="D1027" s="217">
        <v>1962</v>
      </c>
      <c r="E1027" s="217"/>
      <c r="F1027" s="226" t="s">
        <v>267</v>
      </c>
      <c r="G1027" s="217">
        <v>2</v>
      </c>
      <c r="H1027" s="217" t="s">
        <v>304</v>
      </c>
      <c r="I1027" s="218">
        <v>212.1</v>
      </c>
      <c r="J1027" s="218">
        <v>212.1</v>
      </c>
      <c r="K1027" s="218">
        <v>187.1</v>
      </c>
      <c r="L1027" s="219">
        <v>7</v>
      </c>
      <c r="M1027" s="217" t="s">
        <v>265</v>
      </c>
      <c r="N1027" s="217" t="s">
        <v>266</v>
      </c>
      <c r="O1027" s="220" t="s">
        <v>268</v>
      </c>
      <c r="P1027" s="190">
        <v>236741.66999999998</v>
      </c>
      <c r="Q1027" s="190">
        <v>0</v>
      </c>
      <c r="R1027" s="190">
        <v>0</v>
      </c>
      <c r="S1027" s="190">
        <f>P1027-Q1027-R1027</f>
        <v>236741.66999999998</v>
      </c>
      <c r="T1027" s="190">
        <f t="shared" si="119"/>
        <v>1116.1794908062234</v>
      </c>
      <c r="U1027" s="190">
        <v>1116.1794908062234</v>
      </c>
      <c r="V1027" s="221">
        <f>U1027-T1027</f>
        <v>0</v>
      </c>
      <c r="W1027" s="221">
        <f>X1027+Y1027+Z1027+AA1027+AB1027+AD1027+AF1027+AH1027+AJ1027+AL1027+AN1027+AO1027</f>
        <v>18631.426657237153</v>
      </c>
      <c r="X1027" s="221">
        <v>0</v>
      </c>
      <c r="Y1027" s="222">
        <v>0</v>
      </c>
      <c r="Z1027" s="222">
        <v>0</v>
      </c>
      <c r="AA1027" s="222">
        <v>0</v>
      </c>
      <c r="AB1027" s="222">
        <v>0</v>
      </c>
      <c r="AC1027" s="222">
        <v>0</v>
      </c>
      <c r="AD1027" s="222">
        <v>0</v>
      </c>
      <c r="AE1027" s="222">
        <v>633.4</v>
      </c>
      <c r="AF1027" s="221">
        <f>6238.91*AE1027/I1027</f>
        <v>18631.426657237153</v>
      </c>
      <c r="AG1027" s="222">
        <v>0</v>
      </c>
      <c r="AH1027" s="221">
        <v>0</v>
      </c>
      <c r="AI1027" s="222">
        <v>0</v>
      </c>
      <c r="AJ1027" s="221">
        <v>0</v>
      </c>
      <c r="AK1027" s="222">
        <v>0</v>
      </c>
      <c r="AL1027" s="222">
        <v>0</v>
      </c>
      <c r="AM1027" s="222">
        <v>0</v>
      </c>
      <c r="AN1027" s="222"/>
      <c r="AO1027" s="222">
        <v>0</v>
      </c>
    </row>
    <row r="1028" spans="1:41" s="223" customFormat="1" ht="36" customHeight="1" x14ac:dyDescent="0.25">
      <c r="B1028" s="215" t="s">
        <v>755</v>
      </c>
      <c r="C1028" s="216"/>
      <c r="D1028" s="217" t="s">
        <v>890</v>
      </c>
      <c r="E1028" s="217" t="s">
        <v>890</v>
      </c>
      <c r="F1028" s="217" t="s">
        <v>890</v>
      </c>
      <c r="G1028" s="217" t="s">
        <v>890</v>
      </c>
      <c r="H1028" s="217" t="s">
        <v>890</v>
      </c>
      <c r="I1028" s="218">
        <f>I1029+I1098+I1113+I1140+I1154+I1157+I1166+I1169+I1173+I1176+I1178+I1180+I1183+I1185+I1187+I1194+I1198+I1200+I1202+I1204+I1207+I1210+I1212+I1214+I1216+I1223+I1226+I1230+I1233+I1235+I1239+I1241+I1243+I1245+I1247+I1249+I1251+I1255+I1257+I1259+I1261+I1265+I1267+I1269+I1271+I1274+I1278+I1282+I1286+I1289+I1291+I1293+I1296+I1300+I1302+I1304+I1306+I1310</f>
        <v>537561.31999999995</v>
      </c>
      <c r="J1028" s="218">
        <f>J1029+J1098+J1113+J1140+J1154+J1157+J1166+J1169+J1173+J1176+J1178+J1180+J1183+J1185+J1187+J1194+J1198+J1200+J1202+J1204+J1207+J1210+J1212+J1214+J1216+J1223+J1226+J1230+J1233+J1235+J1239+J1241+J1243+J1245+J1247+J1249+J1251+J1255+J1257+J1259+J1261+J1265+J1267+J1269+J1271+J1274+J1278+J1282+J1286+J1289+J1291+J1293+J1296+J1300+J1302+J1304+J1306+J1310</f>
        <v>449586.50999999989</v>
      </c>
      <c r="K1028" s="218">
        <f>K1029+K1098+K1113+K1140+K1154+K1157+K1166+K1169+K1173+K1176+K1178+K1180+K1183+K1185+K1187+K1194+K1198+K1200+K1202+K1204+K1207+K1210+K1212+K1214+K1216+K1223+K1226+K1230+K1233+K1235+K1239+K1241+K1243+K1245+K1247+K1249+K1251+K1255+K1257+K1259+K1261+K1265+K1267+K1269+K1271+K1274+K1278+K1282+K1286+K1289+K1291+K1293+K1296+K1300+K1302+K1304+K1306+K1310</f>
        <v>380785.59999999992</v>
      </c>
      <c r="L1028" s="219">
        <f>L1029+L1098+L1113+L1140+L1154+L1157+L1166+L1169+L1173+L1176+L1178+L1180+L1183+L1185+L1187+L1194+L1198+L1200+L1202+L1204+L1207+L1210+L1212+L1214+L1216+L1223+L1226+L1230+L1233+L1235+L1239+L1241+L1243+L1245+L1247+L1249+L1251+L1255+L1257+L1259+L1261+L1265+L1267+L1269+L1271+L1274+L1278+L1282+L1286+L1289+L1291+L1293+L1296+L1300+L1302+L1304+L1306+L1310</f>
        <v>20854</v>
      </c>
      <c r="M1028" s="217" t="s">
        <v>890</v>
      </c>
      <c r="N1028" s="217" t="s">
        <v>890</v>
      </c>
      <c r="O1028" s="220" t="s">
        <v>890</v>
      </c>
      <c r="P1028" s="218">
        <v>830181076.74000001</v>
      </c>
      <c r="Q1028" s="218">
        <f>Q1029+Q1098+Q1113+Q1140+Q1154+Q1157+Q1166+Q1169+Q1173+Q1176+Q1178+Q1180+Q1183+Q1185+Q1187+Q1194+Q1198+Q1200+Q1202+Q1204+Q1207+Q1210+Q1212+Q1214+Q1216+Q1223+Q1226+Q1230+Q1233+Q1235+Q1239+Q1241+Q1243+Q1245+Q1247+Q1249+Q1251+Q1255+Q1257+Q1259+Q1261+Q1265+Q1267+Q1269+Q1271+Q1274+Q1278+Q1282+Q1286+Q1289+Q1291+Q1293+Q1296+Q1300+Q1302+Q1304+Q1306+Q1310</f>
        <v>0</v>
      </c>
      <c r="R1028" s="218">
        <f>R1029+R1098+R1113+R1140+R1154+R1157+R1166+R1169+R1173+R1176+R1178+R1180+R1183+R1185+R1187+R1194+R1198+R1200+R1202+R1204+R1207+R1210+R1212+R1214+R1216+R1223+R1226+R1230+R1233+R1235+R1239+R1241+R1243+R1245+R1247+R1249+R1251+R1255+R1257+R1259+R1261+R1265+R1267+R1269+R1271+R1274+R1278+R1282+R1286+R1289+R1291+R1293+R1296+R1300+R1302+R1304+R1306+R1310</f>
        <v>1851570.68</v>
      </c>
      <c r="S1028" s="218">
        <f>S1029+S1098+S1113+S1140+S1154+S1157+S1166+S1169+S1173+S1176+S1178+S1180+S1183+S1185+S1187+S1194+S1198+S1200+S1202+S1204+S1207+S1210+S1212+S1214+S1216+S1223+S1226+S1230+S1233+S1235+S1239+S1241+S1243+S1245+S1247+S1249+S1251+S1255+S1257+S1259+S1261+S1265+S1267+S1269+S1271+S1274+S1278+S1282+S1286+S1289+S1291+S1293+S1296+S1300+S1302+S1304+S1306+S1310</f>
        <v>828329506.06000006</v>
      </c>
      <c r="T1028" s="190">
        <f t="shared" si="119"/>
        <v>1544.3467486462755</v>
      </c>
      <c r="U1028" s="190">
        <f>MAX(U1029:U1310)</f>
        <v>13939.657494569154</v>
      </c>
      <c r="V1028" s="221">
        <f t="shared" si="124"/>
        <v>12395.310745922878</v>
      </c>
      <c r="W1028" s="221"/>
      <c r="X1028" s="221"/>
      <c r="Y1028" s="222"/>
      <c r="Z1028" s="222"/>
      <c r="AA1028" s="222"/>
      <c r="AB1028" s="222"/>
      <c r="AC1028" s="222"/>
      <c r="AD1028" s="222"/>
      <c r="AE1028" s="222"/>
      <c r="AF1028" s="222"/>
      <c r="AG1028" s="222"/>
      <c r="AH1028" s="222"/>
      <c r="AI1028" s="222"/>
      <c r="AJ1028" s="222"/>
      <c r="AK1028" s="222"/>
      <c r="AL1028" s="222"/>
      <c r="AM1028" s="222"/>
      <c r="AN1028" s="222"/>
      <c r="AO1028" s="222"/>
    </row>
    <row r="1029" spans="1:41" s="223" customFormat="1" ht="36" customHeight="1" x14ac:dyDescent="0.25">
      <c r="B1029" s="215" t="s">
        <v>1087</v>
      </c>
      <c r="C1029" s="227"/>
      <c r="D1029" s="217" t="s">
        <v>890</v>
      </c>
      <c r="E1029" s="217" t="s">
        <v>890</v>
      </c>
      <c r="F1029" s="217" t="s">
        <v>890</v>
      </c>
      <c r="G1029" s="217" t="s">
        <v>890</v>
      </c>
      <c r="H1029" s="217" t="s">
        <v>890</v>
      </c>
      <c r="I1029" s="218">
        <f>SUM(I1030:I1097)</f>
        <v>234866.49999999994</v>
      </c>
      <c r="J1029" s="218">
        <f>SUM(J1030:J1097)</f>
        <v>190196.13999999996</v>
      </c>
      <c r="K1029" s="218">
        <f>SUM(K1030:K1097)</f>
        <v>162905.28999999998</v>
      </c>
      <c r="L1029" s="219">
        <f>SUM(L1030:L1097)</f>
        <v>8844</v>
      </c>
      <c r="M1029" s="217" t="s">
        <v>890</v>
      </c>
      <c r="N1029" s="217" t="s">
        <v>890</v>
      </c>
      <c r="O1029" s="220" t="s">
        <v>890</v>
      </c>
      <c r="P1029" s="218">
        <v>269435305.27999997</v>
      </c>
      <c r="Q1029" s="218">
        <f>SUM(Q1030:Q1097)</f>
        <v>0</v>
      </c>
      <c r="R1029" s="218">
        <f>SUM(R1030:R1097)</f>
        <v>0</v>
      </c>
      <c r="S1029" s="218">
        <f>SUM(S1030:S1097)</f>
        <v>269435305.27999997</v>
      </c>
      <c r="T1029" s="190">
        <f t="shared" si="119"/>
        <v>1147.1849126205739</v>
      </c>
      <c r="U1029" s="190">
        <f>MAX(U1030:U1097)</f>
        <v>8832.4878233873769</v>
      </c>
      <c r="V1029" s="221">
        <f t="shared" si="124"/>
        <v>7685.3029107668026</v>
      </c>
      <c r="W1029" s="221"/>
      <c r="X1029" s="221"/>
      <c r="Y1029" s="222"/>
      <c r="Z1029" s="222"/>
      <c r="AA1029" s="222"/>
      <c r="AB1029" s="222"/>
      <c r="AC1029" s="222"/>
      <c r="AD1029" s="222"/>
      <c r="AE1029" s="222"/>
      <c r="AF1029" s="222"/>
      <c r="AG1029" s="222"/>
      <c r="AH1029" s="222"/>
      <c r="AI1029" s="222"/>
      <c r="AJ1029" s="222"/>
      <c r="AK1029" s="222"/>
      <c r="AL1029" s="222"/>
      <c r="AM1029" s="222"/>
      <c r="AN1029" s="222"/>
      <c r="AO1029" s="222"/>
    </row>
    <row r="1030" spans="1:41" s="223" customFormat="1" ht="36" customHeight="1" x14ac:dyDescent="0.25">
      <c r="A1030" s="223">
        <v>1</v>
      </c>
      <c r="B1030" s="225">
        <f>SUBTOTAL(103,$A1030:A$1030)</f>
        <v>1</v>
      </c>
      <c r="C1030" s="215" t="s">
        <v>1065</v>
      </c>
      <c r="D1030" s="217">
        <v>1962</v>
      </c>
      <c r="E1030" s="217"/>
      <c r="F1030" s="226" t="s">
        <v>267</v>
      </c>
      <c r="G1030" s="217">
        <v>3</v>
      </c>
      <c r="H1030" s="217" t="s">
        <v>303</v>
      </c>
      <c r="I1030" s="218">
        <v>970.2</v>
      </c>
      <c r="J1030" s="218">
        <v>615</v>
      </c>
      <c r="K1030" s="218">
        <v>615</v>
      </c>
      <c r="L1030" s="219">
        <v>53</v>
      </c>
      <c r="M1030" s="217" t="s">
        <v>265</v>
      </c>
      <c r="N1030" s="217" t="s">
        <v>269</v>
      </c>
      <c r="O1030" s="220" t="s">
        <v>1644</v>
      </c>
      <c r="P1030" s="190">
        <v>2200000</v>
      </c>
      <c r="Q1030" s="190">
        <v>0</v>
      </c>
      <c r="R1030" s="190">
        <v>0</v>
      </c>
      <c r="S1030" s="190">
        <f t="shared" ref="S1030:S1097" si="125">P1030-Q1030-R1030</f>
        <v>2200000</v>
      </c>
      <c r="T1030" s="190">
        <f t="shared" si="119"/>
        <v>2267.5736961451248</v>
      </c>
      <c r="U1030" s="190">
        <v>2763.5254586683154</v>
      </c>
      <c r="V1030" s="221">
        <f t="shared" si="124"/>
        <v>495.95176252319061</v>
      </c>
      <c r="W1030" s="221">
        <f t="shared" ref="W1030:W1097" si="126">X1030+Y1030+Z1030+AA1030+AB1030+AD1030+AF1030+AH1030+AJ1030+AL1030+AN1030+AO1030</f>
        <v>4732.8775097917951</v>
      </c>
      <c r="X1030" s="221">
        <v>0</v>
      </c>
      <c r="Y1030" s="222">
        <v>0</v>
      </c>
      <c r="Z1030" s="222">
        <v>0</v>
      </c>
      <c r="AA1030" s="222">
        <v>0</v>
      </c>
      <c r="AB1030" s="222">
        <v>0</v>
      </c>
      <c r="AC1030" s="222">
        <v>0</v>
      </c>
      <c r="AD1030" s="222">
        <v>0</v>
      </c>
      <c r="AE1030" s="222">
        <v>736</v>
      </c>
      <c r="AF1030" s="221">
        <f t="shared" ref="AF1030:AF1051" si="127">6238.91*AE1030/I1030</f>
        <v>4732.8775097917951</v>
      </c>
      <c r="AG1030" s="222">
        <v>0</v>
      </c>
      <c r="AH1030" s="221">
        <v>0</v>
      </c>
      <c r="AI1030" s="222">
        <v>0</v>
      </c>
      <c r="AJ1030" s="221">
        <v>0</v>
      </c>
      <c r="AK1030" s="222">
        <v>0</v>
      </c>
      <c r="AL1030" s="222">
        <v>0</v>
      </c>
      <c r="AM1030" s="222">
        <v>0</v>
      </c>
      <c r="AN1030" s="222"/>
      <c r="AO1030" s="222">
        <v>0</v>
      </c>
    </row>
    <row r="1031" spans="1:41" s="223" customFormat="1" ht="36" customHeight="1" x14ac:dyDescent="0.25">
      <c r="A1031" s="223">
        <v>1</v>
      </c>
      <c r="B1031" s="225">
        <f>SUBTOTAL(103,$A$1030:A1031)</f>
        <v>2</v>
      </c>
      <c r="C1031" s="215" t="s">
        <v>569</v>
      </c>
      <c r="D1031" s="217" t="s">
        <v>314</v>
      </c>
      <c r="E1031" s="217"/>
      <c r="F1031" s="226" t="s">
        <v>311</v>
      </c>
      <c r="G1031" s="217" t="s">
        <v>351</v>
      </c>
      <c r="H1031" s="217" t="s">
        <v>312</v>
      </c>
      <c r="I1031" s="218">
        <v>2819.1</v>
      </c>
      <c r="J1031" s="218">
        <v>2572.5</v>
      </c>
      <c r="K1031" s="218">
        <v>1698</v>
      </c>
      <c r="L1031" s="219">
        <v>109</v>
      </c>
      <c r="M1031" s="217" t="s">
        <v>265</v>
      </c>
      <c r="N1031" s="217" t="s">
        <v>269</v>
      </c>
      <c r="O1031" s="220" t="s">
        <v>1071</v>
      </c>
      <c r="P1031" s="190">
        <v>3283875.94</v>
      </c>
      <c r="Q1031" s="190">
        <v>0</v>
      </c>
      <c r="R1031" s="190">
        <v>0</v>
      </c>
      <c r="S1031" s="190">
        <f t="shared" si="125"/>
        <v>3283875.94</v>
      </c>
      <c r="T1031" s="190">
        <f t="shared" si="119"/>
        <v>1164.8667801780709</v>
      </c>
      <c r="U1031" s="190">
        <v>1666.6877372210988</v>
      </c>
      <c r="V1031" s="221">
        <f t="shared" si="124"/>
        <v>501.82095704302787</v>
      </c>
      <c r="W1031" s="221">
        <f t="shared" si="126"/>
        <v>509.0097194139974</v>
      </c>
      <c r="X1031" s="221">
        <v>0</v>
      </c>
      <c r="Y1031" s="222">
        <v>0</v>
      </c>
      <c r="Z1031" s="222">
        <v>0</v>
      </c>
      <c r="AA1031" s="222">
        <v>0</v>
      </c>
      <c r="AB1031" s="222">
        <v>0</v>
      </c>
      <c r="AC1031" s="222">
        <v>0</v>
      </c>
      <c r="AD1031" s="222">
        <v>0</v>
      </c>
      <c r="AE1031" s="222">
        <v>230</v>
      </c>
      <c r="AF1031" s="221">
        <f t="shared" si="127"/>
        <v>509.0097194139974</v>
      </c>
      <c r="AG1031" s="222">
        <v>0</v>
      </c>
      <c r="AH1031" s="221">
        <v>0</v>
      </c>
      <c r="AI1031" s="222">
        <v>0</v>
      </c>
      <c r="AJ1031" s="221">
        <v>0</v>
      </c>
      <c r="AK1031" s="222">
        <v>0</v>
      </c>
      <c r="AL1031" s="222">
        <v>0</v>
      </c>
      <c r="AM1031" s="222">
        <v>0</v>
      </c>
      <c r="AN1031" s="222"/>
      <c r="AO1031" s="222">
        <v>0</v>
      </c>
    </row>
    <row r="1032" spans="1:41" s="223" customFormat="1" ht="36" customHeight="1" x14ac:dyDescent="0.25">
      <c r="A1032" s="223">
        <v>1</v>
      </c>
      <c r="B1032" s="225">
        <f>SUBTOTAL(103,$A$1030:A1032)</f>
        <v>3</v>
      </c>
      <c r="C1032" s="215" t="s">
        <v>570</v>
      </c>
      <c r="D1032" s="217" t="s">
        <v>314</v>
      </c>
      <c r="E1032" s="217"/>
      <c r="F1032" s="226" t="s">
        <v>311</v>
      </c>
      <c r="G1032" s="217" t="s">
        <v>351</v>
      </c>
      <c r="H1032" s="217" t="s">
        <v>351</v>
      </c>
      <c r="I1032" s="218">
        <v>5771.6</v>
      </c>
      <c r="J1032" s="218">
        <v>4780.3999999999996</v>
      </c>
      <c r="K1032" s="218">
        <v>4455.8999999999996</v>
      </c>
      <c r="L1032" s="219">
        <v>241</v>
      </c>
      <c r="M1032" s="217" t="s">
        <v>265</v>
      </c>
      <c r="N1032" s="217" t="s">
        <v>269</v>
      </c>
      <c r="O1032" s="220" t="s">
        <v>1071</v>
      </c>
      <c r="P1032" s="190">
        <v>5491207.6599999992</v>
      </c>
      <c r="Q1032" s="190">
        <v>0</v>
      </c>
      <c r="R1032" s="190">
        <v>0</v>
      </c>
      <c r="S1032" s="190">
        <f t="shared" si="125"/>
        <v>5491207.6599999992</v>
      </c>
      <c r="T1032" s="190">
        <f t="shared" si="119"/>
        <v>951.41861182341097</v>
      </c>
      <c r="U1032" s="190">
        <v>1353.0459491302238</v>
      </c>
      <c r="V1032" s="221">
        <f t="shared" si="124"/>
        <v>401.62733730681282</v>
      </c>
      <c r="W1032" s="221">
        <f t="shared" si="126"/>
        <v>445.35846559013095</v>
      </c>
      <c r="X1032" s="221">
        <v>0</v>
      </c>
      <c r="Y1032" s="222">
        <v>0</v>
      </c>
      <c r="Z1032" s="222">
        <v>0</v>
      </c>
      <c r="AA1032" s="222">
        <v>0</v>
      </c>
      <c r="AB1032" s="222">
        <v>0</v>
      </c>
      <c r="AC1032" s="222">
        <v>0</v>
      </c>
      <c r="AD1032" s="222">
        <v>0</v>
      </c>
      <c r="AE1032" s="222">
        <v>412</v>
      </c>
      <c r="AF1032" s="221">
        <f t="shared" si="127"/>
        <v>445.35846559013095</v>
      </c>
      <c r="AG1032" s="222">
        <v>0</v>
      </c>
      <c r="AH1032" s="221">
        <v>0</v>
      </c>
      <c r="AI1032" s="222">
        <v>0</v>
      </c>
      <c r="AJ1032" s="221">
        <v>0</v>
      </c>
      <c r="AK1032" s="222">
        <v>0</v>
      </c>
      <c r="AL1032" s="222">
        <v>0</v>
      </c>
      <c r="AM1032" s="222">
        <v>0</v>
      </c>
      <c r="AN1032" s="222"/>
      <c r="AO1032" s="222">
        <v>0</v>
      </c>
    </row>
    <row r="1033" spans="1:41" s="223" customFormat="1" ht="36" customHeight="1" x14ac:dyDescent="0.25">
      <c r="A1033" s="223">
        <v>1</v>
      </c>
      <c r="B1033" s="225">
        <f>SUBTOTAL(103,$A$1030:A1033)</f>
        <v>4</v>
      </c>
      <c r="C1033" s="215" t="s">
        <v>571</v>
      </c>
      <c r="D1033" s="217" t="s">
        <v>352</v>
      </c>
      <c r="E1033" s="217"/>
      <c r="F1033" s="226" t="s">
        <v>267</v>
      </c>
      <c r="G1033" s="217" t="s">
        <v>357</v>
      </c>
      <c r="H1033" s="217" t="s">
        <v>304</v>
      </c>
      <c r="I1033" s="218">
        <v>2826.2</v>
      </c>
      <c r="J1033" s="218">
        <v>2826.2</v>
      </c>
      <c r="K1033" s="218">
        <v>1324.2</v>
      </c>
      <c r="L1033" s="219">
        <v>97</v>
      </c>
      <c r="M1033" s="217" t="s">
        <v>265</v>
      </c>
      <c r="N1033" s="217" t="s">
        <v>269</v>
      </c>
      <c r="O1033" s="220" t="s">
        <v>1071</v>
      </c>
      <c r="P1033" s="190">
        <v>1996320.0799999998</v>
      </c>
      <c r="Q1033" s="190">
        <v>0</v>
      </c>
      <c r="R1033" s="190">
        <v>0</v>
      </c>
      <c r="S1033" s="190">
        <f t="shared" si="125"/>
        <v>1996320.0799999998</v>
      </c>
      <c r="T1033" s="190">
        <f t="shared" si="119"/>
        <v>706.36192767673913</v>
      </c>
      <c r="U1033" s="190">
        <v>927.16092279385748</v>
      </c>
      <c r="V1033" s="221">
        <f t="shared" si="124"/>
        <v>220.79899511711835</v>
      </c>
      <c r="W1033" s="221">
        <f t="shared" si="126"/>
        <v>1593.8337768027741</v>
      </c>
      <c r="X1033" s="221">
        <v>0</v>
      </c>
      <c r="Y1033" s="222">
        <v>0</v>
      </c>
      <c r="Z1033" s="222">
        <v>0</v>
      </c>
      <c r="AA1033" s="222">
        <v>0</v>
      </c>
      <c r="AB1033" s="222">
        <v>0</v>
      </c>
      <c r="AC1033" s="222">
        <v>0</v>
      </c>
      <c r="AD1033" s="222">
        <v>0</v>
      </c>
      <c r="AE1033" s="222">
        <v>722</v>
      </c>
      <c r="AF1033" s="221">
        <f t="shared" si="127"/>
        <v>1593.8337768027741</v>
      </c>
      <c r="AG1033" s="222">
        <v>0</v>
      </c>
      <c r="AH1033" s="221">
        <v>0</v>
      </c>
      <c r="AI1033" s="222">
        <v>0</v>
      </c>
      <c r="AJ1033" s="221">
        <v>0</v>
      </c>
      <c r="AK1033" s="222">
        <v>0</v>
      </c>
      <c r="AL1033" s="222">
        <v>0</v>
      </c>
      <c r="AM1033" s="222">
        <v>0</v>
      </c>
      <c r="AN1033" s="222"/>
      <c r="AO1033" s="222">
        <v>0</v>
      </c>
    </row>
    <row r="1034" spans="1:41" s="223" customFormat="1" ht="36" customHeight="1" x14ac:dyDescent="0.25">
      <c r="A1034" s="223">
        <v>1</v>
      </c>
      <c r="B1034" s="225">
        <f>SUBTOTAL(103,$A$1030:A1034)</f>
        <v>5</v>
      </c>
      <c r="C1034" s="215" t="s">
        <v>572</v>
      </c>
      <c r="D1034" s="217" t="s">
        <v>317</v>
      </c>
      <c r="E1034" s="217"/>
      <c r="F1034" s="226" t="s">
        <v>311</v>
      </c>
      <c r="G1034" s="217" t="s">
        <v>351</v>
      </c>
      <c r="H1034" s="217" t="s">
        <v>312</v>
      </c>
      <c r="I1034" s="218">
        <v>2495.6</v>
      </c>
      <c r="J1034" s="218">
        <v>2297</v>
      </c>
      <c r="K1034" s="218">
        <v>2070.8000000000002</v>
      </c>
      <c r="L1034" s="219">
        <v>117</v>
      </c>
      <c r="M1034" s="217" t="s">
        <v>265</v>
      </c>
      <c r="N1034" s="217" t="s">
        <v>269</v>
      </c>
      <c r="O1034" s="220" t="s">
        <v>1647</v>
      </c>
      <c r="P1034" s="190">
        <v>2818609.5</v>
      </c>
      <c r="Q1034" s="190">
        <v>0</v>
      </c>
      <c r="R1034" s="190">
        <v>0</v>
      </c>
      <c r="S1034" s="190">
        <f t="shared" si="125"/>
        <v>2818609.5</v>
      </c>
      <c r="T1034" s="190">
        <f t="shared" si="119"/>
        <v>1129.431599615323</v>
      </c>
      <c r="U1034" s="190">
        <v>1546.3480125020037</v>
      </c>
      <c r="V1034" s="221">
        <f t="shared" si="124"/>
        <v>416.91641288668075</v>
      </c>
      <c r="W1034" s="221">
        <f t="shared" si="126"/>
        <v>2999.9567238339478</v>
      </c>
      <c r="X1034" s="221">
        <v>0</v>
      </c>
      <c r="Y1034" s="222">
        <v>0</v>
      </c>
      <c r="Z1034" s="222">
        <v>0</v>
      </c>
      <c r="AA1034" s="222">
        <v>0</v>
      </c>
      <c r="AB1034" s="222">
        <v>0</v>
      </c>
      <c r="AC1034" s="222">
        <v>0</v>
      </c>
      <c r="AD1034" s="222">
        <v>0</v>
      </c>
      <c r="AE1034" s="222">
        <v>1200</v>
      </c>
      <c r="AF1034" s="221">
        <f t="shared" si="127"/>
        <v>2999.9567238339478</v>
      </c>
      <c r="AG1034" s="222">
        <v>0</v>
      </c>
      <c r="AH1034" s="221">
        <v>0</v>
      </c>
      <c r="AI1034" s="222">
        <v>0</v>
      </c>
      <c r="AJ1034" s="221">
        <v>0</v>
      </c>
      <c r="AK1034" s="222">
        <v>0</v>
      </c>
      <c r="AL1034" s="222">
        <v>0</v>
      </c>
      <c r="AM1034" s="222">
        <v>0</v>
      </c>
      <c r="AN1034" s="222"/>
      <c r="AO1034" s="222">
        <v>0</v>
      </c>
    </row>
    <row r="1035" spans="1:41" s="223" customFormat="1" ht="36" customHeight="1" x14ac:dyDescent="0.25">
      <c r="A1035" s="223">
        <v>1</v>
      </c>
      <c r="B1035" s="225">
        <f>SUBTOTAL(103,$A$1030:A1035)</f>
        <v>6</v>
      </c>
      <c r="C1035" s="215" t="s">
        <v>1627</v>
      </c>
      <c r="D1035" s="217">
        <v>1986</v>
      </c>
      <c r="E1035" s="217"/>
      <c r="F1035" s="226" t="s">
        <v>311</v>
      </c>
      <c r="G1035" s="217">
        <v>9</v>
      </c>
      <c r="H1035" s="217" t="s">
        <v>303</v>
      </c>
      <c r="I1035" s="218">
        <v>4308.3999999999996</v>
      </c>
      <c r="J1035" s="218">
        <v>3920.4</v>
      </c>
      <c r="K1035" s="218">
        <v>3608.2</v>
      </c>
      <c r="L1035" s="219">
        <v>108</v>
      </c>
      <c r="M1035" s="217" t="s">
        <v>265</v>
      </c>
      <c r="N1035" s="217" t="s">
        <v>269</v>
      </c>
      <c r="O1035" s="220" t="s">
        <v>1381</v>
      </c>
      <c r="P1035" s="190">
        <v>2963862.9899999998</v>
      </c>
      <c r="Q1035" s="190">
        <v>0</v>
      </c>
      <c r="R1035" s="190">
        <v>0</v>
      </c>
      <c r="S1035" s="190">
        <f t="shared" si="125"/>
        <v>2963862.9899999998</v>
      </c>
      <c r="T1035" s="190">
        <f t="shared" si="119"/>
        <v>687.92660616470152</v>
      </c>
      <c r="U1035" s="190">
        <v>809.47699610064069</v>
      </c>
      <c r="V1035" s="221">
        <f t="shared" si="124"/>
        <v>121.55038993593917</v>
      </c>
      <c r="W1035" s="221">
        <f t="shared" si="126"/>
        <v>608.19380744591956</v>
      </c>
      <c r="X1035" s="221">
        <v>0</v>
      </c>
      <c r="Y1035" s="222">
        <v>0</v>
      </c>
      <c r="Z1035" s="222">
        <v>0</v>
      </c>
      <c r="AA1035" s="222">
        <v>0</v>
      </c>
      <c r="AB1035" s="222">
        <v>0</v>
      </c>
      <c r="AC1035" s="222">
        <v>0</v>
      </c>
      <c r="AD1035" s="222">
        <v>0</v>
      </c>
      <c r="AE1035" s="222">
        <v>420</v>
      </c>
      <c r="AF1035" s="221">
        <f t="shared" si="127"/>
        <v>608.19380744591956</v>
      </c>
      <c r="AG1035" s="222">
        <v>0</v>
      </c>
      <c r="AH1035" s="221">
        <v>0</v>
      </c>
      <c r="AI1035" s="222">
        <v>0</v>
      </c>
      <c r="AJ1035" s="221">
        <v>0</v>
      </c>
      <c r="AK1035" s="222">
        <v>0</v>
      </c>
      <c r="AL1035" s="222">
        <v>0</v>
      </c>
      <c r="AM1035" s="222">
        <v>0</v>
      </c>
      <c r="AN1035" s="222"/>
      <c r="AO1035" s="222">
        <v>0</v>
      </c>
    </row>
    <row r="1036" spans="1:41" s="223" customFormat="1" ht="36" customHeight="1" x14ac:dyDescent="0.25">
      <c r="A1036" s="223">
        <v>1</v>
      </c>
      <c r="B1036" s="225">
        <f>SUBTOTAL(103,$A$1030:A1036)</f>
        <v>7</v>
      </c>
      <c r="C1036" s="215" t="s">
        <v>573</v>
      </c>
      <c r="D1036" s="217" t="s">
        <v>369</v>
      </c>
      <c r="E1036" s="217"/>
      <c r="F1036" s="226" t="s">
        <v>267</v>
      </c>
      <c r="G1036" s="217" t="s">
        <v>357</v>
      </c>
      <c r="H1036" s="217" t="s">
        <v>304</v>
      </c>
      <c r="I1036" s="218">
        <v>6352.8</v>
      </c>
      <c r="J1036" s="218">
        <v>4687.3999999999996</v>
      </c>
      <c r="K1036" s="218">
        <v>2543.4</v>
      </c>
      <c r="L1036" s="219">
        <v>201</v>
      </c>
      <c r="M1036" s="217" t="s">
        <v>265</v>
      </c>
      <c r="N1036" s="217" t="s">
        <v>269</v>
      </c>
      <c r="O1036" s="220" t="s">
        <v>1086</v>
      </c>
      <c r="P1036" s="190">
        <v>3753990.26</v>
      </c>
      <c r="Q1036" s="190">
        <v>0</v>
      </c>
      <c r="R1036" s="190">
        <v>0</v>
      </c>
      <c r="S1036" s="190">
        <f t="shared" si="125"/>
        <v>3753990.26</v>
      </c>
      <c r="T1036" s="190">
        <f t="shared" si="119"/>
        <v>590.91900579272124</v>
      </c>
      <c r="U1036" s="190">
        <v>779.76554275280193</v>
      </c>
      <c r="V1036" s="221">
        <f t="shared" si="124"/>
        <v>188.8465369600807</v>
      </c>
      <c r="W1036" s="221">
        <f t="shared" si="126"/>
        <v>582.36897588464922</v>
      </c>
      <c r="X1036" s="221">
        <v>0</v>
      </c>
      <c r="Y1036" s="222">
        <v>0</v>
      </c>
      <c r="Z1036" s="222">
        <v>0</v>
      </c>
      <c r="AA1036" s="222">
        <v>0</v>
      </c>
      <c r="AB1036" s="222">
        <v>0</v>
      </c>
      <c r="AC1036" s="222">
        <v>0</v>
      </c>
      <c r="AD1036" s="222">
        <v>0</v>
      </c>
      <c r="AE1036" s="222">
        <v>593</v>
      </c>
      <c r="AF1036" s="221">
        <f t="shared" si="127"/>
        <v>582.36897588464922</v>
      </c>
      <c r="AG1036" s="222">
        <v>0</v>
      </c>
      <c r="AH1036" s="221">
        <v>0</v>
      </c>
      <c r="AI1036" s="222">
        <v>0</v>
      </c>
      <c r="AJ1036" s="221">
        <v>0</v>
      </c>
      <c r="AK1036" s="222">
        <v>0</v>
      </c>
      <c r="AL1036" s="222">
        <v>0</v>
      </c>
      <c r="AM1036" s="222">
        <v>0</v>
      </c>
      <c r="AN1036" s="222"/>
      <c r="AO1036" s="222">
        <v>0</v>
      </c>
    </row>
    <row r="1037" spans="1:41" s="223" customFormat="1" ht="36" customHeight="1" x14ac:dyDescent="0.25">
      <c r="A1037" s="223">
        <v>1</v>
      </c>
      <c r="B1037" s="225">
        <f>SUBTOTAL(103,$A$1030:A1037)</f>
        <v>8</v>
      </c>
      <c r="C1037" s="215" t="s">
        <v>1628</v>
      </c>
      <c r="D1037" s="217">
        <v>1986</v>
      </c>
      <c r="E1037" s="217"/>
      <c r="F1037" s="226" t="s">
        <v>267</v>
      </c>
      <c r="G1037" s="217">
        <v>5</v>
      </c>
      <c r="H1037" s="217" t="s">
        <v>371</v>
      </c>
      <c r="I1037" s="218">
        <v>5760.4</v>
      </c>
      <c r="J1037" s="218">
        <v>4094.2</v>
      </c>
      <c r="K1037" s="218">
        <v>3478.1</v>
      </c>
      <c r="L1037" s="219">
        <v>194</v>
      </c>
      <c r="M1037" s="217" t="s">
        <v>265</v>
      </c>
      <c r="N1037" s="217" t="s">
        <v>269</v>
      </c>
      <c r="O1037" s="220" t="s">
        <v>1086</v>
      </c>
      <c r="P1037" s="190">
        <v>5682500</v>
      </c>
      <c r="Q1037" s="190">
        <v>0</v>
      </c>
      <c r="R1037" s="190">
        <v>0</v>
      </c>
      <c r="S1037" s="190">
        <f t="shared" si="125"/>
        <v>5682500</v>
      </c>
      <c r="T1037" s="190">
        <f t="shared" ref="T1037:T1100" si="128">P1037/I1037</f>
        <v>986.47663356711348</v>
      </c>
      <c r="U1037" s="190">
        <v>1511.5795083674745</v>
      </c>
      <c r="V1037" s="221">
        <f t="shared" si="124"/>
        <v>525.10287480036106</v>
      </c>
      <c r="W1037" s="221">
        <f t="shared" si="126"/>
        <v>605.43550621484621</v>
      </c>
      <c r="X1037" s="221">
        <v>0</v>
      </c>
      <c r="Y1037" s="222">
        <v>0</v>
      </c>
      <c r="Z1037" s="222">
        <v>0</v>
      </c>
      <c r="AA1037" s="222">
        <v>0</v>
      </c>
      <c r="AB1037" s="222">
        <v>0</v>
      </c>
      <c r="AC1037" s="222">
        <v>0</v>
      </c>
      <c r="AD1037" s="222">
        <v>0</v>
      </c>
      <c r="AE1037" s="222">
        <v>559</v>
      </c>
      <c r="AF1037" s="221">
        <f t="shared" si="127"/>
        <v>605.43550621484621</v>
      </c>
      <c r="AG1037" s="222">
        <v>0</v>
      </c>
      <c r="AH1037" s="221">
        <v>0</v>
      </c>
      <c r="AI1037" s="222">
        <v>0</v>
      </c>
      <c r="AJ1037" s="221">
        <v>0</v>
      </c>
      <c r="AK1037" s="222">
        <v>0</v>
      </c>
      <c r="AL1037" s="222">
        <v>0</v>
      </c>
      <c r="AM1037" s="222">
        <v>0</v>
      </c>
      <c r="AN1037" s="222"/>
      <c r="AO1037" s="222">
        <v>0</v>
      </c>
    </row>
    <row r="1038" spans="1:41" s="223" customFormat="1" ht="36" customHeight="1" x14ac:dyDescent="0.25">
      <c r="A1038" s="223">
        <v>1</v>
      </c>
      <c r="B1038" s="225">
        <f>SUBTOTAL(103,$A$1030:A1038)</f>
        <v>9</v>
      </c>
      <c r="C1038" s="215" t="s">
        <v>574</v>
      </c>
      <c r="D1038" s="217" t="s">
        <v>370</v>
      </c>
      <c r="E1038" s="217"/>
      <c r="F1038" s="226" t="s">
        <v>311</v>
      </c>
      <c r="G1038" s="217" t="s">
        <v>351</v>
      </c>
      <c r="H1038" s="217" t="s">
        <v>308</v>
      </c>
      <c r="I1038" s="218">
        <v>4042.4</v>
      </c>
      <c r="J1038" s="218">
        <v>3045.4</v>
      </c>
      <c r="K1038" s="218">
        <v>2978.7</v>
      </c>
      <c r="L1038" s="219">
        <v>118</v>
      </c>
      <c r="M1038" s="217" t="s">
        <v>265</v>
      </c>
      <c r="N1038" s="217" t="s">
        <v>269</v>
      </c>
      <c r="O1038" s="220" t="s">
        <v>1319</v>
      </c>
      <c r="P1038" s="190">
        <v>3593332.35</v>
      </c>
      <c r="Q1038" s="190">
        <v>0</v>
      </c>
      <c r="R1038" s="190">
        <v>0</v>
      </c>
      <c r="S1038" s="190">
        <f t="shared" si="125"/>
        <v>3593332.35</v>
      </c>
      <c r="T1038" s="190">
        <f t="shared" si="128"/>
        <v>888.91063477142291</v>
      </c>
      <c r="U1038" s="190">
        <v>1223.8159360775776</v>
      </c>
      <c r="V1038" s="221">
        <f t="shared" si="124"/>
        <v>334.90530130615468</v>
      </c>
      <c r="W1038" s="221">
        <f t="shared" si="126"/>
        <v>1225.434034237087</v>
      </c>
      <c r="X1038" s="221">
        <v>0</v>
      </c>
      <c r="Y1038" s="222">
        <v>0</v>
      </c>
      <c r="Z1038" s="222">
        <v>0</v>
      </c>
      <c r="AA1038" s="222">
        <v>0</v>
      </c>
      <c r="AB1038" s="222">
        <v>0</v>
      </c>
      <c r="AC1038" s="222">
        <v>0</v>
      </c>
      <c r="AD1038" s="222">
        <v>0</v>
      </c>
      <c r="AE1038" s="222">
        <v>794</v>
      </c>
      <c r="AF1038" s="221">
        <f t="shared" si="127"/>
        <v>1225.434034237087</v>
      </c>
      <c r="AG1038" s="222">
        <v>0</v>
      </c>
      <c r="AH1038" s="221">
        <v>0</v>
      </c>
      <c r="AI1038" s="222">
        <v>0</v>
      </c>
      <c r="AJ1038" s="221">
        <v>0</v>
      </c>
      <c r="AK1038" s="222">
        <v>0</v>
      </c>
      <c r="AL1038" s="222">
        <v>0</v>
      </c>
      <c r="AM1038" s="222">
        <v>0</v>
      </c>
      <c r="AN1038" s="222"/>
      <c r="AO1038" s="222">
        <v>0</v>
      </c>
    </row>
    <row r="1039" spans="1:41" s="223" customFormat="1" ht="36" customHeight="1" x14ac:dyDescent="0.25">
      <c r="A1039" s="223">
        <v>1</v>
      </c>
      <c r="B1039" s="225">
        <f>SUBTOTAL(103,$A$1030:A1039)</f>
        <v>10</v>
      </c>
      <c r="C1039" s="215" t="s">
        <v>575</v>
      </c>
      <c r="D1039" s="217">
        <v>1971</v>
      </c>
      <c r="E1039" s="217"/>
      <c r="F1039" s="226" t="s">
        <v>267</v>
      </c>
      <c r="G1039" s="217">
        <v>5</v>
      </c>
      <c r="H1039" s="217" t="s">
        <v>371</v>
      </c>
      <c r="I1039" s="218">
        <v>4541.8</v>
      </c>
      <c r="J1039" s="218">
        <v>4541.8</v>
      </c>
      <c r="K1039" s="218">
        <v>4403.2</v>
      </c>
      <c r="L1039" s="219">
        <v>240</v>
      </c>
      <c r="M1039" s="217" t="s">
        <v>265</v>
      </c>
      <c r="N1039" s="217" t="s">
        <v>269</v>
      </c>
      <c r="O1039" s="220" t="s">
        <v>1382</v>
      </c>
      <c r="P1039" s="190">
        <v>5851539.1200000001</v>
      </c>
      <c r="Q1039" s="190">
        <v>0</v>
      </c>
      <c r="R1039" s="190">
        <v>0</v>
      </c>
      <c r="S1039" s="190">
        <f t="shared" si="125"/>
        <v>5851539.1200000001</v>
      </c>
      <c r="T1039" s="190">
        <f t="shared" si="128"/>
        <v>1288.3744594654102</v>
      </c>
      <c r="U1039" s="190">
        <v>1805.9591087234135</v>
      </c>
      <c r="V1039" s="221">
        <f t="shared" si="124"/>
        <v>517.58464925800331</v>
      </c>
      <c r="W1039" s="221">
        <f t="shared" si="126"/>
        <v>1837.9632700691354</v>
      </c>
      <c r="X1039" s="221">
        <v>0</v>
      </c>
      <c r="Y1039" s="222">
        <v>0</v>
      </c>
      <c r="Z1039" s="222">
        <v>0</v>
      </c>
      <c r="AA1039" s="222">
        <v>0</v>
      </c>
      <c r="AB1039" s="222">
        <v>0</v>
      </c>
      <c r="AC1039" s="222">
        <v>0</v>
      </c>
      <c r="AD1039" s="222">
        <v>0</v>
      </c>
      <c r="AE1039" s="222">
        <v>1338</v>
      </c>
      <c r="AF1039" s="221">
        <f t="shared" si="127"/>
        <v>1837.9632700691354</v>
      </c>
      <c r="AG1039" s="222">
        <v>0</v>
      </c>
      <c r="AH1039" s="221">
        <v>0</v>
      </c>
      <c r="AI1039" s="222">
        <v>0</v>
      </c>
      <c r="AJ1039" s="221">
        <v>0</v>
      </c>
      <c r="AK1039" s="222">
        <v>0</v>
      </c>
      <c r="AL1039" s="222">
        <v>0</v>
      </c>
      <c r="AM1039" s="222">
        <v>0</v>
      </c>
      <c r="AN1039" s="222"/>
      <c r="AO1039" s="222">
        <v>0</v>
      </c>
    </row>
    <row r="1040" spans="1:41" s="223" customFormat="1" ht="36" customHeight="1" x14ac:dyDescent="0.25">
      <c r="A1040" s="223">
        <v>1</v>
      </c>
      <c r="B1040" s="225">
        <f>SUBTOTAL(103,$A$1030:A1040)</f>
        <v>11</v>
      </c>
      <c r="C1040" s="215" t="s">
        <v>576</v>
      </c>
      <c r="D1040" s="217" t="s">
        <v>309</v>
      </c>
      <c r="E1040" s="217"/>
      <c r="F1040" s="226" t="s">
        <v>311</v>
      </c>
      <c r="G1040" s="217" t="s">
        <v>351</v>
      </c>
      <c r="H1040" s="217" t="s">
        <v>371</v>
      </c>
      <c r="I1040" s="218">
        <v>6071.1</v>
      </c>
      <c r="J1040" s="218">
        <v>4547.3999999999996</v>
      </c>
      <c r="K1040" s="218">
        <v>4155.2</v>
      </c>
      <c r="L1040" s="219">
        <v>218</v>
      </c>
      <c r="M1040" s="217" t="s">
        <v>265</v>
      </c>
      <c r="N1040" s="217" t="s">
        <v>269</v>
      </c>
      <c r="O1040" s="220" t="s">
        <v>1319</v>
      </c>
      <c r="P1040" s="190">
        <v>5450859.3200000003</v>
      </c>
      <c r="Q1040" s="190">
        <v>0</v>
      </c>
      <c r="R1040" s="190">
        <v>0</v>
      </c>
      <c r="S1040" s="190">
        <f t="shared" si="125"/>
        <v>5450859.3200000003</v>
      </c>
      <c r="T1040" s="190">
        <f t="shared" si="128"/>
        <v>897.83718271812359</v>
      </c>
      <c r="U1040" s="190">
        <v>1233.773566569485</v>
      </c>
      <c r="V1040" s="221">
        <f t="shared" si="124"/>
        <v>335.93638385136137</v>
      </c>
      <c r="W1040" s="221">
        <f t="shared" si="126"/>
        <v>781.21252853683848</v>
      </c>
      <c r="X1040" s="221">
        <v>0</v>
      </c>
      <c r="Y1040" s="222">
        <v>0</v>
      </c>
      <c r="Z1040" s="222">
        <v>0</v>
      </c>
      <c r="AA1040" s="222">
        <v>0</v>
      </c>
      <c r="AB1040" s="222">
        <v>0</v>
      </c>
      <c r="AC1040" s="222">
        <v>0</v>
      </c>
      <c r="AD1040" s="222">
        <v>0</v>
      </c>
      <c r="AE1040" s="222">
        <v>760.2</v>
      </c>
      <c r="AF1040" s="221">
        <f t="shared" si="127"/>
        <v>781.21252853683848</v>
      </c>
      <c r="AG1040" s="222">
        <v>0</v>
      </c>
      <c r="AH1040" s="221">
        <v>0</v>
      </c>
      <c r="AI1040" s="222">
        <v>0</v>
      </c>
      <c r="AJ1040" s="221">
        <v>0</v>
      </c>
      <c r="AK1040" s="222">
        <v>0</v>
      </c>
      <c r="AL1040" s="222">
        <v>0</v>
      </c>
      <c r="AM1040" s="222">
        <v>0</v>
      </c>
      <c r="AN1040" s="222"/>
      <c r="AO1040" s="222">
        <v>0</v>
      </c>
    </row>
    <row r="1041" spans="1:41" s="223" customFormat="1" ht="36" customHeight="1" x14ac:dyDescent="0.25">
      <c r="A1041" s="223">
        <v>1</v>
      </c>
      <c r="B1041" s="225">
        <f>SUBTOTAL(103,$A$1030:A1041)</f>
        <v>12</v>
      </c>
      <c r="C1041" s="215" t="s">
        <v>577</v>
      </c>
      <c r="D1041" s="217" t="s">
        <v>368</v>
      </c>
      <c r="E1041" s="217"/>
      <c r="F1041" s="226" t="s">
        <v>311</v>
      </c>
      <c r="G1041" s="217" t="s">
        <v>371</v>
      </c>
      <c r="H1041" s="217" t="s">
        <v>303</v>
      </c>
      <c r="I1041" s="218">
        <v>2963</v>
      </c>
      <c r="J1041" s="218">
        <v>2176.9</v>
      </c>
      <c r="K1041" s="218">
        <v>2084.1</v>
      </c>
      <c r="L1041" s="219">
        <v>138</v>
      </c>
      <c r="M1041" s="217" t="s">
        <v>265</v>
      </c>
      <c r="N1041" s="217" t="s">
        <v>269</v>
      </c>
      <c r="O1041" s="220" t="s">
        <v>1319</v>
      </c>
      <c r="P1041" s="190">
        <v>2859341.54</v>
      </c>
      <c r="Q1041" s="190">
        <v>0</v>
      </c>
      <c r="R1041" s="190">
        <v>0</v>
      </c>
      <c r="S1041" s="190">
        <f t="shared" si="125"/>
        <v>2859341.54</v>
      </c>
      <c r="T1041" s="190">
        <f t="shared" si="128"/>
        <v>965.0157070536618</v>
      </c>
      <c r="U1041" s="190">
        <v>978.47501754978066</v>
      </c>
      <c r="V1041" s="221">
        <f t="shared" si="124"/>
        <v>13.45931049611886</v>
      </c>
      <c r="W1041" s="221">
        <f t="shared" si="126"/>
        <v>2653.9055565305434</v>
      </c>
      <c r="X1041" s="221">
        <v>0</v>
      </c>
      <c r="Y1041" s="222">
        <v>0</v>
      </c>
      <c r="Z1041" s="222">
        <v>0</v>
      </c>
      <c r="AA1041" s="222">
        <v>0</v>
      </c>
      <c r="AB1041" s="222">
        <v>0</v>
      </c>
      <c r="AC1041" s="222">
        <v>0</v>
      </c>
      <c r="AD1041" s="222">
        <v>0</v>
      </c>
      <c r="AE1041" s="222">
        <v>1260.4000000000001</v>
      </c>
      <c r="AF1041" s="221">
        <f t="shared" si="127"/>
        <v>2653.9055565305434</v>
      </c>
      <c r="AG1041" s="222">
        <v>0</v>
      </c>
      <c r="AH1041" s="221">
        <v>0</v>
      </c>
      <c r="AI1041" s="222">
        <v>0</v>
      </c>
      <c r="AJ1041" s="221">
        <v>0</v>
      </c>
      <c r="AK1041" s="222">
        <v>0</v>
      </c>
      <c r="AL1041" s="222">
        <v>0</v>
      </c>
      <c r="AM1041" s="222">
        <v>0</v>
      </c>
      <c r="AN1041" s="222"/>
      <c r="AO1041" s="222">
        <v>0</v>
      </c>
    </row>
    <row r="1042" spans="1:41" s="223" customFormat="1" ht="36" customHeight="1" x14ac:dyDescent="0.25">
      <c r="A1042" s="223">
        <v>1</v>
      </c>
      <c r="B1042" s="225">
        <f>SUBTOTAL(103,$A$1030:A1042)</f>
        <v>13</v>
      </c>
      <c r="C1042" s="215" t="s">
        <v>578</v>
      </c>
      <c r="D1042" s="217" t="s">
        <v>313</v>
      </c>
      <c r="E1042" s="217"/>
      <c r="F1042" s="226" t="s">
        <v>311</v>
      </c>
      <c r="G1042" s="217" t="s">
        <v>371</v>
      </c>
      <c r="H1042" s="217" t="s">
        <v>303</v>
      </c>
      <c r="I1042" s="218">
        <v>2482.1</v>
      </c>
      <c r="J1042" s="218">
        <v>2181.1</v>
      </c>
      <c r="K1042" s="218">
        <v>1858.6</v>
      </c>
      <c r="L1042" s="219">
        <v>130</v>
      </c>
      <c r="M1042" s="217" t="s">
        <v>265</v>
      </c>
      <c r="N1042" s="217" t="s">
        <v>269</v>
      </c>
      <c r="O1042" s="220" t="s">
        <v>1380</v>
      </c>
      <c r="P1042" s="190">
        <v>2859341.54</v>
      </c>
      <c r="Q1042" s="190">
        <v>0</v>
      </c>
      <c r="R1042" s="190">
        <v>0</v>
      </c>
      <c r="S1042" s="190">
        <f t="shared" si="125"/>
        <v>2859341.54</v>
      </c>
      <c r="T1042" s="190">
        <f t="shared" si="128"/>
        <v>1151.9848273639257</v>
      </c>
      <c r="U1042" s="190">
        <v>1168.0015707666896</v>
      </c>
      <c r="V1042" s="221">
        <f t="shared" si="124"/>
        <v>16.01674340276395</v>
      </c>
      <c r="W1042" s="221">
        <f t="shared" si="126"/>
        <v>2893.1088231739254</v>
      </c>
      <c r="X1042" s="221">
        <v>0</v>
      </c>
      <c r="Y1042" s="222">
        <v>0</v>
      </c>
      <c r="Z1042" s="222">
        <v>0</v>
      </c>
      <c r="AA1042" s="222">
        <v>0</v>
      </c>
      <c r="AB1042" s="222">
        <v>0</v>
      </c>
      <c r="AC1042" s="222">
        <v>0</v>
      </c>
      <c r="AD1042" s="222">
        <v>0</v>
      </c>
      <c r="AE1042" s="222">
        <v>1151</v>
      </c>
      <c r="AF1042" s="221">
        <f t="shared" si="127"/>
        <v>2893.1088231739254</v>
      </c>
      <c r="AG1042" s="222">
        <v>0</v>
      </c>
      <c r="AH1042" s="221">
        <v>0</v>
      </c>
      <c r="AI1042" s="222">
        <v>0</v>
      </c>
      <c r="AJ1042" s="221">
        <v>0</v>
      </c>
      <c r="AK1042" s="222">
        <v>0</v>
      </c>
      <c r="AL1042" s="222">
        <v>0</v>
      </c>
      <c r="AM1042" s="222">
        <v>0</v>
      </c>
      <c r="AN1042" s="222"/>
      <c r="AO1042" s="222">
        <v>0</v>
      </c>
    </row>
    <row r="1043" spans="1:41" s="223" customFormat="1" ht="36" customHeight="1" x14ac:dyDescent="0.25">
      <c r="A1043" s="223">
        <v>1</v>
      </c>
      <c r="B1043" s="225">
        <f>SUBTOTAL(103,$A$1030:A1043)</f>
        <v>14</v>
      </c>
      <c r="C1043" s="215" t="s">
        <v>1629</v>
      </c>
      <c r="D1043" s="217">
        <v>1962</v>
      </c>
      <c r="E1043" s="217"/>
      <c r="F1043" s="226" t="s">
        <v>267</v>
      </c>
      <c r="G1043" s="217">
        <v>4</v>
      </c>
      <c r="H1043" s="217" t="s">
        <v>312</v>
      </c>
      <c r="I1043" s="218">
        <v>2743</v>
      </c>
      <c r="J1043" s="218">
        <v>2000.4</v>
      </c>
      <c r="K1043" s="218">
        <v>1836.7</v>
      </c>
      <c r="L1043" s="219">
        <v>91</v>
      </c>
      <c r="M1043" s="217" t="s">
        <v>265</v>
      </c>
      <c r="N1043" s="217" t="s">
        <v>269</v>
      </c>
      <c r="O1043" s="220" t="s">
        <v>1086</v>
      </c>
      <c r="P1043" s="190">
        <v>4261500</v>
      </c>
      <c r="Q1043" s="190">
        <v>0</v>
      </c>
      <c r="R1043" s="190">
        <v>0</v>
      </c>
      <c r="S1043" s="190">
        <f t="shared" si="125"/>
        <v>4261500</v>
      </c>
      <c r="T1043" s="190">
        <f t="shared" si="128"/>
        <v>1553.5909588042289</v>
      </c>
      <c r="U1043" s="190">
        <v>1964.4096244987238</v>
      </c>
      <c r="V1043" s="221">
        <f t="shared" si="124"/>
        <v>410.81866569449494</v>
      </c>
      <c r="W1043" s="221">
        <f t="shared" si="126"/>
        <v>1056.9527805322639</v>
      </c>
      <c r="X1043" s="221">
        <v>0</v>
      </c>
      <c r="Y1043" s="222">
        <v>0</v>
      </c>
      <c r="Z1043" s="222">
        <v>0</v>
      </c>
      <c r="AA1043" s="222">
        <v>0</v>
      </c>
      <c r="AB1043" s="222">
        <v>0</v>
      </c>
      <c r="AC1043" s="222">
        <v>0</v>
      </c>
      <c r="AD1043" s="222">
        <v>0</v>
      </c>
      <c r="AE1043" s="222">
        <v>464.7</v>
      </c>
      <c r="AF1043" s="221">
        <f t="shared" si="127"/>
        <v>1056.9527805322639</v>
      </c>
      <c r="AG1043" s="222">
        <v>0</v>
      </c>
      <c r="AH1043" s="221">
        <v>0</v>
      </c>
      <c r="AI1043" s="222">
        <v>0</v>
      </c>
      <c r="AJ1043" s="221">
        <v>0</v>
      </c>
      <c r="AK1043" s="222">
        <v>0</v>
      </c>
      <c r="AL1043" s="222">
        <v>0</v>
      </c>
      <c r="AM1043" s="222">
        <v>0</v>
      </c>
      <c r="AN1043" s="222"/>
      <c r="AO1043" s="222">
        <v>0</v>
      </c>
    </row>
    <row r="1044" spans="1:41" s="223" customFormat="1" ht="36" customHeight="1" x14ac:dyDescent="0.25">
      <c r="A1044" s="223">
        <v>1</v>
      </c>
      <c r="B1044" s="225">
        <f>SUBTOTAL(103,$A$1030:A1044)</f>
        <v>15</v>
      </c>
      <c r="C1044" s="215" t="s">
        <v>580</v>
      </c>
      <c r="D1044" s="217" t="s">
        <v>372</v>
      </c>
      <c r="E1044" s="217"/>
      <c r="F1044" s="226" t="s">
        <v>267</v>
      </c>
      <c r="G1044" s="217" t="s">
        <v>312</v>
      </c>
      <c r="H1044" s="217" t="s">
        <v>304</v>
      </c>
      <c r="I1044" s="218">
        <v>1637</v>
      </c>
      <c r="J1044" s="218">
        <v>1066.9000000000001</v>
      </c>
      <c r="K1044" s="218">
        <v>768.5</v>
      </c>
      <c r="L1044" s="219">
        <v>61</v>
      </c>
      <c r="M1044" s="217" t="s">
        <v>265</v>
      </c>
      <c r="N1044" s="217" t="s">
        <v>269</v>
      </c>
      <c r="O1044" s="220" t="s">
        <v>1380</v>
      </c>
      <c r="P1044" s="190">
        <v>3614995.2</v>
      </c>
      <c r="Q1044" s="190">
        <v>0</v>
      </c>
      <c r="R1044" s="190">
        <v>0</v>
      </c>
      <c r="S1044" s="190">
        <f t="shared" si="125"/>
        <v>3614995.2</v>
      </c>
      <c r="T1044" s="190">
        <f t="shared" si="128"/>
        <v>2208.3049480757486</v>
      </c>
      <c r="U1044" s="190">
        <v>3080.9208918753816</v>
      </c>
      <c r="V1044" s="221">
        <f t="shared" si="124"/>
        <v>872.61594379963299</v>
      </c>
      <c r="W1044" s="221">
        <f t="shared" si="126"/>
        <v>1770.9814897984118</v>
      </c>
      <c r="X1044" s="221">
        <v>0</v>
      </c>
      <c r="Y1044" s="222">
        <v>0</v>
      </c>
      <c r="Z1044" s="222">
        <v>0</v>
      </c>
      <c r="AA1044" s="222">
        <v>0</v>
      </c>
      <c r="AB1044" s="222">
        <v>0</v>
      </c>
      <c r="AC1044" s="222">
        <v>0</v>
      </c>
      <c r="AD1044" s="222">
        <v>0</v>
      </c>
      <c r="AE1044" s="222">
        <v>464.68</v>
      </c>
      <c r="AF1044" s="221">
        <f t="shared" si="127"/>
        <v>1770.9814897984118</v>
      </c>
      <c r="AG1044" s="222">
        <v>0</v>
      </c>
      <c r="AH1044" s="221">
        <v>0</v>
      </c>
      <c r="AI1044" s="222">
        <v>0</v>
      </c>
      <c r="AJ1044" s="221">
        <v>0</v>
      </c>
      <c r="AK1044" s="222">
        <v>0</v>
      </c>
      <c r="AL1044" s="222">
        <v>0</v>
      </c>
      <c r="AM1044" s="222">
        <v>0</v>
      </c>
      <c r="AN1044" s="222"/>
      <c r="AO1044" s="222">
        <v>0</v>
      </c>
    </row>
    <row r="1045" spans="1:41" s="223" customFormat="1" ht="36" customHeight="1" x14ac:dyDescent="0.25">
      <c r="A1045" s="223">
        <v>1</v>
      </c>
      <c r="B1045" s="225">
        <f>SUBTOTAL(103,$A$1030:A1045)</f>
        <v>16</v>
      </c>
      <c r="C1045" s="215" t="s">
        <v>582</v>
      </c>
      <c r="D1045" s="217" t="s">
        <v>310</v>
      </c>
      <c r="E1045" s="217"/>
      <c r="F1045" s="226" t="s">
        <v>267</v>
      </c>
      <c r="G1045" s="217" t="s">
        <v>351</v>
      </c>
      <c r="H1045" s="217" t="s">
        <v>304</v>
      </c>
      <c r="I1045" s="218">
        <v>867.9</v>
      </c>
      <c r="J1045" s="218">
        <v>809.2</v>
      </c>
      <c r="K1045" s="218">
        <v>766.2</v>
      </c>
      <c r="L1045" s="219">
        <v>39</v>
      </c>
      <c r="M1045" s="217" t="s">
        <v>265</v>
      </c>
      <c r="N1045" s="217" t="s">
        <v>269</v>
      </c>
      <c r="O1045" s="220" t="s">
        <v>1394</v>
      </c>
      <c r="P1045" s="190">
        <v>1074208.6600000001</v>
      </c>
      <c r="Q1045" s="190">
        <v>0</v>
      </c>
      <c r="R1045" s="190">
        <v>0</v>
      </c>
      <c r="S1045" s="190">
        <f t="shared" si="125"/>
        <v>1074208.6600000001</v>
      </c>
      <c r="T1045" s="190">
        <f t="shared" si="128"/>
        <v>1237.710173983178</v>
      </c>
      <c r="U1045" s="190">
        <v>1694.5963820716672</v>
      </c>
      <c r="V1045" s="221">
        <f t="shared" si="124"/>
        <v>456.88620808848918</v>
      </c>
      <c r="W1045" s="221">
        <f t="shared" si="126"/>
        <v>5952.0883511925331</v>
      </c>
      <c r="X1045" s="221">
        <v>0</v>
      </c>
      <c r="Y1045" s="222">
        <v>0</v>
      </c>
      <c r="Z1045" s="222">
        <v>0</v>
      </c>
      <c r="AA1045" s="222">
        <v>0</v>
      </c>
      <c r="AB1045" s="222">
        <v>0</v>
      </c>
      <c r="AC1045" s="222">
        <v>0</v>
      </c>
      <c r="AD1045" s="222">
        <v>0</v>
      </c>
      <c r="AE1045" s="222">
        <v>828</v>
      </c>
      <c r="AF1045" s="221">
        <f t="shared" si="127"/>
        <v>5952.0883511925331</v>
      </c>
      <c r="AG1045" s="222">
        <v>0</v>
      </c>
      <c r="AH1045" s="221">
        <v>0</v>
      </c>
      <c r="AI1045" s="222">
        <v>0</v>
      </c>
      <c r="AJ1045" s="221">
        <v>0</v>
      </c>
      <c r="AK1045" s="222">
        <v>0</v>
      </c>
      <c r="AL1045" s="222">
        <v>0</v>
      </c>
      <c r="AM1045" s="222">
        <v>0</v>
      </c>
      <c r="AN1045" s="222"/>
      <c r="AO1045" s="222">
        <v>0</v>
      </c>
    </row>
    <row r="1046" spans="1:41" s="223" customFormat="1" ht="36" customHeight="1" x14ac:dyDescent="0.25">
      <c r="A1046" s="223">
        <v>1</v>
      </c>
      <c r="B1046" s="225">
        <f>SUBTOTAL(103,$A$1030:A1046)</f>
        <v>17</v>
      </c>
      <c r="C1046" s="215" t="s">
        <v>583</v>
      </c>
      <c r="D1046" s="217" t="s">
        <v>373</v>
      </c>
      <c r="E1046" s="217"/>
      <c r="F1046" s="226" t="s">
        <v>311</v>
      </c>
      <c r="G1046" s="217" t="s">
        <v>351</v>
      </c>
      <c r="H1046" s="217" t="s">
        <v>312</v>
      </c>
      <c r="I1046" s="218">
        <v>2653.8</v>
      </c>
      <c r="J1046" s="218">
        <v>2355.5</v>
      </c>
      <c r="K1046" s="218">
        <v>2354.1</v>
      </c>
      <c r="L1046" s="219">
        <v>102</v>
      </c>
      <c r="M1046" s="217" t="s">
        <v>265</v>
      </c>
      <c r="N1046" s="217" t="s">
        <v>269</v>
      </c>
      <c r="O1046" s="220" t="s">
        <v>1071</v>
      </c>
      <c r="P1046" s="190">
        <v>2983983.08</v>
      </c>
      <c r="Q1046" s="190">
        <v>0</v>
      </c>
      <c r="R1046" s="190">
        <v>0</v>
      </c>
      <c r="S1046" s="190">
        <f t="shared" si="125"/>
        <v>2983983.08</v>
      </c>
      <c r="T1046" s="190">
        <f t="shared" si="128"/>
        <v>1124.4189765619112</v>
      </c>
      <c r="U1046" s="190">
        <v>1549.8026980179363</v>
      </c>
      <c r="V1046" s="221">
        <f t="shared" si="124"/>
        <v>425.38372145602511</v>
      </c>
      <c r="W1046" s="221">
        <f t="shared" si="126"/>
        <v>1821.9742444796141</v>
      </c>
      <c r="X1046" s="221">
        <v>0</v>
      </c>
      <c r="Y1046" s="222">
        <v>0</v>
      </c>
      <c r="Z1046" s="222">
        <v>0</v>
      </c>
      <c r="AA1046" s="222">
        <v>0</v>
      </c>
      <c r="AB1046" s="222">
        <v>0</v>
      </c>
      <c r="AC1046" s="222">
        <v>0</v>
      </c>
      <c r="AD1046" s="222">
        <v>0</v>
      </c>
      <c r="AE1046" s="222">
        <v>775</v>
      </c>
      <c r="AF1046" s="221">
        <f t="shared" si="127"/>
        <v>1821.9742444796141</v>
      </c>
      <c r="AG1046" s="222">
        <v>0</v>
      </c>
      <c r="AH1046" s="221">
        <v>0</v>
      </c>
      <c r="AI1046" s="222">
        <v>0</v>
      </c>
      <c r="AJ1046" s="221">
        <v>0</v>
      </c>
      <c r="AK1046" s="222">
        <v>0</v>
      </c>
      <c r="AL1046" s="222">
        <v>0</v>
      </c>
      <c r="AM1046" s="222">
        <v>0</v>
      </c>
      <c r="AN1046" s="222"/>
      <c r="AO1046" s="222">
        <v>0</v>
      </c>
    </row>
    <row r="1047" spans="1:41" s="223" customFormat="1" ht="36" customHeight="1" x14ac:dyDescent="0.25">
      <c r="A1047" s="223">
        <v>1</v>
      </c>
      <c r="B1047" s="225">
        <f>SUBTOTAL(103,$A$1030:A1047)</f>
        <v>18</v>
      </c>
      <c r="C1047" s="215" t="s">
        <v>584</v>
      </c>
      <c r="D1047" s="228" t="s">
        <v>373</v>
      </c>
      <c r="E1047" s="217"/>
      <c r="F1047" s="226" t="s">
        <v>311</v>
      </c>
      <c r="G1047" s="217" t="s">
        <v>351</v>
      </c>
      <c r="H1047" s="217" t="s">
        <v>312</v>
      </c>
      <c r="I1047" s="218">
        <v>2632.8</v>
      </c>
      <c r="J1047" s="218">
        <v>2335.8000000000002</v>
      </c>
      <c r="K1047" s="218">
        <v>2335.8000000000002</v>
      </c>
      <c r="L1047" s="219">
        <v>107</v>
      </c>
      <c r="M1047" s="217" t="s">
        <v>265</v>
      </c>
      <c r="N1047" s="217" t="s">
        <v>269</v>
      </c>
      <c r="O1047" s="220" t="s">
        <v>1071</v>
      </c>
      <c r="P1047" s="190">
        <v>2983983.08</v>
      </c>
      <c r="Q1047" s="190">
        <v>0</v>
      </c>
      <c r="R1047" s="190">
        <v>0</v>
      </c>
      <c r="S1047" s="190">
        <f t="shared" si="125"/>
        <v>2983983.08</v>
      </c>
      <c r="T1047" s="190">
        <f t="shared" si="128"/>
        <v>1133.3876785171681</v>
      </c>
      <c r="U1047" s="190">
        <v>1562.1643877240958</v>
      </c>
      <c r="V1047" s="221">
        <f t="shared" si="124"/>
        <v>428.77670920692776</v>
      </c>
      <c r="W1047" s="221">
        <f t="shared" si="126"/>
        <v>1319.9152499240352</v>
      </c>
      <c r="X1047" s="221">
        <v>0</v>
      </c>
      <c r="Y1047" s="222">
        <v>0</v>
      </c>
      <c r="Z1047" s="222">
        <v>0</v>
      </c>
      <c r="AA1047" s="222">
        <v>0</v>
      </c>
      <c r="AB1047" s="222">
        <v>0</v>
      </c>
      <c r="AC1047" s="222">
        <v>0</v>
      </c>
      <c r="AD1047" s="222">
        <v>0</v>
      </c>
      <c r="AE1047" s="222">
        <v>557</v>
      </c>
      <c r="AF1047" s="221">
        <f t="shared" si="127"/>
        <v>1319.9152499240352</v>
      </c>
      <c r="AG1047" s="222">
        <v>0</v>
      </c>
      <c r="AH1047" s="221">
        <v>0</v>
      </c>
      <c r="AI1047" s="222">
        <v>0</v>
      </c>
      <c r="AJ1047" s="221">
        <v>0</v>
      </c>
      <c r="AK1047" s="222">
        <v>0</v>
      </c>
      <c r="AL1047" s="222">
        <v>0</v>
      </c>
      <c r="AM1047" s="222">
        <v>0</v>
      </c>
      <c r="AN1047" s="222"/>
      <c r="AO1047" s="222">
        <v>0</v>
      </c>
    </row>
    <row r="1048" spans="1:41" s="223" customFormat="1" ht="36" customHeight="1" x14ac:dyDescent="0.25">
      <c r="A1048" s="223">
        <v>1</v>
      </c>
      <c r="B1048" s="225">
        <f>SUBTOTAL(103,$A$1030:A1048)</f>
        <v>19</v>
      </c>
      <c r="C1048" s="215" t="s">
        <v>585</v>
      </c>
      <c r="D1048" s="228" t="s">
        <v>310</v>
      </c>
      <c r="E1048" s="217"/>
      <c r="F1048" s="226" t="s">
        <v>267</v>
      </c>
      <c r="G1048" s="217" t="s">
        <v>357</v>
      </c>
      <c r="H1048" s="217" t="s">
        <v>304</v>
      </c>
      <c r="I1048" s="218">
        <v>3626.2</v>
      </c>
      <c r="J1048" s="218">
        <v>3177.9</v>
      </c>
      <c r="K1048" s="218">
        <v>3152.1</v>
      </c>
      <c r="L1048" s="219">
        <v>152</v>
      </c>
      <c r="M1048" s="217" t="s">
        <v>265</v>
      </c>
      <c r="N1048" s="217" t="s">
        <v>269</v>
      </c>
      <c r="O1048" s="220" t="s">
        <v>1071</v>
      </c>
      <c r="P1048" s="190">
        <v>3402263</v>
      </c>
      <c r="Q1048" s="190">
        <v>0</v>
      </c>
      <c r="R1048" s="190">
        <v>0</v>
      </c>
      <c r="S1048" s="190">
        <f t="shared" si="125"/>
        <v>3402263</v>
      </c>
      <c r="T1048" s="190">
        <f t="shared" si="128"/>
        <v>938.24471898957586</v>
      </c>
      <c r="U1048" s="190">
        <v>1238.7665324582208</v>
      </c>
      <c r="V1048" s="221">
        <f t="shared" si="124"/>
        <v>300.52181346864495</v>
      </c>
      <c r="W1048" s="221">
        <f t="shared" si="126"/>
        <v>388.83505046605262</v>
      </c>
      <c r="X1048" s="221">
        <v>0</v>
      </c>
      <c r="Y1048" s="222">
        <v>0</v>
      </c>
      <c r="Z1048" s="222">
        <v>0</v>
      </c>
      <c r="AA1048" s="222">
        <v>0</v>
      </c>
      <c r="AB1048" s="222">
        <v>0</v>
      </c>
      <c r="AC1048" s="222">
        <v>0</v>
      </c>
      <c r="AD1048" s="222">
        <v>0</v>
      </c>
      <c r="AE1048" s="222">
        <v>226</v>
      </c>
      <c r="AF1048" s="221">
        <f t="shared" si="127"/>
        <v>388.83505046605262</v>
      </c>
      <c r="AG1048" s="222">
        <v>0</v>
      </c>
      <c r="AH1048" s="221">
        <v>0</v>
      </c>
      <c r="AI1048" s="222">
        <v>0</v>
      </c>
      <c r="AJ1048" s="221">
        <v>0</v>
      </c>
      <c r="AK1048" s="222">
        <v>0</v>
      </c>
      <c r="AL1048" s="222">
        <v>0</v>
      </c>
      <c r="AM1048" s="222">
        <v>0</v>
      </c>
      <c r="AN1048" s="222"/>
      <c r="AO1048" s="222">
        <v>0</v>
      </c>
    </row>
    <row r="1049" spans="1:41" s="223" customFormat="1" ht="36" customHeight="1" x14ac:dyDescent="0.25">
      <c r="A1049" s="223">
        <v>1</v>
      </c>
      <c r="B1049" s="225">
        <f>SUBTOTAL(103,$A$1030:A1049)</f>
        <v>20</v>
      </c>
      <c r="C1049" s="215" t="s">
        <v>586</v>
      </c>
      <c r="D1049" s="217" t="s">
        <v>374</v>
      </c>
      <c r="E1049" s="217"/>
      <c r="F1049" s="226" t="s">
        <v>311</v>
      </c>
      <c r="G1049" s="217" t="s">
        <v>351</v>
      </c>
      <c r="H1049" s="217" t="s">
        <v>308</v>
      </c>
      <c r="I1049" s="218">
        <v>3861</v>
      </c>
      <c r="J1049" s="218">
        <v>3552.1</v>
      </c>
      <c r="K1049" s="218">
        <v>3552.1</v>
      </c>
      <c r="L1049" s="219">
        <v>165</v>
      </c>
      <c r="M1049" s="217" t="s">
        <v>265</v>
      </c>
      <c r="N1049" s="217" t="s">
        <v>269</v>
      </c>
      <c r="O1049" s="220" t="s">
        <v>1071</v>
      </c>
      <c r="P1049" s="190">
        <v>4423303.57</v>
      </c>
      <c r="Q1049" s="190">
        <v>0</v>
      </c>
      <c r="R1049" s="190">
        <v>0</v>
      </c>
      <c r="S1049" s="190">
        <f t="shared" si="125"/>
        <v>4423303.57</v>
      </c>
      <c r="T1049" s="190">
        <f t="shared" si="128"/>
        <v>1145.6367702667703</v>
      </c>
      <c r="U1049" s="190">
        <v>1636.6166019166019</v>
      </c>
      <c r="V1049" s="221">
        <f t="shared" si="124"/>
        <v>490.97983164983157</v>
      </c>
      <c r="W1049" s="221">
        <f t="shared" si="126"/>
        <v>1021.2357213157213</v>
      </c>
      <c r="X1049" s="221">
        <v>0</v>
      </c>
      <c r="Y1049" s="222">
        <v>0</v>
      </c>
      <c r="Z1049" s="222">
        <v>0</v>
      </c>
      <c r="AA1049" s="222">
        <v>0</v>
      </c>
      <c r="AB1049" s="222">
        <v>0</v>
      </c>
      <c r="AC1049" s="222">
        <v>0</v>
      </c>
      <c r="AD1049" s="222">
        <v>0</v>
      </c>
      <c r="AE1049" s="222">
        <v>632</v>
      </c>
      <c r="AF1049" s="221">
        <f t="shared" si="127"/>
        <v>1021.2357213157213</v>
      </c>
      <c r="AG1049" s="222">
        <v>0</v>
      </c>
      <c r="AH1049" s="221">
        <v>0</v>
      </c>
      <c r="AI1049" s="222">
        <v>0</v>
      </c>
      <c r="AJ1049" s="221">
        <v>0</v>
      </c>
      <c r="AK1049" s="222">
        <v>0</v>
      </c>
      <c r="AL1049" s="222">
        <v>0</v>
      </c>
      <c r="AM1049" s="222">
        <v>0</v>
      </c>
      <c r="AN1049" s="222"/>
      <c r="AO1049" s="222">
        <v>0</v>
      </c>
    </row>
    <row r="1050" spans="1:41" s="223" customFormat="1" ht="36" customHeight="1" x14ac:dyDescent="0.25">
      <c r="A1050" s="223">
        <v>1</v>
      </c>
      <c r="B1050" s="225">
        <f>SUBTOTAL(103,$A$1030:A1050)</f>
        <v>21</v>
      </c>
      <c r="C1050" s="215" t="s">
        <v>588</v>
      </c>
      <c r="D1050" s="217">
        <v>1962</v>
      </c>
      <c r="E1050" s="217"/>
      <c r="F1050" s="226" t="s">
        <v>267</v>
      </c>
      <c r="G1050" s="217">
        <v>5</v>
      </c>
      <c r="H1050" s="217" t="s">
        <v>308</v>
      </c>
      <c r="I1050" s="218">
        <v>4073.9</v>
      </c>
      <c r="J1050" s="218">
        <v>3163.1</v>
      </c>
      <c r="K1050" s="218">
        <v>2004.3</v>
      </c>
      <c r="L1050" s="219">
        <v>146</v>
      </c>
      <c r="M1050" s="217" t="s">
        <v>265</v>
      </c>
      <c r="N1050" s="217" t="s">
        <v>269</v>
      </c>
      <c r="O1050" s="220" t="s">
        <v>1086</v>
      </c>
      <c r="P1050" s="190">
        <v>3999114.33</v>
      </c>
      <c r="Q1050" s="190">
        <v>0</v>
      </c>
      <c r="R1050" s="190">
        <v>0</v>
      </c>
      <c r="S1050" s="190">
        <f t="shared" si="125"/>
        <v>3999114.33</v>
      </c>
      <c r="T1050" s="190">
        <f t="shared" si="128"/>
        <v>981.64273300768309</v>
      </c>
      <c r="U1050" s="190">
        <v>1348.2164019735387</v>
      </c>
      <c r="V1050" s="221">
        <f t="shared" si="124"/>
        <v>366.57366896585563</v>
      </c>
      <c r="W1050" s="221">
        <f t="shared" si="126"/>
        <v>1102.6326615773582</v>
      </c>
      <c r="X1050" s="221">
        <v>0</v>
      </c>
      <c r="Y1050" s="222">
        <v>0</v>
      </c>
      <c r="Z1050" s="222">
        <v>0</v>
      </c>
      <c r="AA1050" s="222">
        <v>0</v>
      </c>
      <c r="AB1050" s="222">
        <v>0</v>
      </c>
      <c r="AC1050" s="222">
        <v>0</v>
      </c>
      <c r="AD1050" s="222">
        <v>0</v>
      </c>
      <c r="AE1050" s="222">
        <v>720</v>
      </c>
      <c r="AF1050" s="221">
        <f t="shared" si="127"/>
        <v>1102.6326615773582</v>
      </c>
      <c r="AG1050" s="222">
        <v>0</v>
      </c>
      <c r="AH1050" s="221">
        <v>0</v>
      </c>
      <c r="AI1050" s="222">
        <v>0</v>
      </c>
      <c r="AJ1050" s="221">
        <v>0</v>
      </c>
      <c r="AK1050" s="222">
        <v>0</v>
      </c>
      <c r="AL1050" s="222">
        <v>0</v>
      </c>
      <c r="AM1050" s="222">
        <v>0</v>
      </c>
      <c r="AN1050" s="222"/>
      <c r="AO1050" s="222">
        <v>0</v>
      </c>
    </row>
    <row r="1051" spans="1:41" s="223" customFormat="1" ht="36" customHeight="1" x14ac:dyDescent="0.25">
      <c r="A1051" s="223">
        <v>1</v>
      </c>
      <c r="B1051" s="225">
        <f>SUBTOTAL(103,$A$1030:A1051)</f>
        <v>22</v>
      </c>
      <c r="C1051" s="215" t="s">
        <v>1630</v>
      </c>
      <c r="D1051" s="217">
        <v>1962</v>
      </c>
      <c r="E1051" s="217"/>
      <c r="F1051" s="226" t="s">
        <v>267</v>
      </c>
      <c r="G1051" s="217">
        <v>4</v>
      </c>
      <c r="H1051" s="217" t="s">
        <v>312</v>
      </c>
      <c r="I1051" s="218">
        <v>2843.6</v>
      </c>
      <c r="J1051" s="218">
        <v>2001.7</v>
      </c>
      <c r="K1051" s="218">
        <v>1691.5</v>
      </c>
      <c r="L1051" s="219">
        <v>91</v>
      </c>
      <c r="M1051" s="217" t="s">
        <v>265</v>
      </c>
      <c r="N1051" s="217" t="s">
        <v>269</v>
      </c>
      <c r="O1051" s="220" t="s">
        <v>1086</v>
      </c>
      <c r="P1051" s="190">
        <v>4474650</v>
      </c>
      <c r="Q1051" s="190">
        <v>0</v>
      </c>
      <c r="R1051" s="190">
        <v>0</v>
      </c>
      <c r="S1051" s="190">
        <f t="shared" si="125"/>
        <v>4474650</v>
      </c>
      <c r="T1051" s="190">
        <f t="shared" si="128"/>
        <v>1573.5862990575326</v>
      </c>
      <c r="U1051" s="190">
        <v>2197.0009846673233</v>
      </c>
      <c r="V1051" s="221">
        <f t="shared" si="124"/>
        <v>623.41468560979069</v>
      </c>
      <c r="W1051" s="221">
        <f t="shared" si="126"/>
        <v>2130.3916197777462</v>
      </c>
      <c r="X1051" s="221">
        <v>0</v>
      </c>
      <c r="Y1051" s="222">
        <v>0</v>
      </c>
      <c r="Z1051" s="222">
        <v>0</v>
      </c>
      <c r="AA1051" s="222">
        <v>0</v>
      </c>
      <c r="AB1051" s="222">
        <v>0</v>
      </c>
      <c r="AC1051" s="222">
        <v>0</v>
      </c>
      <c r="AD1051" s="222">
        <v>0</v>
      </c>
      <c r="AE1051" s="222">
        <v>971</v>
      </c>
      <c r="AF1051" s="221">
        <f t="shared" si="127"/>
        <v>2130.3916197777462</v>
      </c>
      <c r="AG1051" s="222">
        <v>0</v>
      </c>
      <c r="AH1051" s="221">
        <v>0</v>
      </c>
      <c r="AI1051" s="222">
        <v>0</v>
      </c>
      <c r="AJ1051" s="221">
        <v>0</v>
      </c>
      <c r="AK1051" s="222">
        <v>0</v>
      </c>
      <c r="AL1051" s="222">
        <v>0</v>
      </c>
      <c r="AM1051" s="222">
        <v>0</v>
      </c>
      <c r="AN1051" s="222"/>
      <c r="AO1051" s="222">
        <v>0</v>
      </c>
    </row>
    <row r="1052" spans="1:41" s="223" customFormat="1" ht="36" customHeight="1" x14ac:dyDescent="0.25">
      <c r="A1052" s="223">
        <v>1</v>
      </c>
      <c r="B1052" s="225">
        <f>SUBTOTAL(103,$A$1030:A1052)</f>
        <v>23</v>
      </c>
      <c r="C1052" s="215" t="s">
        <v>1631</v>
      </c>
      <c r="D1052" s="217">
        <v>1961</v>
      </c>
      <c r="E1052" s="217"/>
      <c r="F1052" s="226" t="s">
        <v>267</v>
      </c>
      <c r="G1052" s="217">
        <v>5</v>
      </c>
      <c r="H1052" s="217" t="s">
        <v>308</v>
      </c>
      <c r="I1052" s="218">
        <v>3742.2</v>
      </c>
      <c r="J1052" s="218">
        <v>2832.1</v>
      </c>
      <c r="K1052" s="218">
        <v>2416.1999999999998</v>
      </c>
      <c r="L1052" s="219">
        <v>135</v>
      </c>
      <c r="M1052" s="217" t="s">
        <v>265</v>
      </c>
      <c r="N1052" s="217" t="s">
        <v>269</v>
      </c>
      <c r="O1052" s="220" t="s">
        <v>1086</v>
      </c>
      <c r="P1052" s="190">
        <v>5713232.8199999994</v>
      </c>
      <c r="Q1052" s="190">
        <v>0</v>
      </c>
      <c r="R1052" s="190">
        <v>0</v>
      </c>
      <c r="S1052" s="190">
        <f t="shared" si="125"/>
        <v>5713232.8199999994</v>
      </c>
      <c r="T1052" s="190">
        <f t="shared" si="128"/>
        <v>1526.7042969376303</v>
      </c>
      <c r="U1052" s="190">
        <v>1869.4290791513015</v>
      </c>
      <c r="V1052" s="221">
        <f t="shared" si="124"/>
        <v>342.72478221367123</v>
      </c>
      <c r="W1052" s="221">
        <f t="shared" si="126"/>
        <v>656.77943455721231</v>
      </c>
      <c r="X1052" s="221">
        <v>0</v>
      </c>
      <c r="Y1052" s="222">
        <v>0</v>
      </c>
      <c r="Z1052" s="222">
        <v>0</v>
      </c>
      <c r="AA1052" s="222">
        <v>0</v>
      </c>
      <c r="AB1052" s="222">
        <v>0</v>
      </c>
      <c r="AC1052" s="222">
        <v>1</v>
      </c>
      <c r="AD1052" s="221">
        <f>2457800*AC1052/I1052</f>
        <v>656.77943455721231</v>
      </c>
      <c r="AE1052" s="222">
        <v>0</v>
      </c>
      <c r="AF1052" s="221">
        <v>0</v>
      </c>
      <c r="AG1052" s="222">
        <v>0</v>
      </c>
      <c r="AH1052" s="221">
        <v>0</v>
      </c>
      <c r="AI1052" s="222">
        <v>0</v>
      </c>
      <c r="AJ1052" s="221">
        <v>0</v>
      </c>
      <c r="AK1052" s="222">
        <v>0</v>
      </c>
      <c r="AL1052" s="222">
        <v>0</v>
      </c>
      <c r="AM1052" s="222">
        <v>0</v>
      </c>
      <c r="AN1052" s="222"/>
      <c r="AO1052" s="222">
        <v>0</v>
      </c>
    </row>
    <row r="1053" spans="1:41" s="223" customFormat="1" ht="36" customHeight="1" x14ac:dyDescent="0.25">
      <c r="A1053" s="223">
        <v>1</v>
      </c>
      <c r="B1053" s="225">
        <f>SUBTOTAL(103,$A$1030:A1053)</f>
        <v>24</v>
      </c>
      <c r="C1053" s="215" t="s">
        <v>589</v>
      </c>
      <c r="D1053" s="217" t="s">
        <v>360</v>
      </c>
      <c r="E1053" s="217"/>
      <c r="F1053" s="226" t="s">
        <v>311</v>
      </c>
      <c r="G1053" s="217" t="s">
        <v>351</v>
      </c>
      <c r="H1053" s="217" t="s">
        <v>308</v>
      </c>
      <c r="I1053" s="218">
        <v>4425.6000000000004</v>
      </c>
      <c r="J1053" s="218">
        <v>3128.2</v>
      </c>
      <c r="K1053" s="218">
        <v>1799.3</v>
      </c>
      <c r="L1053" s="219">
        <v>135</v>
      </c>
      <c r="M1053" s="217" t="s">
        <v>265</v>
      </c>
      <c r="N1053" s="217" t="s">
        <v>269</v>
      </c>
      <c r="O1053" s="220" t="s">
        <v>1086</v>
      </c>
      <c r="P1053" s="190">
        <v>3934609.35</v>
      </c>
      <c r="Q1053" s="190">
        <v>0</v>
      </c>
      <c r="R1053" s="190">
        <v>0</v>
      </c>
      <c r="S1053" s="190">
        <f t="shared" si="125"/>
        <v>3934609.35</v>
      </c>
      <c r="T1053" s="190">
        <f t="shared" si="128"/>
        <v>889.05670417570491</v>
      </c>
      <c r="U1053" s="190">
        <v>1223.4287780187994</v>
      </c>
      <c r="V1053" s="221">
        <f t="shared" si="124"/>
        <v>334.37207384309454</v>
      </c>
      <c r="W1053" s="221">
        <f t="shared" si="126"/>
        <v>1189.813819595083</v>
      </c>
      <c r="X1053" s="221">
        <v>0</v>
      </c>
      <c r="Y1053" s="222">
        <v>0</v>
      </c>
      <c r="Z1053" s="222">
        <v>0</v>
      </c>
      <c r="AA1053" s="222">
        <v>0</v>
      </c>
      <c r="AB1053" s="222">
        <v>0</v>
      </c>
      <c r="AC1053" s="222">
        <v>0</v>
      </c>
      <c r="AD1053" s="222">
        <v>0</v>
      </c>
      <c r="AE1053" s="222">
        <v>844</v>
      </c>
      <c r="AF1053" s="221">
        <f t="shared" ref="AF1053:AF1058" si="129">6238.91*AE1053/I1053</f>
        <v>1189.813819595083</v>
      </c>
      <c r="AG1053" s="222">
        <v>0</v>
      </c>
      <c r="AH1053" s="221">
        <v>0</v>
      </c>
      <c r="AI1053" s="222">
        <v>0</v>
      </c>
      <c r="AJ1053" s="221">
        <v>0</v>
      </c>
      <c r="AK1053" s="222">
        <v>0</v>
      </c>
      <c r="AL1053" s="222">
        <v>0</v>
      </c>
      <c r="AM1053" s="222">
        <v>0</v>
      </c>
      <c r="AN1053" s="222"/>
      <c r="AO1053" s="222">
        <v>0</v>
      </c>
    </row>
    <row r="1054" spans="1:41" s="223" customFormat="1" ht="36" customHeight="1" x14ac:dyDescent="0.25">
      <c r="A1054" s="223">
        <v>1</v>
      </c>
      <c r="B1054" s="225">
        <f>SUBTOTAL(103,$A$1030:A1054)</f>
        <v>25</v>
      </c>
      <c r="C1054" s="215" t="s">
        <v>591</v>
      </c>
      <c r="D1054" s="217">
        <v>1960</v>
      </c>
      <c r="E1054" s="217"/>
      <c r="F1054" s="226" t="s">
        <v>267</v>
      </c>
      <c r="G1054" s="217">
        <v>5</v>
      </c>
      <c r="H1054" s="217" t="s">
        <v>312</v>
      </c>
      <c r="I1054" s="218">
        <v>5055.5</v>
      </c>
      <c r="J1054" s="218">
        <v>4135.1000000000004</v>
      </c>
      <c r="K1054" s="218">
        <v>2288.9</v>
      </c>
      <c r="L1054" s="219">
        <v>135</v>
      </c>
      <c r="M1054" s="217" t="s">
        <v>265</v>
      </c>
      <c r="N1054" s="217" t="s">
        <v>269</v>
      </c>
      <c r="O1054" s="220" t="s">
        <v>1086</v>
      </c>
      <c r="P1054" s="190">
        <v>6697616.7399999993</v>
      </c>
      <c r="Q1054" s="190">
        <v>0</v>
      </c>
      <c r="R1054" s="190">
        <v>0</v>
      </c>
      <c r="S1054" s="190">
        <f t="shared" si="125"/>
        <v>6697616.7399999993</v>
      </c>
      <c r="T1054" s="190">
        <f t="shared" si="128"/>
        <v>1324.817869646919</v>
      </c>
      <c r="U1054" s="190">
        <v>1862.6529324498072</v>
      </c>
      <c r="V1054" s="221">
        <f t="shared" si="124"/>
        <v>537.83506280288816</v>
      </c>
      <c r="W1054" s="221">
        <f t="shared" si="126"/>
        <v>1184.7203243991692</v>
      </c>
      <c r="X1054" s="221">
        <v>0</v>
      </c>
      <c r="Y1054" s="222">
        <v>0</v>
      </c>
      <c r="Z1054" s="222">
        <v>0</v>
      </c>
      <c r="AA1054" s="222">
        <v>0</v>
      </c>
      <c r="AB1054" s="222">
        <v>0</v>
      </c>
      <c r="AC1054" s="222">
        <v>0</v>
      </c>
      <c r="AD1054" s="222">
        <v>0</v>
      </c>
      <c r="AE1054" s="222">
        <v>960</v>
      </c>
      <c r="AF1054" s="221">
        <f t="shared" si="129"/>
        <v>1184.7203243991692</v>
      </c>
      <c r="AG1054" s="222">
        <v>0</v>
      </c>
      <c r="AH1054" s="221">
        <v>0</v>
      </c>
      <c r="AI1054" s="222">
        <v>0</v>
      </c>
      <c r="AJ1054" s="221">
        <v>0</v>
      </c>
      <c r="AK1054" s="222">
        <v>0</v>
      </c>
      <c r="AL1054" s="222">
        <v>0</v>
      </c>
      <c r="AM1054" s="222">
        <v>0</v>
      </c>
      <c r="AN1054" s="222"/>
      <c r="AO1054" s="222">
        <v>0</v>
      </c>
    </row>
    <row r="1055" spans="1:41" s="223" customFormat="1" ht="36" customHeight="1" x14ac:dyDescent="0.25">
      <c r="A1055" s="223">
        <v>1</v>
      </c>
      <c r="B1055" s="225">
        <f>SUBTOTAL(103,$A$1030:A1055)</f>
        <v>26</v>
      </c>
      <c r="C1055" s="215" t="s">
        <v>592</v>
      </c>
      <c r="D1055" s="217" t="s">
        <v>361</v>
      </c>
      <c r="E1055" s="217"/>
      <c r="F1055" s="226" t="s">
        <v>267</v>
      </c>
      <c r="G1055" s="217" t="s">
        <v>351</v>
      </c>
      <c r="H1055" s="217" t="s">
        <v>312</v>
      </c>
      <c r="I1055" s="218">
        <v>2923.9</v>
      </c>
      <c r="J1055" s="218">
        <v>2704.4</v>
      </c>
      <c r="K1055" s="218">
        <v>1930.7</v>
      </c>
      <c r="L1055" s="219">
        <v>125</v>
      </c>
      <c r="M1055" s="217" t="s">
        <v>265</v>
      </c>
      <c r="N1055" s="217" t="s">
        <v>269</v>
      </c>
      <c r="O1055" s="220" t="s">
        <v>1647</v>
      </c>
      <c r="P1055" s="190">
        <v>5263885</v>
      </c>
      <c r="Q1055" s="190">
        <v>0</v>
      </c>
      <c r="R1055" s="190">
        <v>0</v>
      </c>
      <c r="S1055" s="190">
        <f t="shared" si="125"/>
        <v>5263885</v>
      </c>
      <c r="T1055" s="190">
        <f t="shared" si="128"/>
        <v>1800.295837750949</v>
      </c>
      <c r="U1055" s="190">
        <v>3907.9508875132533</v>
      </c>
      <c r="V1055" s="221">
        <f t="shared" si="124"/>
        <v>2107.6550497623043</v>
      </c>
      <c r="W1055" s="221">
        <f t="shared" si="126"/>
        <v>2293.7953589384042</v>
      </c>
      <c r="X1055" s="221">
        <v>0</v>
      </c>
      <c r="Y1055" s="222">
        <v>0</v>
      </c>
      <c r="Z1055" s="222">
        <v>0</v>
      </c>
      <c r="AA1055" s="222">
        <v>0</v>
      </c>
      <c r="AB1055" s="222">
        <v>0</v>
      </c>
      <c r="AC1055" s="222">
        <v>0</v>
      </c>
      <c r="AD1055" s="222">
        <v>0</v>
      </c>
      <c r="AE1055" s="222">
        <v>1075</v>
      </c>
      <c r="AF1055" s="221">
        <f t="shared" si="129"/>
        <v>2293.7953589384042</v>
      </c>
      <c r="AG1055" s="222">
        <v>0</v>
      </c>
      <c r="AH1055" s="221">
        <v>0</v>
      </c>
      <c r="AI1055" s="222">
        <v>0</v>
      </c>
      <c r="AJ1055" s="221">
        <v>0</v>
      </c>
      <c r="AK1055" s="222">
        <v>0</v>
      </c>
      <c r="AL1055" s="222">
        <v>0</v>
      </c>
      <c r="AM1055" s="222">
        <v>0</v>
      </c>
      <c r="AN1055" s="222"/>
      <c r="AO1055" s="222">
        <v>0</v>
      </c>
    </row>
    <row r="1056" spans="1:41" s="223" customFormat="1" ht="36" customHeight="1" x14ac:dyDescent="0.25">
      <c r="A1056" s="223">
        <v>1</v>
      </c>
      <c r="B1056" s="225">
        <f>SUBTOTAL(103,$A$1030:A1056)</f>
        <v>27</v>
      </c>
      <c r="C1056" s="215" t="s">
        <v>1695</v>
      </c>
      <c r="D1056" s="217" t="s">
        <v>313</v>
      </c>
      <c r="E1056" s="217"/>
      <c r="F1056" s="226" t="s">
        <v>311</v>
      </c>
      <c r="G1056" s="217" t="s">
        <v>351</v>
      </c>
      <c r="H1056" s="217" t="s">
        <v>351</v>
      </c>
      <c r="I1056" s="218">
        <v>4700.6000000000004</v>
      </c>
      <c r="J1056" s="218">
        <v>3460</v>
      </c>
      <c r="K1056" s="218">
        <v>3460</v>
      </c>
      <c r="L1056" s="219">
        <v>148</v>
      </c>
      <c r="M1056" s="217" t="s">
        <v>265</v>
      </c>
      <c r="N1056" s="217" t="s">
        <v>269</v>
      </c>
      <c r="O1056" s="220" t="s">
        <v>1648</v>
      </c>
      <c r="P1056" s="190">
        <v>4443671.0699999994</v>
      </c>
      <c r="Q1056" s="190">
        <v>0</v>
      </c>
      <c r="R1056" s="190">
        <v>0</v>
      </c>
      <c r="S1056" s="190">
        <f t="shared" si="125"/>
        <v>4443671.0699999994</v>
      </c>
      <c r="T1056" s="190">
        <f t="shared" si="128"/>
        <v>945.34124792579655</v>
      </c>
      <c r="U1056" s="190">
        <v>1300.1278709100966</v>
      </c>
      <c r="V1056" s="221">
        <f t="shared" si="124"/>
        <v>354.78662298430004</v>
      </c>
      <c r="W1056" s="221">
        <f t="shared" si="126"/>
        <v>1104.2788409990214</v>
      </c>
      <c r="X1056" s="221">
        <v>0</v>
      </c>
      <c r="Y1056" s="222">
        <v>0</v>
      </c>
      <c r="Z1056" s="222">
        <v>0</v>
      </c>
      <c r="AA1056" s="222">
        <v>0</v>
      </c>
      <c r="AB1056" s="222">
        <v>0</v>
      </c>
      <c r="AC1056" s="222">
        <v>0</v>
      </c>
      <c r="AD1056" s="222">
        <v>0</v>
      </c>
      <c r="AE1056" s="222">
        <v>832</v>
      </c>
      <c r="AF1056" s="221">
        <f t="shared" si="129"/>
        <v>1104.2788409990214</v>
      </c>
      <c r="AG1056" s="222">
        <v>0</v>
      </c>
      <c r="AH1056" s="221">
        <v>0</v>
      </c>
      <c r="AI1056" s="222">
        <v>0</v>
      </c>
      <c r="AJ1056" s="221">
        <v>0</v>
      </c>
      <c r="AK1056" s="222">
        <v>0</v>
      </c>
      <c r="AL1056" s="222">
        <v>0</v>
      </c>
      <c r="AM1056" s="222">
        <v>0</v>
      </c>
      <c r="AN1056" s="222"/>
      <c r="AO1056" s="222">
        <v>0</v>
      </c>
    </row>
    <row r="1057" spans="1:41" s="223" customFormat="1" ht="36" customHeight="1" x14ac:dyDescent="0.25">
      <c r="A1057" s="223">
        <v>1</v>
      </c>
      <c r="B1057" s="225">
        <f>SUBTOTAL(103,$A$1030:A1057)</f>
        <v>28</v>
      </c>
      <c r="C1057" s="215" t="s">
        <v>1696</v>
      </c>
      <c r="D1057" s="217" t="s">
        <v>310</v>
      </c>
      <c r="E1057" s="217"/>
      <c r="F1057" s="226" t="s">
        <v>267</v>
      </c>
      <c r="G1057" s="217" t="s">
        <v>351</v>
      </c>
      <c r="H1057" s="217" t="s">
        <v>308</v>
      </c>
      <c r="I1057" s="218">
        <v>3048.2</v>
      </c>
      <c r="J1057" s="218">
        <v>2288.5</v>
      </c>
      <c r="K1057" s="218">
        <v>2288.5</v>
      </c>
      <c r="L1057" s="219">
        <v>104</v>
      </c>
      <c r="M1057" s="217" t="s">
        <v>265</v>
      </c>
      <c r="N1057" s="217" t="s">
        <v>269</v>
      </c>
      <c r="O1057" s="220" t="s">
        <v>1635</v>
      </c>
      <c r="P1057" s="190">
        <v>3809856.13</v>
      </c>
      <c r="Q1057" s="190">
        <v>0</v>
      </c>
      <c r="R1057" s="190">
        <v>0</v>
      </c>
      <c r="S1057" s="190">
        <f t="shared" si="125"/>
        <v>3809856.13</v>
      </c>
      <c r="T1057" s="190">
        <f t="shared" si="128"/>
        <v>1249.8707860376617</v>
      </c>
      <c r="U1057" s="190">
        <v>1255.3400695492423</v>
      </c>
      <c r="V1057" s="221">
        <f t="shared" si="124"/>
        <v>5.4692835115806702</v>
      </c>
      <c r="W1057" s="221">
        <f t="shared" si="126"/>
        <v>1272.0564808739584</v>
      </c>
      <c r="X1057" s="221">
        <v>0</v>
      </c>
      <c r="Y1057" s="222">
        <v>0</v>
      </c>
      <c r="Z1057" s="222">
        <v>0</v>
      </c>
      <c r="AA1057" s="222">
        <v>0</v>
      </c>
      <c r="AB1057" s="222">
        <v>0</v>
      </c>
      <c r="AC1057" s="222">
        <v>0</v>
      </c>
      <c r="AD1057" s="222">
        <v>0</v>
      </c>
      <c r="AE1057" s="222">
        <v>621.5</v>
      </c>
      <c r="AF1057" s="221">
        <f t="shared" si="129"/>
        <v>1272.0564808739584</v>
      </c>
      <c r="AG1057" s="222">
        <v>0</v>
      </c>
      <c r="AH1057" s="221">
        <v>0</v>
      </c>
      <c r="AI1057" s="222">
        <v>0</v>
      </c>
      <c r="AJ1057" s="221">
        <v>0</v>
      </c>
      <c r="AK1057" s="222">
        <v>0</v>
      </c>
      <c r="AL1057" s="222">
        <v>0</v>
      </c>
      <c r="AM1057" s="222">
        <v>0</v>
      </c>
      <c r="AN1057" s="222"/>
      <c r="AO1057" s="222">
        <v>0</v>
      </c>
    </row>
    <row r="1058" spans="1:41" s="223" customFormat="1" ht="36" customHeight="1" x14ac:dyDescent="0.25">
      <c r="A1058" s="223">
        <v>1</v>
      </c>
      <c r="B1058" s="225">
        <f>SUBTOTAL(103,$A$1030:A1058)</f>
        <v>29</v>
      </c>
      <c r="C1058" s="215" t="s">
        <v>593</v>
      </c>
      <c r="D1058" s="217">
        <v>1963</v>
      </c>
      <c r="E1058" s="217"/>
      <c r="F1058" s="226" t="s">
        <v>267</v>
      </c>
      <c r="G1058" s="217">
        <v>5</v>
      </c>
      <c r="H1058" s="217" t="s">
        <v>303</v>
      </c>
      <c r="I1058" s="218">
        <v>1703.9</v>
      </c>
      <c r="J1058" s="218">
        <v>1558.5</v>
      </c>
      <c r="K1058" s="218">
        <v>1516.4</v>
      </c>
      <c r="L1058" s="219">
        <v>68</v>
      </c>
      <c r="M1058" s="217" t="s">
        <v>265</v>
      </c>
      <c r="N1058" s="217" t="s">
        <v>269</v>
      </c>
      <c r="O1058" s="220" t="s">
        <v>1394</v>
      </c>
      <c r="P1058" s="190">
        <v>4940291.25</v>
      </c>
      <c r="Q1058" s="190">
        <v>0</v>
      </c>
      <c r="R1058" s="190">
        <v>0</v>
      </c>
      <c r="S1058" s="190">
        <f t="shared" si="125"/>
        <v>4940291.25</v>
      </c>
      <c r="T1058" s="190">
        <f t="shared" si="128"/>
        <v>2899.402106931158</v>
      </c>
      <c r="U1058" s="190">
        <v>6221.4434532542982</v>
      </c>
      <c r="V1058" s="221">
        <f t="shared" si="124"/>
        <v>3322.0413463231403</v>
      </c>
      <c r="W1058" s="221">
        <f t="shared" si="126"/>
        <v>5298.2585656435231</v>
      </c>
      <c r="X1058" s="221">
        <v>0</v>
      </c>
      <c r="Y1058" s="222">
        <v>0</v>
      </c>
      <c r="Z1058" s="222">
        <v>0</v>
      </c>
      <c r="AA1058" s="222">
        <v>0</v>
      </c>
      <c r="AB1058" s="222">
        <v>0</v>
      </c>
      <c r="AC1058" s="222">
        <v>0</v>
      </c>
      <c r="AD1058" s="222">
        <v>0</v>
      </c>
      <c r="AE1058" s="222">
        <v>1447</v>
      </c>
      <c r="AF1058" s="221">
        <f t="shared" si="129"/>
        <v>5298.2585656435231</v>
      </c>
      <c r="AG1058" s="222">
        <v>0</v>
      </c>
      <c r="AH1058" s="221">
        <v>0</v>
      </c>
      <c r="AI1058" s="222">
        <v>0</v>
      </c>
      <c r="AJ1058" s="221">
        <v>0</v>
      </c>
      <c r="AK1058" s="222">
        <v>0</v>
      </c>
      <c r="AL1058" s="222">
        <v>0</v>
      </c>
      <c r="AM1058" s="222">
        <v>0</v>
      </c>
      <c r="AN1058" s="222"/>
      <c r="AO1058" s="222">
        <v>0</v>
      </c>
    </row>
    <row r="1059" spans="1:41" s="223" customFormat="1" ht="36" customHeight="1" x14ac:dyDescent="0.25">
      <c r="A1059" s="223">
        <v>1</v>
      </c>
      <c r="B1059" s="225">
        <f>SUBTOTAL(103,$A$1030:A1059)</f>
        <v>30</v>
      </c>
      <c r="C1059" s="215" t="s">
        <v>595</v>
      </c>
      <c r="D1059" s="217">
        <v>1972</v>
      </c>
      <c r="E1059" s="217"/>
      <c r="F1059" s="226" t="s">
        <v>267</v>
      </c>
      <c r="G1059" s="217">
        <v>9</v>
      </c>
      <c r="H1059" s="217" t="s">
        <v>304</v>
      </c>
      <c r="I1059" s="218">
        <v>1896.4</v>
      </c>
      <c r="J1059" s="218">
        <v>1896.4</v>
      </c>
      <c r="K1059" s="218">
        <v>1859.1</v>
      </c>
      <c r="L1059" s="219">
        <v>90</v>
      </c>
      <c r="M1059" s="217" t="s">
        <v>265</v>
      </c>
      <c r="N1059" s="217" t="s">
        <v>269</v>
      </c>
      <c r="O1059" s="220" t="s">
        <v>1382</v>
      </c>
      <c r="P1059" s="190">
        <v>2089100.53</v>
      </c>
      <c r="Q1059" s="190">
        <v>0</v>
      </c>
      <c r="R1059" s="190">
        <v>0</v>
      </c>
      <c r="S1059" s="190">
        <f t="shared" si="125"/>
        <v>2089100.53</v>
      </c>
      <c r="T1059" s="190">
        <f t="shared" si="128"/>
        <v>1101.6138631090487</v>
      </c>
      <c r="U1059" s="190">
        <v>1569.0993461295084</v>
      </c>
      <c r="V1059" s="221">
        <f t="shared" si="124"/>
        <v>467.4854830204597</v>
      </c>
      <c r="W1059" s="221">
        <f t="shared" si="126"/>
        <v>6025.3414891373131</v>
      </c>
      <c r="X1059" s="221">
        <v>0</v>
      </c>
      <c r="Y1059" s="222">
        <v>0</v>
      </c>
      <c r="Z1059" s="222">
        <v>0</v>
      </c>
      <c r="AA1059" s="222">
        <v>0</v>
      </c>
      <c r="AB1059" s="222">
        <v>0</v>
      </c>
      <c r="AC1059" s="222">
        <v>0</v>
      </c>
      <c r="AD1059" s="222">
        <v>0</v>
      </c>
      <c r="AE1059" s="222">
        <v>0</v>
      </c>
      <c r="AF1059" s="221">
        <v>0</v>
      </c>
      <c r="AG1059" s="222">
        <v>0</v>
      </c>
      <c r="AH1059" s="221">
        <v>0</v>
      </c>
      <c r="AI1059" s="222">
        <v>1536</v>
      </c>
      <c r="AJ1059" s="221">
        <f>7439.1*AI1059/I1059</f>
        <v>6025.3414891373131</v>
      </c>
      <c r="AK1059" s="222">
        <v>0</v>
      </c>
      <c r="AL1059" s="222">
        <v>0</v>
      </c>
      <c r="AM1059" s="222">
        <v>0</v>
      </c>
      <c r="AN1059" s="222"/>
      <c r="AO1059" s="222">
        <v>0</v>
      </c>
    </row>
    <row r="1060" spans="1:41" s="223" customFormat="1" ht="36" customHeight="1" x14ac:dyDescent="0.25">
      <c r="A1060" s="223">
        <v>1</v>
      </c>
      <c r="B1060" s="225">
        <f>SUBTOTAL(103,$A$1030:A1060)</f>
        <v>31</v>
      </c>
      <c r="C1060" s="215" t="s">
        <v>596</v>
      </c>
      <c r="D1060" s="217" t="s">
        <v>316</v>
      </c>
      <c r="E1060" s="217"/>
      <c r="F1060" s="226" t="s">
        <v>311</v>
      </c>
      <c r="G1060" s="217" t="s">
        <v>351</v>
      </c>
      <c r="H1060" s="217" t="s">
        <v>308</v>
      </c>
      <c r="I1060" s="218">
        <v>3873.3</v>
      </c>
      <c r="J1060" s="218">
        <v>3541.2</v>
      </c>
      <c r="K1060" s="218">
        <v>3540.2</v>
      </c>
      <c r="L1060" s="219">
        <v>165</v>
      </c>
      <c r="M1060" s="217" t="s">
        <v>265</v>
      </c>
      <c r="N1060" s="217" t="s">
        <v>269</v>
      </c>
      <c r="O1060" s="220" t="s">
        <v>1071</v>
      </c>
      <c r="P1060" s="190">
        <v>4372967.33</v>
      </c>
      <c r="Q1060" s="190">
        <v>0</v>
      </c>
      <c r="R1060" s="190">
        <v>0</v>
      </c>
      <c r="S1060" s="190">
        <f t="shared" si="125"/>
        <v>4372967.33</v>
      </c>
      <c r="T1060" s="190">
        <f t="shared" si="128"/>
        <v>1129.0030026075956</v>
      </c>
      <c r="U1060" s="190">
        <v>1612.937804972504</v>
      </c>
      <c r="V1060" s="221">
        <f t="shared" si="124"/>
        <v>483.93480236490836</v>
      </c>
      <c r="W1060" s="221">
        <f t="shared" si="126"/>
        <v>1512.6533914233341</v>
      </c>
      <c r="X1060" s="221">
        <v>0</v>
      </c>
      <c r="Y1060" s="222">
        <v>0</v>
      </c>
      <c r="Z1060" s="222">
        <v>0</v>
      </c>
      <c r="AA1060" s="222">
        <v>0</v>
      </c>
      <c r="AB1060" s="222">
        <v>0</v>
      </c>
      <c r="AC1060" s="222">
        <v>0</v>
      </c>
      <c r="AD1060" s="222">
        <v>0</v>
      </c>
      <c r="AE1060" s="222">
        <v>939.1</v>
      </c>
      <c r="AF1060" s="221">
        <f>6238.91*AE1060/I1060</f>
        <v>1512.6533914233341</v>
      </c>
      <c r="AG1060" s="222">
        <v>0</v>
      </c>
      <c r="AH1060" s="221">
        <v>0</v>
      </c>
      <c r="AI1060" s="222">
        <v>0</v>
      </c>
      <c r="AJ1060" s="221">
        <v>0</v>
      </c>
      <c r="AK1060" s="222">
        <v>0</v>
      </c>
      <c r="AL1060" s="222">
        <v>0</v>
      </c>
      <c r="AM1060" s="222">
        <v>0</v>
      </c>
      <c r="AN1060" s="222"/>
      <c r="AO1060" s="222">
        <v>0</v>
      </c>
    </row>
    <row r="1061" spans="1:41" s="223" customFormat="1" ht="36" customHeight="1" x14ac:dyDescent="0.25">
      <c r="A1061" s="223">
        <v>1</v>
      </c>
      <c r="B1061" s="225">
        <f>SUBTOTAL(103,$A$1030:A1061)</f>
        <v>32</v>
      </c>
      <c r="C1061" s="215" t="s">
        <v>597</v>
      </c>
      <c r="D1061" s="217" t="s">
        <v>377</v>
      </c>
      <c r="E1061" s="217"/>
      <c r="F1061" s="226" t="s">
        <v>311</v>
      </c>
      <c r="G1061" s="217" t="s">
        <v>351</v>
      </c>
      <c r="H1061" s="217" t="s">
        <v>308</v>
      </c>
      <c r="I1061" s="218">
        <v>3881.3</v>
      </c>
      <c r="J1061" s="218">
        <v>3552.7</v>
      </c>
      <c r="K1061" s="218">
        <v>3551.2</v>
      </c>
      <c r="L1061" s="219">
        <v>182</v>
      </c>
      <c r="M1061" s="217" t="s">
        <v>265</v>
      </c>
      <c r="N1061" s="217" t="s">
        <v>269</v>
      </c>
      <c r="O1061" s="220" t="s">
        <v>1071</v>
      </c>
      <c r="P1061" s="190">
        <v>4372967.33</v>
      </c>
      <c r="Q1061" s="190">
        <v>0</v>
      </c>
      <c r="R1061" s="190">
        <v>0</v>
      </c>
      <c r="S1061" s="190">
        <f t="shared" si="125"/>
        <v>4372967.33</v>
      </c>
      <c r="T1061" s="190">
        <f t="shared" si="128"/>
        <v>1126.6759410506788</v>
      </c>
      <c r="U1061" s="190">
        <v>1609.6132739030736</v>
      </c>
      <c r="V1061" s="221">
        <f t="shared" si="124"/>
        <v>482.93733285239477</v>
      </c>
      <c r="W1061" s="221">
        <f t="shared" si="126"/>
        <v>945.16761909669435</v>
      </c>
      <c r="X1061" s="221">
        <v>0</v>
      </c>
      <c r="Y1061" s="222">
        <v>0</v>
      </c>
      <c r="Z1061" s="222">
        <v>0</v>
      </c>
      <c r="AA1061" s="222">
        <v>0</v>
      </c>
      <c r="AB1061" s="222">
        <v>0</v>
      </c>
      <c r="AC1061" s="222">
        <v>0</v>
      </c>
      <c r="AD1061" s="222">
        <v>0</v>
      </c>
      <c r="AE1061" s="222">
        <v>588</v>
      </c>
      <c r="AF1061" s="221">
        <f>6238.91*AE1061/I1061</f>
        <v>945.16761909669435</v>
      </c>
      <c r="AG1061" s="222">
        <v>0</v>
      </c>
      <c r="AH1061" s="221">
        <v>0</v>
      </c>
      <c r="AI1061" s="222">
        <v>0</v>
      </c>
      <c r="AJ1061" s="221">
        <v>0</v>
      </c>
      <c r="AK1061" s="222">
        <v>0</v>
      </c>
      <c r="AL1061" s="222">
        <v>0</v>
      </c>
      <c r="AM1061" s="222">
        <v>0</v>
      </c>
      <c r="AN1061" s="222"/>
      <c r="AO1061" s="222">
        <v>0</v>
      </c>
    </row>
    <row r="1062" spans="1:41" s="223" customFormat="1" ht="36" customHeight="1" x14ac:dyDescent="0.25">
      <c r="A1062" s="223">
        <v>1</v>
      </c>
      <c r="B1062" s="225">
        <f>SUBTOTAL(103,$A$1030:A1062)</f>
        <v>33</v>
      </c>
      <c r="C1062" s="215" t="s">
        <v>598</v>
      </c>
      <c r="D1062" s="217" t="s">
        <v>350</v>
      </c>
      <c r="E1062" s="217"/>
      <c r="F1062" s="226" t="s">
        <v>267</v>
      </c>
      <c r="G1062" s="217" t="s">
        <v>357</v>
      </c>
      <c r="H1062" s="217" t="s">
        <v>304</v>
      </c>
      <c r="I1062" s="218">
        <v>2154.4</v>
      </c>
      <c r="J1062" s="218">
        <v>1828.2</v>
      </c>
      <c r="K1062" s="218">
        <v>1783.4</v>
      </c>
      <c r="L1062" s="219">
        <v>76</v>
      </c>
      <c r="M1062" s="217" t="s">
        <v>265</v>
      </c>
      <c r="N1062" s="217" t="s">
        <v>269</v>
      </c>
      <c r="O1062" s="220" t="s">
        <v>1635</v>
      </c>
      <c r="P1062" s="190">
        <v>1733943.5899999999</v>
      </c>
      <c r="Q1062" s="190">
        <v>0</v>
      </c>
      <c r="R1062" s="190">
        <v>0</v>
      </c>
      <c r="S1062" s="190">
        <f t="shared" si="125"/>
        <v>1733943.5899999999</v>
      </c>
      <c r="T1062" s="190">
        <f t="shared" si="128"/>
        <v>804.83827979948001</v>
      </c>
      <c r="U1062" s="190">
        <v>1056.4214481990346</v>
      </c>
      <c r="V1062" s="221">
        <f t="shared" si="124"/>
        <v>251.58316839955455</v>
      </c>
      <c r="W1062" s="221">
        <f t="shared" si="126"/>
        <v>4920.4964259190492</v>
      </c>
      <c r="X1062" s="221">
        <v>0</v>
      </c>
      <c r="Y1062" s="222">
        <v>0</v>
      </c>
      <c r="Z1062" s="222">
        <v>0</v>
      </c>
      <c r="AA1062" s="222">
        <v>0</v>
      </c>
      <c r="AB1062" s="222">
        <v>0</v>
      </c>
      <c r="AC1062" s="222">
        <v>0</v>
      </c>
      <c r="AD1062" s="222">
        <v>0</v>
      </c>
      <c r="AE1062" s="222">
        <v>0</v>
      </c>
      <c r="AF1062" s="221">
        <v>0</v>
      </c>
      <c r="AG1062" s="222">
        <v>0</v>
      </c>
      <c r="AH1062" s="221">
        <v>0</v>
      </c>
      <c r="AI1062" s="222">
        <v>1425</v>
      </c>
      <c r="AJ1062" s="221">
        <f>7439.1*AI1062/I1062</f>
        <v>4920.4964259190492</v>
      </c>
      <c r="AK1062" s="222">
        <v>0</v>
      </c>
      <c r="AL1062" s="222">
        <v>0</v>
      </c>
      <c r="AM1062" s="222">
        <v>0</v>
      </c>
      <c r="AN1062" s="222"/>
      <c r="AO1062" s="222">
        <v>0</v>
      </c>
    </row>
    <row r="1063" spans="1:41" s="223" customFormat="1" ht="36" customHeight="1" x14ac:dyDescent="0.25">
      <c r="A1063" s="223">
        <v>1</v>
      </c>
      <c r="B1063" s="225">
        <f>SUBTOTAL(103,$A$1030:A1063)</f>
        <v>34</v>
      </c>
      <c r="C1063" s="215" t="s">
        <v>599</v>
      </c>
      <c r="D1063" s="217" t="s">
        <v>378</v>
      </c>
      <c r="E1063" s="217"/>
      <c r="F1063" s="226" t="s">
        <v>311</v>
      </c>
      <c r="G1063" s="217" t="s">
        <v>351</v>
      </c>
      <c r="H1063" s="217" t="s">
        <v>308</v>
      </c>
      <c r="I1063" s="218">
        <v>3888.9</v>
      </c>
      <c r="J1063" s="218">
        <v>3557.6</v>
      </c>
      <c r="K1063" s="218">
        <v>3511.4</v>
      </c>
      <c r="L1063" s="219">
        <v>169</v>
      </c>
      <c r="M1063" s="217" t="s">
        <v>265</v>
      </c>
      <c r="N1063" s="217" t="s">
        <v>269</v>
      </c>
      <c r="O1063" s="220" t="s">
        <v>1071</v>
      </c>
      <c r="P1063" s="190">
        <v>4372967.33</v>
      </c>
      <c r="Q1063" s="190">
        <v>0</v>
      </c>
      <c r="R1063" s="190">
        <v>0</v>
      </c>
      <c r="S1063" s="190">
        <f t="shared" si="125"/>
        <v>4372967.33</v>
      </c>
      <c r="T1063" s="190">
        <f t="shared" si="128"/>
        <v>1124.4741006454267</v>
      </c>
      <c r="U1063" s="190">
        <v>1606.4676386638896</v>
      </c>
      <c r="V1063" s="221">
        <f t="shared" si="124"/>
        <v>481.99353801846291</v>
      </c>
      <c r="W1063" s="221">
        <f t="shared" si="126"/>
        <v>901.6090462598678</v>
      </c>
      <c r="X1063" s="221">
        <v>0</v>
      </c>
      <c r="Y1063" s="222">
        <v>0</v>
      </c>
      <c r="Z1063" s="222">
        <v>0</v>
      </c>
      <c r="AA1063" s="222">
        <v>0</v>
      </c>
      <c r="AB1063" s="222">
        <v>0</v>
      </c>
      <c r="AC1063" s="222">
        <v>0</v>
      </c>
      <c r="AD1063" s="222">
        <v>0</v>
      </c>
      <c r="AE1063" s="222">
        <v>562</v>
      </c>
      <c r="AF1063" s="221">
        <f>6238.91*AE1063/I1063</f>
        <v>901.6090462598678</v>
      </c>
      <c r="AG1063" s="222">
        <v>0</v>
      </c>
      <c r="AH1063" s="221">
        <v>0</v>
      </c>
      <c r="AI1063" s="222">
        <v>0</v>
      </c>
      <c r="AJ1063" s="221">
        <v>0</v>
      </c>
      <c r="AK1063" s="222">
        <v>0</v>
      </c>
      <c r="AL1063" s="222">
        <v>0</v>
      </c>
      <c r="AM1063" s="222">
        <v>0</v>
      </c>
      <c r="AN1063" s="222"/>
      <c r="AO1063" s="222">
        <v>0</v>
      </c>
    </row>
    <row r="1064" spans="1:41" s="223" customFormat="1" ht="36" customHeight="1" x14ac:dyDescent="0.25">
      <c r="A1064" s="223">
        <v>1</v>
      </c>
      <c r="B1064" s="225">
        <f>SUBTOTAL(103,$A$1030:A1064)</f>
        <v>35</v>
      </c>
      <c r="C1064" s="215" t="s">
        <v>600</v>
      </c>
      <c r="D1064" s="217" t="s">
        <v>373</v>
      </c>
      <c r="E1064" s="217"/>
      <c r="F1064" s="226" t="s">
        <v>267</v>
      </c>
      <c r="G1064" s="217" t="s">
        <v>351</v>
      </c>
      <c r="H1064" s="217" t="s">
        <v>312</v>
      </c>
      <c r="I1064" s="218">
        <v>2600.9</v>
      </c>
      <c r="J1064" s="218">
        <v>2217.3000000000002</v>
      </c>
      <c r="K1064" s="218">
        <v>2214.6</v>
      </c>
      <c r="L1064" s="219">
        <v>77</v>
      </c>
      <c r="M1064" s="217" t="s">
        <v>265</v>
      </c>
      <c r="N1064" s="217" t="s">
        <v>269</v>
      </c>
      <c r="O1064" s="220" t="s">
        <v>1380</v>
      </c>
      <c r="P1064" s="190">
        <v>3164601.1799999997</v>
      </c>
      <c r="Q1064" s="190">
        <v>0</v>
      </c>
      <c r="R1064" s="190">
        <v>0</v>
      </c>
      <c r="S1064" s="190">
        <f t="shared" si="125"/>
        <v>3164601.1799999997</v>
      </c>
      <c r="T1064" s="190">
        <f t="shared" si="128"/>
        <v>1216.7331231496787</v>
      </c>
      <c r="U1064" s="190">
        <v>4776.5377369372136</v>
      </c>
      <c r="V1064" s="221">
        <f t="shared" si="124"/>
        <v>3559.8046137875349</v>
      </c>
      <c r="W1064" s="221">
        <f t="shared" si="126"/>
        <v>1144.0808950747817</v>
      </c>
      <c r="X1064" s="221">
        <v>0</v>
      </c>
      <c r="Y1064" s="222">
        <v>0</v>
      </c>
      <c r="Z1064" s="222">
        <v>0</v>
      </c>
      <c r="AA1064" s="222">
        <v>0</v>
      </c>
      <c r="AB1064" s="222">
        <v>0</v>
      </c>
      <c r="AC1064" s="222">
        <v>0</v>
      </c>
      <c r="AD1064" s="222">
        <v>0</v>
      </c>
      <c r="AE1064" s="222">
        <v>0</v>
      </c>
      <c r="AF1064" s="221">
        <v>0</v>
      </c>
      <c r="AG1064" s="222">
        <v>0</v>
      </c>
      <c r="AH1064" s="221">
        <v>0</v>
      </c>
      <c r="AI1064" s="222">
        <v>400</v>
      </c>
      <c r="AJ1064" s="221">
        <f>7439.1*AI1064/I1064</f>
        <v>1144.0808950747817</v>
      </c>
      <c r="AK1064" s="222">
        <v>0</v>
      </c>
      <c r="AL1064" s="222">
        <v>0</v>
      </c>
      <c r="AM1064" s="222">
        <v>0</v>
      </c>
      <c r="AN1064" s="222"/>
      <c r="AO1064" s="222">
        <v>0</v>
      </c>
    </row>
    <row r="1065" spans="1:41" s="223" customFormat="1" ht="36" customHeight="1" x14ac:dyDescent="0.25">
      <c r="A1065" s="223">
        <v>1</v>
      </c>
      <c r="B1065" s="225">
        <f>SUBTOTAL(103,$A$1030:A1065)</f>
        <v>36</v>
      </c>
      <c r="C1065" s="215" t="s">
        <v>601</v>
      </c>
      <c r="D1065" s="217" t="s">
        <v>369</v>
      </c>
      <c r="E1065" s="217"/>
      <c r="F1065" s="226" t="s">
        <v>267</v>
      </c>
      <c r="G1065" s="217" t="s">
        <v>351</v>
      </c>
      <c r="H1065" s="217" t="s">
        <v>304</v>
      </c>
      <c r="I1065" s="218">
        <v>1129.8</v>
      </c>
      <c r="J1065" s="218">
        <v>1033.3</v>
      </c>
      <c r="K1065" s="218">
        <v>841.7</v>
      </c>
      <c r="L1065" s="219">
        <v>42</v>
      </c>
      <c r="M1065" s="217" t="s">
        <v>265</v>
      </c>
      <c r="N1065" s="217" t="s">
        <v>269</v>
      </c>
      <c r="O1065" s="220" t="s">
        <v>1394</v>
      </c>
      <c r="P1065" s="190">
        <v>1146986.94</v>
      </c>
      <c r="Q1065" s="190">
        <v>0</v>
      </c>
      <c r="R1065" s="190">
        <v>0</v>
      </c>
      <c r="S1065" s="190">
        <f t="shared" si="125"/>
        <v>1146986.94</v>
      </c>
      <c r="T1065" s="190">
        <f t="shared" si="128"/>
        <v>1015.2123738714816</v>
      </c>
      <c r="U1065" s="190">
        <v>1353.6108160736414</v>
      </c>
      <c r="V1065" s="221">
        <f t="shared" si="124"/>
        <v>338.3984422021598</v>
      </c>
      <c r="W1065" s="221">
        <f t="shared" si="126"/>
        <v>5301.2511949017526</v>
      </c>
      <c r="X1065" s="221">
        <v>0</v>
      </c>
      <c r="Y1065" s="222">
        <v>0</v>
      </c>
      <c r="Z1065" s="222">
        <v>0</v>
      </c>
      <c r="AA1065" s="222">
        <v>0</v>
      </c>
      <c r="AB1065" s="222">
        <v>0</v>
      </c>
      <c r="AC1065" s="222">
        <v>0</v>
      </c>
      <c r="AD1065" s="222">
        <v>0</v>
      </c>
      <c r="AE1065" s="222">
        <v>960</v>
      </c>
      <c r="AF1065" s="221">
        <f t="shared" ref="AF1065:AF1088" si="130">6238.91*AE1065/I1065</f>
        <v>5301.2511949017526</v>
      </c>
      <c r="AG1065" s="222">
        <v>0</v>
      </c>
      <c r="AH1065" s="221">
        <v>0</v>
      </c>
      <c r="AI1065" s="222">
        <v>0</v>
      </c>
      <c r="AJ1065" s="221">
        <v>0</v>
      </c>
      <c r="AK1065" s="222">
        <v>0</v>
      </c>
      <c r="AL1065" s="222">
        <v>0</v>
      </c>
      <c r="AM1065" s="222">
        <v>0</v>
      </c>
      <c r="AN1065" s="222"/>
      <c r="AO1065" s="222">
        <v>0</v>
      </c>
    </row>
    <row r="1066" spans="1:41" s="223" customFormat="1" ht="36" customHeight="1" x14ac:dyDescent="0.25">
      <c r="A1066" s="223">
        <v>1</v>
      </c>
      <c r="B1066" s="225">
        <f>SUBTOTAL(103,$A$1030:A1066)</f>
        <v>37</v>
      </c>
      <c r="C1066" s="215" t="s">
        <v>602</v>
      </c>
      <c r="D1066" s="217" t="s">
        <v>309</v>
      </c>
      <c r="E1066" s="217"/>
      <c r="F1066" s="226" t="s">
        <v>311</v>
      </c>
      <c r="G1066" s="217" t="s">
        <v>351</v>
      </c>
      <c r="H1066" s="217" t="s">
        <v>308</v>
      </c>
      <c r="I1066" s="218">
        <v>4027.5</v>
      </c>
      <c r="J1066" s="218">
        <v>3037.2</v>
      </c>
      <c r="K1066" s="218">
        <v>3035.5</v>
      </c>
      <c r="L1066" s="219">
        <v>127</v>
      </c>
      <c r="M1066" s="217" t="s">
        <v>265</v>
      </c>
      <c r="N1066" s="217" t="s">
        <v>269</v>
      </c>
      <c r="O1066" s="220" t="s">
        <v>1319</v>
      </c>
      <c r="P1066" s="190">
        <v>3616149.44</v>
      </c>
      <c r="Q1066" s="190">
        <v>0</v>
      </c>
      <c r="R1066" s="190">
        <v>0</v>
      </c>
      <c r="S1066" s="190">
        <f t="shared" si="125"/>
        <v>3616149.44</v>
      </c>
      <c r="T1066" s="190">
        <f t="shared" si="128"/>
        <v>897.86454127870888</v>
      </c>
      <c r="U1066" s="190">
        <v>1236.0994413407821</v>
      </c>
      <c r="V1066" s="221">
        <f t="shared" si="124"/>
        <v>338.23490006207317</v>
      </c>
      <c r="W1066" s="221">
        <f t="shared" si="126"/>
        <v>1487.1144878957168</v>
      </c>
      <c r="X1066" s="221">
        <v>0</v>
      </c>
      <c r="Y1066" s="222">
        <v>0</v>
      </c>
      <c r="Z1066" s="222">
        <v>0</v>
      </c>
      <c r="AA1066" s="222">
        <v>0</v>
      </c>
      <c r="AB1066" s="222">
        <v>0</v>
      </c>
      <c r="AC1066" s="222">
        <v>0</v>
      </c>
      <c r="AD1066" s="222">
        <v>0</v>
      </c>
      <c r="AE1066" s="222">
        <v>960</v>
      </c>
      <c r="AF1066" s="221">
        <f t="shared" si="130"/>
        <v>1487.1144878957168</v>
      </c>
      <c r="AG1066" s="222">
        <v>0</v>
      </c>
      <c r="AH1066" s="221">
        <v>0</v>
      </c>
      <c r="AI1066" s="222">
        <v>0</v>
      </c>
      <c r="AJ1066" s="221">
        <v>0</v>
      </c>
      <c r="AK1066" s="222">
        <v>0</v>
      </c>
      <c r="AL1066" s="222">
        <v>0</v>
      </c>
      <c r="AM1066" s="222">
        <v>0</v>
      </c>
      <c r="AN1066" s="222"/>
      <c r="AO1066" s="222">
        <v>0</v>
      </c>
    </row>
    <row r="1067" spans="1:41" s="223" customFormat="1" ht="36" customHeight="1" x14ac:dyDescent="0.25">
      <c r="A1067" s="223">
        <v>1</v>
      </c>
      <c r="B1067" s="225">
        <f>SUBTOTAL(103,$A$1030:A1067)</f>
        <v>38</v>
      </c>
      <c r="C1067" s="215" t="s">
        <v>1379</v>
      </c>
      <c r="D1067" s="217">
        <v>1976</v>
      </c>
      <c r="E1067" s="217"/>
      <c r="F1067" s="226" t="s">
        <v>267</v>
      </c>
      <c r="G1067" s="217">
        <v>5</v>
      </c>
      <c r="H1067" s="217" t="s">
        <v>2268</v>
      </c>
      <c r="I1067" s="218">
        <v>18701</v>
      </c>
      <c r="J1067" s="218">
        <v>10438.450000000001</v>
      </c>
      <c r="K1067" s="218">
        <v>6661.1</v>
      </c>
      <c r="L1067" s="219">
        <v>448</v>
      </c>
      <c r="M1067" s="217" t="s">
        <v>265</v>
      </c>
      <c r="N1067" s="217" t="s">
        <v>269</v>
      </c>
      <c r="O1067" s="220" t="s">
        <v>1396</v>
      </c>
      <c r="P1067" s="190">
        <v>8004176.46</v>
      </c>
      <c r="Q1067" s="190">
        <v>0</v>
      </c>
      <c r="R1067" s="190">
        <v>0</v>
      </c>
      <c r="S1067" s="190">
        <f t="shared" si="125"/>
        <v>8004176.46</v>
      </c>
      <c r="T1067" s="190">
        <f t="shared" si="128"/>
        <v>428.00793861290839</v>
      </c>
      <c r="U1067" s="190">
        <v>805.24131329875399</v>
      </c>
      <c r="V1067" s="221">
        <f t="shared" si="124"/>
        <v>377.2333746858456</v>
      </c>
      <c r="W1067" s="221">
        <f t="shared" si="126"/>
        <v>121.70228158921984</v>
      </c>
      <c r="X1067" s="221">
        <v>0</v>
      </c>
      <c r="Y1067" s="222">
        <v>0</v>
      </c>
      <c r="Z1067" s="222">
        <v>0</v>
      </c>
      <c r="AA1067" s="222">
        <v>0</v>
      </c>
      <c r="AB1067" s="222">
        <v>0</v>
      </c>
      <c r="AC1067" s="222">
        <v>0</v>
      </c>
      <c r="AD1067" s="222">
        <v>0</v>
      </c>
      <c r="AE1067" s="222">
        <v>364.8</v>
      </c>
      <c r="AF1067" s="221">
        <f t="shared" si="130"/>
        <v>121.70228158921984</v>
      </c>
      <c r="AG1067" s="222">
        <v>0</v>
      </c>
      <c r="AH1067" s="221">
        <v>0</v>
      </c>
      <c r="AI1067" s="222">
        <v>0</v>
      </c>
      <c r="AJ1067" s="221">
        <v>0</v>
      </c>
      <c r="AK1067" s="222">
        <v>0</v>
      </c>
      <c r="AL1067" s="222">
        <v>0</v>
      </c>
      <c r="AM1067" s="222">
        <v>0</v>
      </c>
      <c r="AN1067" s="222"/>
      <c r="AO1067" s="222">
        <v>0</v>
      </c>
    </row>
    <row r="1068" spans="1:41" s="223" customFormat="1" ht="36" customHeight="1" x14ac:dyDescent="0.25">
      <c r="A1068" s="223">
        <v>1</v>
      </c>
      <c r="B1068" s="225">
        <f>SUBTOTAL(103,$A$1030:A1068)</f>
        <v>39</v>
      </c>
      <c r="C1068" s="215" t="s">
        <v>1632</v>
      </c>
      <c r="D1068" s="217">
        <v>1970</v>
      </c>
      <c r="E1068" s="217"/>
      <c r="F1068" s="226" t="s">
        <v>267</v>
      </c>
      <c r="G1068" s="217">
        <v>5</v>
      </c>
      <c r="H1068" s="217" t="s">
        <v>371</v>
      </c>
      <c r="I1068" s="218">
        <v>5849.4</v>
      </c>
      <c r="J1068" s="218">
        <v>4434.8999999999996</v>
      </c>
      <c r="K1068" s="218">
        <v>4190</v>
      </c>
      <c r="L1068" s="219">
        <v>242</v>
      </c>
      <c r="M1068" s="217" t="s">
        <v>265</v>
      </c>
      <c r="N1068" s="217" t="s">
        <v>269</v>
      </c>
      <c r="O1068" s="220" t="s">
        <v>1086</v>
      </c>
      <c r="P1068" s="190">
        <v>5986250</v>
      </c>
      <c r="Q1068" s="190">
        <v>0</v>
      </c>
      <c r="R1068" s="190">
        <v>0</v>
      </c>
      <c r="S1068" s="190">
        <f t="shared" si="125"/>
        <v>5986250</v>
      </c>
      <c r="T1068" s="190">
        <f t="shared" si="128"/>
        <v>1023.3955619379766</v>
      </c>
      <c r="U1068" s="190">
        <v>1330.5995828631997</v>
      </c>
      <c r="V1068" s="221">
        <f t="shared" si="124"/>
        <v>307.20402092522306</v>
      </c>
      <c r="W1068" s="221">
        <f t="shared" si="126"/>
        <v>1023.9261462714124</v>
      </c>
      <c r="X1068" s="221">
        <v>0</v>
      </c>
      <c r="Y1068" s="222">
        <v>0</v>
      </c>
      <c r="Z1068" s="222">
        <v>0</v>
      </c>
      <c r="AA1068" s="222">
        <v>0</v>
      </c>
      <c r="AB1068" s="222">
        <v>0</v>
      </c>
      <c r="AC1068" s="222">
        <v>0</v>
      </c>
      <c r="AD1068" s="222">
        <v>0</v>
      </c>
      <c r="AE1068" s="222">
        <v>960</v>
      </c>
      <c r="AF1068" s="221">
        <f t="shared" si="130"/>
        <v>1023.9261462714124</v>
      </c>
      <c r="AG1068" s="222">
        <v>0</v>
      </c>
      <c r="AH1068" s="221">
        <v>0</v>
      </c>
      <c r="AI1068" s="222">
        <v>0</v>
      </c>
      <c r="AJ1068" s="221">
        <v>0</v>
      </c>
      <c r="AK1068" s="222">
        <v>0</v>
      </c>
      <c r="AL1068" s="222">
        <v>0</v>
      </c>
      <c r="AM1068" s="222">
        <v>0</v>
      </c>
      <c r="AN1068" s="222"/>
      <c r="AO1068" s="222">
        <v>0</v>
      </c>
    </row>
    <row r="1069" spans="1:41" s="223" customFormat="1" ht="36" customHeight="1" x14ac:dyDescent="0.25">
      <c r="A1069" s="223">
        <v>1</v>
      </c>
      <c r="B1069" s="225">
        <f>SUBTOTAL(103,$A$1030:A1069)</f>
        <v>40</v>
      </c>
      <c r="C1069" s="215" t="s">
        <v>1615</v>
      </c>
      <c r="D1069" s="217">
        <v>1957</v>
      </c>
      <c r="E1069" s="217"/>
      <c r="F1069" s="226" t="s">
        <v>267</v>
      </c>
      <c r="G1069" s="217">
        <v>3</v>
      </c>
      <c r="H1069" s="217" t="s">
        <v>312</v>
      </c>
      <c r="I1069" s="218">
        <v>2341.1</v>
      </c>
      <c r="J1069" s="218">
        <v>1935.59</v>
      </c>
      <c r="K1069" s="218">
        <v>1467.6</v>
      </c>
      <c r="L1069" s="219">
        <v>56</v>
      </c>
      <c r="M1069" s="217" t="s">
        <v>265</v>
      </c>
      <c r="N1069" s="217" t="s">
        <v>269</v>
      </c>
      <c r="O1069" s="220" t="s">
        <v>1588</v>
      </c>
      <c r="P1069" s="190">
        <v>7471186.2199999997</v>
      </c>
      <c r="Q1069" s="190">
        <v>0</v>
      </c>
      <c r="R1069" s="190">
        <v>0</v>
      </c>
      <c r="S1069" s="190">
        <f t="shared" si="125"/>
        <v>7471186.2199999997</v>
      </c>
      <c r="T1069" s="190">
        <f t="shared" si="128"/>
        <v>3191.314433386015</v>
      </c>
      <c r="U1069" s="190">
        <v>4522.1162530434412</v>
      </c>
      <c r="V1069" s="221">
        <f t="shared" si="124"/>
        <v>1330.8018196574262</v>
      </c>
      <c r="W1069" s="221">
        <f t="shared" si="126"/>
        <v>1785.5152278843279</v>
      </c>
      <c r="X1069" s="221">
        <v>0</v>
      </c>
      <c r="Y1069" s="222">
        <v>0</v>
      </c>
      <c r="Z1069" s="222">
        <v>0</v>
      </c>
      <c r="AA1069" s="222">
        <v>0</v>
      </c>
      <c r="AB1069" s="222">
        <v>0</v>
      </c>
      <c r="AC1069" s="222">
        <v>0</v>
      </c>
      <c r="AD1069" s="222">
        <v>0</v>
      </c>
      <c r="AE1069" s="222">
        <v>670</v>
      </c>
      <c r="AF1069" s="221">
        <f t="shared" si="130"/>
        <v>1785.5152278843279</v>
      </c>
      <c r="AG1069" s="222">
        <v>0</v>
      </c>
      <c r="AH1069" s="221">
        <v>0</v>
      </c>
      <c r="AI1069" s="222">
        <v>0</v>
      </c>
      <c r="AJ1069" s="221">
        <v>0</v>
      </c>
      <c r="AK1069" s="222">
        <v>0</v>
      </c>
      <c r="AL1069" s="222">
        <v>0</v>
      </c>
      <c r="AM1069" s="222">
        <v>0</v>
      </c>
      <c r="AN1069" s="222"/>
      <c r="AO1069" s="222">
        <v>0</v>
      </c>
    </row>
    <row r="1070" spans="1:41" s="223" customFormat="1" ht="36" customHeight="1" x14ac:dyDescent="0.25">
      <c r="A1070" s="223">
        <v>1</v>
      </c>
      <c r="B1070" s="225">
        <f>SUBTOTAL(103,$A$1030:A1070)</f>
        <v>41</v>
      </c>
      <c r="C1070" s="215" t="s">
        <v>604</v>
      </c>
      <c r="D1070" s="217">
        <v>1981</v>
      </c>
      <c r="E1070" s="217"/>
      <c r="F1070" s="226" t="s">
        <v>267</v>
      </c>
      <c r="G1070" s="217">
        <v>2</v>
      </c>
      <c r="H1070" s="217" t="s">
        <v>312</v>
      </c>
      <c r="I1070" s="218">
        <v>940.2</v>
      </c>
      <c r="J1070" s="218">
        <v>850.3</v>
      </c>
      <c r="K1070" s="218">
        <v>850.3</v>
      </c>
      <c r="L1070" s="219">
        <v>36</v>
      </c>
      <c r="M1070" s="217" t="s">
        <v>265</v>
      </c>
      <c r="N1070" s="217" t="s">
        <v>269</v>
      </c>
      <c r="O1070" s="220" t="s">
        <v>1633</v>
      </c>
      <c r="P1070" s="190">
        <v>3650462.6100000003</v>
      </c>
      <c r="Q1070" s="190">
        <v>0</v>
      </c>
      <c r="R1070" s="190">
        <v>0</v>
      </c>
      <c r="S1070" s="190">
        <f t="shared" si="125"/>
        <v>3650462.6100000003</v>
      </c>
      <c r="T1070" s="190">
        <f t="shared" si="128"/>
        <v>3882.6447670708362</v>
      </c>
      <c r="U1070" s="190">
        <v>5585.810441395447</v>
      </c>
      <c r="V1070" s="221">
        <f t="shared" si="124"/>
        <v>1703.1656743246108</v>
      </c>
      <c r="W1070" s="221">
        <f t="shared" si="126"/>
        <v>1559.3957136779406</v>
      </c>
      <c r="X1070" s="221">
        <v>0</v>
      </c>
      <c r="Y1070" s="222">
        <v>0</v>
      </c>
      <c r="Z1070" s="222">
        <v>0</v>
      </c>
      <c r="AA1070" s="222">
        <v>0</v>
      </c>
      <c r="AB1070" s="222">
        <v>0</v>
      </c>
      <c r="AC1070" s="222">
        <v>0</v>
      </c>
      <c r="AD1070" s="222">
        <v>0</v>
      </c>
      <c r="AE1070" s="222">
        <v>235</v>
      </c>
      <c r="AF1070" s="221">
        <f t="shared" si="130"/>
        <v>1559.3957136779406</v>
      </c>
      <c r="AG1070" s="222">
        <v>0</v>
      </c>
      <c r="AH1070" s="221">
        <v>0</v>
      </c>
      <c r="AI1070" s="222">
        <v>0</v>
      </c>
      <c r="AJ1070" s="221">
        <v>0</v>
      </c>
      <c r="AK1070" s="222">
        <v>0</v>
      </c>
      <c r="AL1070" s="222">
        <v>0</v>
      </c>
      <c r="AM1070" s="222">
        <v>0</v>
      </c>
      <c r="AN1070" s="222"/>
      <c r="AO1070" s="222">
        <v>0</v>
      </c>
    </row>
    <row r="1071" spans="1:41" s="223" customFormat="1" ht="36" customHeight="1" x14ac:dyDescent="0.25">
      <c r="A1071" s="223">
        <v>1</v>
      </c>
      <c r="B1071" s="225">
        <f>SUBTOTAL(103,$A$1030:A1071)</f>
        <v>42</v>
      </c>
      <c r="C1071" s="215" t="s">
        <v>605</v>
      </c>
      <c r="D1071" s="217">
        <v>1994</v>
      </c>
      <c r="E1071" s="217"/>
      <c r="F1071" s="226" t="s">
        <v>267</v>
      </c>
      <c r="G1071" s="217">
        <v>3</v>
      </c>
      <c r="H1071" s="217" t="s">
        <v>303</v>
      </c>
      <c r="I1071" s="218">
        <v>1489.9</v>
      </c>
      <c r="J1071" s="218">
        <v>1481.9</v>
      </c>
      <c r="K1071" s="218">
        <v>1353.2</v>
      </c>
      <c r="L1071" s="219">
        <v>66</v>
      </c>
      <c r="M1071" s="217" t="s">
        <v>265</v>
      </c>
      <c r="N1071" s="217" t="s">
        <v>269</v>
      </c>
      <c r="O1071" s="220" t="s">
        <v>1633</v>
      </c>
      <c r="P1071" s="190">
        <v>4365711.66</v>
      </c>
      <c r="Q1071" s="190">
        <v>0</v>
      </c>
      <c r="R1071" s="190">
        <v>0</v>
      </c>
      <c r="S1071" s="190">
        <f t="shared" si="125"/>
        <v>4365711.66</v>
      </c>
      <c r="T1071" s="190">
        <f t="shared" si="128"/>
        <v>2930.2044835223842</v>
      </c>
      <c r="U1071" s="190">
        <v>4258.6801127592453</v>
      </c>
      <c r="V1071" s="221">
        <f t="shared" si="124"/>
        <v>1328.4756292368611</v>
      </c>
      <c r="W1071" s="221">
        <f t="shared" si="126"/>
        <v>3203.4137526008453</v>
      </c>
      <c r="X1071" s="221">
        <v>0</v>
      </c>
      <c r="Y1071" s="222">
        <v>0</v>
      </c>
      <c r="Z1071" s="222">
        <v>0</v>
      </c>
      <c r="AA1071" s="222">
        <v>0</v>
      </c>
      <c r="AB1071" s="222">
        <v>0</v>
      </c>
      <c r="AC1071" s="222">
        <v>0</v>
      </c>
      <c r="AD1071" s="222">
        <v>0</v>
      </c>
      <c r="AE1071" s="222">
        <v>765</v>
      </c>
      <c r="AF1071" s="221">
        <f t="shared" si="130"/>
        <v>3203.4137526008453</v>
      </c>
      <c r="AG1071" s="222">
        <v>0</v>
      </c>
      <c r="AH1071" s="221">
        <v>0</v>
      </c>
      <c r="AI1071" s="222">
        <v>0</v>
      </c>
      <c r="AJ1071" s="221">
        <v>0</v>
      </c>
      <c r="AK1071" s="222">
        <v>0</v>
      </c>
      <c r="AL1071" s="222">
        <v>0</v>
      </c>
      <c r="AM1071" s="222">
        <v>0</v>
      </c>
      <c r="AN1071" s="222"/>
      <c r="AO1071" s="222">
        <v>0</v>
      </c>
    </row>
    <row r="1072" spans="1:41" s="223" customFormat="1" ht="36" customHeight="1" x14ac:dyDescent="0.25">
      <c r="A1072" s="223">
        <v>1</v>
      </c>
      <c r="B1072" s="225">
        <f>SUBTOTAL(103,$A$1030:A1072)</f>
        <v>43</v>
      </c>
      <c r="C1072" s="215" t="s">
        <v>606</v>
      </c>
      <c r="D1072" s="217" t="s">
        <v>370</v>
      </c>
      <c r="E1072" s="217"/>
      <c r="F1072" s="226" t="s">
        <v>311</v>
      </c>
      <c r="G1072" s="217" t="s">
        <v>351</v>
      </c>
      <c r="H1072" s="217" t="s">
        <v>351</v>
      </c>
      <c r="I1072" s="218">
        <v>5067.1000000000004</v>
      </c>
      <c r="J1072" s="218">
        <v>3815.6</v>
      </c>
      <c r="K1072" s="218">
        <v>3768.9</v>
      </c>
      <c r="L1072" s="219">
        <v>163</v>
      </c>
      <c r="M1072" s="217" t="s">
        <v>265</v>
      </c>
      <c r="N1072" s="217" t="s">
        <v>269</v>
      </c>
      <c r="O1072" s="220" t="s">
        <v>1319</v>
      </c>
      <c r="P1072" s="190">
        <v>4560834.87</v>
      </c>
      <c r="Q1072" s="190">
        <v>0</v>
      </c>
      <c r="R1072" s="190">
        <v>0</v>
      </c>
      <c r="S1072" s="190">
        <f t="shared" si="125"/>
        <v>4560834.87</v>
      </c>
      <c r="T1072" s="190">
        <f t="shared" si="128"/>
        <v>900.08779578062399</v>
      </c>
      <c r="U1072" s="190">
        <v>1237.7485889364725</v>
      </c>
      <c r="V1072" s="221">
        <f t="shared" si="124"/>
        <v>337.66079315584852</v>
      </c>
      <c r="W1072" s="221">
        <f t="shared" si="126"/>
        <v>1472.5851788991729</v>
      </c>
      <c r="X1072" s="221">
        <v>0</v>
      </c>
      <c r="Y1072" s="222">
        <v>0</v>
      </c>
      <c r="Z1072" s="222">
        <v>0</v>
      </c>
      <c r="AA1072" s="222">
        <v>0</v>
      </c>
      <c r="AB1072" s="222">
        <v>0</v>
      </c>
      <c r="AC1072" s="222">
        <v>0</v>
      </c>
      <c r="AD1072" s="222">
        <v>0</v>
      </c>
      <c r="AE1072" s="222">
        <v>1196</v>
      </c>
      <c r="AF1072" s="221">
        <f t="shared" si="130"/>
        <v>1472.5851788991729</v>
      </c>
      <c r="AG1072" s="222">
        <v>0</v>
      </c>
      <c r="AH1072" s="221">
        <v>0</v>
      </c>
      <c r="AI1072" s="222">
        <v>0</v>
      </c>
      <c r="AJ1072" s="221">
        <v>0</v>
      </c>
      <c r="AK1072" s="222">
        <v>0</v>
      </c>
      <c r="AL1072" s="222">
        <v>0</v>
      </c>
      <c r="AM1072" s="222">
        <v>0</v>
      </c>
      <c r="AN1072" s="222"/>
      <c r="AO1072" s="222">
        <v>0</v>
      </c>
    </row>
    <row r="1073" spans="1:41" s="223" customFormat="1" ht="36" customHeight="1" x14ac:dyDescent="0.25">
      <c r="A1073" s="223">
        <v>1</v>
      </c>
      <c r="B1073" s="225">
        <f>SUBTOTAL(103,$A$1030:A1073)</f>
        <v>44</v>
      </c>
      <c r="C1073" s="215" t="s">
        <v>1066</v>
      </c>
      <c r="D1073" s="217">
        <v>1994</v>
      </c>
      <c r="E1073" s="217"/>
      <c r="F1073" s="226" t="s">
        <v>267</v>
      </c>
      <c r="G1073" s="217">
        <v>9</v>
      </c>
      <c r="H1073" s="217" t="s">
        <v>371</v>
      </c>
      <c r="I1073" s="218">
        <v>11615.7</v>
      </c>
      <c r="J1073" s="218">
        <v>9319.2999999999993</v>
      </c>
      <c r="K1073" s="218">
        <v>5667.8</v>
      </c>
      <c r="L1073" s="219">
        <v>441</v>
      </c>
      <c r="M1073" s="217" t="s">
        <v>265</v>
      </c>
      <c r="N1073" s="217" t="s">
        <v>269</v>
      </c>
      <c r="O1073" s="220" t="s">
        <v>1073</v>
      </c>
      <c r="P1073" s="190">
        <v>6400000</v>
      </c>
      <c r="Q1073" s="190">
        <v>0</v>
      </c>
      <c r="R1073" s="190">
        <v>0</v>
      </c>
      <c r="S1073" s="190">
        <f t="shared" si="125"/>
        <v>6400000</v>
      </c>
      <c r="T1073" s="190">
        <f t="shared" si="128"/>
        <v>550.97841714231595</v>
      </c>
      <c r="U1073" s="190">
        <v>634.77879077455509</v>
      </c>
      <c r="V1073" s="221">
        <f t="shared" si="124"/>
        <v>83.800373632239143</v>
      </c>
      <c r="W1073" s="221">
        <f t="shared" si="126"/>
        <v>511.32883252838832</v>
      </c>
      <c r="X1073" s="221">
        <v>0</v>
      </c>
      <c r="Y1073" s="222">
        <v>0</v>
      </c>
      <c r="Z1073" s="222">
        <v>0</v>
      </c>
      <c r="AA1073" s="222">
        <v>0</v>
      </c>
      <c r="AB1073" s="222">
        <v>0</v>
      </c>
      <c r="AC1073" s="222">
        <v>0</v>
      </c>
      <c r="AD1073" s="222">
        <v>0</v>
      </c>
      <c r="AE1073" s="222">
        <v>952</v>
      </c>
      <c r="AF1073" s="221">
        <f t="shared" si="130"/>
        <v>511.32883252838832</v>
      </c>
      <c r="AG1073" s="222">
        <v>0</v>
      </c>
      <c r="AH1073" s="221">
        <v>0</v>
      </c>
      <c r="AI1073" s="222">
        <v>0</v>
      </c>
      <c r="AJ1073" s="221">
        <v>0</v>
      </c>
      <c r="AK1073" s="222">
        <v>0</v>
      </c>
      <c r="AL1073" s="222">
        <v>0</v>
      </c>
      <c r="AM1073" s="222">
        <v>0</v>
      </c>
      <c r="AN1073" s="222"/>
      <c r="AO1073" s="222">
        <v>0</v>
      </c>
    </row>
    <row r="1074" spans="1:41" s="223" customFormat="1" ht="36" customHeight="1" x14ac:dyDescent="0.25">
      <c r="A1074" s="223">
        <v>1</v>
      </c>
      <c r="B1074" s="225">
        <f>SUBTOTAL(103,$A$1030:A1074)</f>
        <v>45</v>
      </c>
      <c r="C1074" s="215" t="s">
        <v>1683</v>
      </c>
      <c r="D1074" s="217">
        <v>1969</v>
      </c>
      <c r="E1074" s="217"/>
      <c r="F1074" s="226" t="s">
        <v>267</v>
      </c>
      <c r="G1074" s="217">
        <v>5</v>
      </c>
      <c r="H1074" s="217" t="s">
        <v>308</v>
      </c>
      <c r="I1074" s="218">
        <v>3567.4</v>
      </c>
      <c r="J1074" s="218">
        <v>3567.4</v>
      </c>
      <c r="K1074" s="218">
        <v>3567.4</v>
      </c>
      <c r="L1074" s="219">
        <v>111</v>
      </c>
      <c r="M1074" s="217" t="s">
        <v>265</v>
      </c>
      <c r="N1074" s="217" t="s">
        <v>269</v>
      </c>
      <c r="O1074" s="220" t="s">
        <v>1689</v>
      </c>
      <c r="P1074" s="190">
        <v>5164136.5</v>
      </c>
      <c r="Q1074" s="190">
        <v>0</v>
      </c>
      <c r="R1074" s="190">
        <v>0</v>
      </c>
      <c r="S1074" s="190">
        <f t="shared" si="125"/>
        <v>5164136.5</v>
      </c>
      <c r="T1074" s="190">
        <f t="shared" si="128"/>
        <v>1447.5911027639177</v>
      </c>
      <c r="U1074" s="190">
        <v>2251.0797219263327</v>
      </c>
      <c r="V1074" s="221">
        <f t="shared" si="124"/>
        <v>803.48861916241503</v>
      </c>
      <c r="W1074" s="221">
        <f t="shared" si="126"/>
        <v>2845.0576857094798</v>
      </c>
      <c r="X1074" s="221">
        <v>0</v>
      </c>
      <c r="Y1074" s="222">
        <v>0</v>
      </c>
      <c r="Z1074" s="222">
        <v>0</v>
      </c>
      <c r="AA1074" s="222">
        <v>0</v>
      </c>
      <c r="AB1074" s="222">
        <v>0</v>
      </c>
      <c r="AC1074" s="222">
        <v>0</v>
      </c>
      <c r="AD1074" s="222">
        <v>0</v>
      </c>
      <c r="AE1074" s="222">
        <v>1626.8</v>
      </c>
      <c r="AF1074" s="221">
        <f t="shared" si="130"/>
        <v>2845.0576857094798</v>
      </c>
      <c r="AG1074" s="222">
        <v>0</v>
      </c>
      <c r="AH1074" s="221">
        <v>0</v>
      </c>
      <c r="AI1074" s="222">
        <v>0</v>
      </c>
      <c r="AJ1074" s="221">
        <v>0</v>
      </c>
      <c r="AK1074" s="222">
        <v>0</v>
      </c>
      <c r="AL1074" s="222">
        <v>0</v>
      </c>
      <c r="AM1074" s="222">
        <v>0</v>
      </c>
      <c r="AN1074" s="222"/>
      <c r="AO1074" s="222">
        <v>0</v>
      </c>
    </row>
    <row r="1075" spans="1:41" s="223" customFormat="1" ht="36" customHeight="1" x14ac:dyDescent="0.25">
      <c r="A1075" s="223">
        <v>1</v>
      </c>
      <c r="B1075" s="225">
        <f>SUBTOTAL(103,$A$1030:A1075)</f>
        <v>46</v>
      </c>
      <c r="C1075" s="215" t="s">
        <v>1684</v>
      </c>
      <c r="D1075" s="217">
        <v>1967</v>
      </c>
      <c r="E1075" s="217"/>
      <c r="F1075" s="226" t="s">
        <v>318</v>
      </c>
      <c r="G1075" s="217">
        <v>5</v>
      </c>
      <c r="H1075" s="217" t="s">
        <v>351</v>
      </c>
      <c r="I1075" s="218">
        <v>4882.7</v>
      </c>
      <c r="J1075" s="218">
        <v>4509.3</v>
      </c>
      <c r="K1075" s="218">
        <v>4452.8</v>
      </c>
      <c r="L1075" s="219">
        <v>231</v>
      </c>
      <c r="M1075" s="217" t="s">
        <v>265</v>
      </c>
      <c r="N1075" s="217" t="s">
        <v>269</v>
      </c>
      <c r="O1075" s="220" t="s">
        <v>1690</v>
      </c>
      <c r="P1075" s="190">
        <v>4900259.8</v>
      </c>
      <c r="Q1075" s="190">
        <v>0</v>
      </c>
      <c r="R1075" s="190">
        <v>0</v>
      </c>
      <c r="S1075" s="190">
        <f t="shared" si="125"/>
        <v>4900259.8</v>
      </c>
      <c r="T1075" s="190">
        <f t="shared" si="128"/>
        <v>1003.5963298994409</v>
      </c>
      <c r="U1075" s="190">
        <v>1599.3692014664018</v>
      </c>
      <c r="V1075" s="221">
        <f t="shared" si="124"/>
        <v>595.77287156696093</v>
      </c>
      <c r="W1075" s="221">
        <f t="shared" si="126"/>
        <v>1031.1636510742007</v>
      </c>
      <c r="X1075" s="221">
        <v>0</v>
      </c>
      <c r="Y1075" s="222">
        <v>0</v>
      </c>
      <c r="Z1075" s="222">
        <v>0</v>
      </c>
      <c r="AA1075" s="222">
        <v>0</v>
      </c>
      <c r="AB1075" s="222">
        <v>0</v>
      </c>
      <c r="AC1075" s="222">
        <v>0</v>
      </c>
      <c r="AD1075" s="222">
        <v>0</v>
      </c>
      <c r="AE1075" s="222">
        <v>807.01</v>
      </c>
      <c r="AF1075" s="221">
        <f t="shared" si="130"/>
        <v>1031.1636510742007</v>
      </c>
      <c r="AG1075" s="222">
        <v>0</v>
      </c>
      <c r="AH1075" s="221">
        <v>0</v>
      </c>
      <c r="AI1075" s="222">
        <v>0</v>
      </c>
      <c r="AJ1075" s="221">
        <v>0</v>
      </c>
      <c r="AK1075" s="222">
        <v>0</v>
      </c>
      <c r="AL1075" s="222">
        <v>0</v>
      </c>
      <c r="AM1075" s="222">
        <v>0</v>
      </c>
      <c r="AN1075" s="222"/>
      <c r="AO1075" s="222">
        <v>0</v>
      </c>
    </row>
    <row r="1076" spans="1:41" s="223" customFormat="1" ht="36" customHeight="1" x14ac:dyDescent="0.25">
      <c r="A1076" s="223">
        <v>1</v>
      </c>
      <c r="B1076" s="225">
        <f>SUBTOTAL(103,$A$1030:A1076)</f>
        <v>47</v>
      </c>
      <c r="C1076" s="215" t="s">
        <v>541</v>
      </c>
      <c r="D1076" s="217" t="s">
        <v>313</v>
      </c>
      <c r="E1076" s="217"/>
      <c r="F1076" s="226" t="s">
        <v>311</v>
      </c>
      <c r="G1076" s="217" t="s">
        <v>357</v>
      </c>
      <c r="H1076" s="217" t="s">
        <v>303</v>
      </c>
      <c r="I1076" s="218">
        <v>4990.2</v>
      </c>
      <c r="J1076" s="218">
        <v>3973.4</v>
      </c>
      <c r="K1076" s="218">
        <v>3799.4</v>
      </c>
      <c r="L1076" s="219">
        <v>190</v>
      </c>
      <c r="M1076" s="217" t="s">
        <v>265</v>
      </c>
      <c r="N1076" s="217" t="s">
        <v>269</v>
      </c>
      <c r="O1076" s="220" t="s">
        <v>1319</v>
      </c>
      <c r="P1076" s="190">
        <v>3229425.65</v>
      </c>
      <c r="Q1076" s="190">
        <v>0</v>
      </c>
      <c r="R1076" s="190">
        <v>0</v>
      </c>
      <c r="S1076" s="190">
        <f t="shared" si="125"/>
        <v>3229425.65</v>
      </c>
      <c r="T1076" s="190">
        <f t="shared" si="128"/>
        <v>647.15355095988139</v>
      </c>
      <c r="U1076" s="190">
        <v>812.65109614845096</v>
      </c>
      <c r="V1076" s="221">
        <f t="shared" si="124"/>
        <v>165.49754518856957</v>
      </c>
      <c r="W1076" s="221">
        <f t="shared" si="126"/>
        <v>1218.9766442226764</v>
      </c>
      <c r="X1076" s="221">
        <v>0</v>
      </c>
      <c r="Y1076" s="222">
        <v>0</v>
      </c>
      <c r="Z1076" s="222">
        <v>0</v>
      </c>
      <c r="AA1076" s="222">
        <v>0</v>
      </c>
      <c r="AB1076" s="222">
        <v>0</v>
      </c>
      <c r="AC1076" s="222">
        <v>0</v>
      </c>
      <c r="AD1076" s="222">
        <v>0</v>
      </c>
      <c r="AE1076" s="222">
        <v>975</v>
      </c>
      <c r="AF1076" s="221">
        <f t="shared" si="130"/>
        <v>1218.9766442226764</v>
      </c>
      <c r="AG1076" s="222">
        <v>0</v>
      </c>
      <c r="AH1076" s="221">
        <v>0</v>
      </c>
      <c r="AI1076" s="222">
        <v>0</v>
      </c>
      <c r="AJ1076" s="221">
        <v>0</v>
      </c>
      <c r="AK1076" s="222">
        <v>0</v>
      </c>
      <c r="AL1076" s="222">
        <v>0</v>
      </c>
      <c r="AM1076" s="222">
        <v>0</v>
      </c>
      <c r="AN1076" s="222"/>
      <c r="AO1076" s="222">
        <v>0</v>
      </c>
    </row>
    <row r="1077" spans="1:41" s="223" customFormat="1" ht="36" customHeight="1" x14ac:dyDescent="0.25">
      <c r="A1077" s="223">
        <v>1</v>
      </c>
      <c r="B1077" s="225">
        <f>SUBTOTAL(103,$A$1030:A1077)</f>
        <v>48</v>
      </c>
      <c r="C1077" s="215" t="s">
        <v>544</v>
      </c>
      <c r="D1077" s="217" t="s">
        <v>315</v>
      </c>
      <c r="E1077" s="217"/>
      <c r="F1077" s="226" t="s">
        <v>267</v>
      </c>
      <c r="G1077" s="217">
        <v>5</v>
      </c>
      <c r="H1077" s="217" t="s">
        <v>308</v>
      </c>
      <c r="I1077" s="218">
        <v>3436</v>
      </c>
      <c r="J1077" s="218">
        <v>3129.7</v>
      </c>
      <c r="K1077" s="218">
        <v>2775.3</v>
      </c>
      <c r="L1077" s="219">
        <v>145</v>
      </c>
      <c r="M1077" s="217" t="s">
        <v>265</v>
      </c>
      <c r="N1077" s="217" t="s">
        <v>269</v>
      </c>
      <c r="O1077" s="220" t="s">
        <v>1319</v>
      </c>
      <c r="P1077" s="190">
        <v>4517275.3499999996</v>
      </c>
      <c r="Q1077" s="190">
        <v>0</v>
      </c>
      <c r="R1077" s="190">
        <v>0</v>
      </c>
      <c r="S1077" s="190">
        <f t="shared" si="125"/>
        <v>4517275.3499999996</v>
      </c>
      <c r="T1077" s="190">
        <f t="shared" si="128"/>
        <v>1314.6901484284051</v>
      </c>
      <c r="U1077" s="190">
        <v>1856.0960419091966</v>
      </c>
      <c r="V1077" s="221">
        <f t="shared" si="124"/>
        <v>541.40589348079152</v>
      </c>
      <c r="W1077" s="221">
        <f t="shared" si="126"/>
        <v>1400.3956162689171</v>
      </c>
      <c r="X1077" s="221">
        <v>0</v>
      </c>
      <c r="Y1077" s="222">
        <v>0</v>
      </c>
      <c r="Z1077" s="222">
        <v>0</v>
      </c>
      <c r="AA1077" s="222">
        <v>0</v>
      </c>
      <c r="AB1077" s="222">
        <v>0</v>
      </c>
      <c r="AC1077" s="222">
        <v>0</v>
      </c>
      <c r="AD1077" s="222">
        <v>0</v>
      </c>
      <c r="AE1077" s="222">
        <v>771.25</v>
      </c>
      <c r="AF1077" s="221">
        <f t="shared" si="130"/>
        <v>1400.3956162689171</v>
      </c>
      <c r="AG1077" s="222">
        <v>0</v>
      </c>
      <c r="AH1077" s="221">
        <v>0</v>
      </c>
      <c r="AI1077" s="222">
        <v>0</v>
      </c>
      <c r="AJ1077" s="221">
        <v>0</v>
      </c>
      <c r="AK1077" s="222">
        <v>0</v>
      </c>
      <c r="AL1077" s="222">
        <v>0</v>
      </c>
      <c r="AM1077" s="222">
        <v>0</v>
      </c>
      <c r="AN1077" s="222"/>
      <c r="AO1077" s="222">
        <v>0</v>
      </c>
    </row>
    <row r="1078" spans="1:41" s="223" customFormat="1" ht="36" customHeight="1" x14ac:dyDescent="0.25">
      <c r="A1078" s="223">
        <v>1</v>
      </c>
      <c r="B1078" s="225">
        <f>SUBTOTAL(103,$A$1030:A1078)</f>
        <v>49</v>
      </c>
      <c r="C1078" s="215" t="s">
        <v>528</v>
      </c>
      <c r="D1078" s="217" t="s">
        <v>350</v>
      </c>
      <c r="E1078" s="217"/>
      <c r="F1078" s="226" t="s">
        <v>267</v>
      </c>
      <c r="G1078" s="217" t="s">
        <v>351</v>
      </c>
      <c r="H1078" s="217" t="s">
        <v>308</v>
      </c>
      <c r="I1078" s="218">
        <v>3486.3</v>
      </c>
      <c r="J1078" s="218">
        <v>3486.3</v>
      </c>
      <c r="K1078" s="218">
        <v>2123</v>
      </c>
      <c r="L1078" s="219">
        <v>136</v>
      </c>
      <c r="M1078" s="217" t="s">
        <v>265</v>
      </c>
      <c r="N1078" s="217" t="s">
        <v>269</v>
      </c>
      <c r="O1078" s="220" t="s">
        <v>1071</v>
      </c>
      <c r="P1078" s="190">
        <v>4625631.57</v>
      </c>
      <c r="Q1078" s="190">
        <v>0</v>
      </c>
      <c r="R1078" s="190">
        <v>0</v>
      </c>
      <c r="S1078" s="190">
        <f t="shared" si="125"/>
        <v>4625631.57</v>
      </c>
      <c r="T1078" s="190">
        <f t="shared" si="128"/>
        <v>1326.8025040874279</v>
      </c>
      <c r="U1078" s="190">
        <v>1754.6504890571666</v>
      </c>
      <c r="V1078" s="221">
        <f t="shared" si="124"/>
        <v>427.84798496973872</v>
      </c>
      <c r="W1078" s="221">
        <f t="shared" si="126"/>
        <v>1724.679319765941</v>
      </c>
      <c r="X1078" s="221">
        <v>0</v>
      </c>
      <c r="Y1078" s="222">
        <v>0</v>
      </c>
      <c r="Z1078" s="222">
        <v>0</v>
      </c>
      <c r="AA1078" s="222">
        <v>0</v>
      </c>
      <c r="AB1078" s="222">
        <v>0</v>
      </c>
      <c r="AC1078" s="222">
        <v>0</v>
      </c>
      <c r="AD1078" s="222">
        <v>0</v>
      </c>
      <c r="AE1078" s="222">
        <v>963.75</v>
      </c>
      <c r="AF1078" s="221">
        <f t="shared" si="130"/>
        <v>1724.679319765941</v>
      </c>
      <c r="AG1078" s="222">
        <v>0</v>
      </c>
      <c r="AH1078" s="221">
        <v>0</v>
      </c>
      <c r="AI1078" s="222">
        <v>0</v>
      </c>
      <c r="AJ1078" s="221">
        <v>0</v>
      </c>
      <c r="AK1078" s="222">
        <v>0</v>
      </c>
      <c r="AL1078" s="222">
        <v>0</v>
      </c>
      <c r="AM1078" s="222">
        <v>0</v>
      </c>
      <c r="AN1078" s="222"/>
      <c r="AO1078" s="222">
        <v>0</v>
      </c>
    </row>
    <row r="1079" spans="1:41" s="223" customFormat="1" ht="36" customHeight="1" x14ac:dyDescent="0.25">
      <c r="A1079" s="223">
        <v>1</v>
      </c>
      <c r="B1079" s="225">
        <f>SUBTOTAL(103,$A$1030:A1079)</f>
        <v>50</v>
      </c>
      <c r="C1079" s="215" t="s">
        <v>534</v>
      </c>
      <c r="D1079" s="217" t="s">
        <v>305</v>
      </c>
      <c r="E1079" s="217"/>
      <c r="F1079" s="226" t="s">
        <v>311</v>
      </c>
      <c r="G1079" s="217" t="s">
        <v>351</v>
      </c>
      <c r="H1079" s="217" t="s">
        <v>351</v>
      </c>
      <c r="I1079" s="218">
        <v>3875.8</v>
      </c>
      <c r="J1079" s="218">
        <v>3540</v>
      </c>
      <c r="K1079" s="218">
        <v>2482.6999999999998</v>
      </c>
      <c r="L1079" s="219">
        <v>168</v>
      </c>
      <c r="M1079" s="217" t="s">
        <v>265</v>
      </c>
      <c r="N1079" s="217" t="s">
        <v>269</v>
      </c>
      <c r="O1079" s="220" t="s">
        <v>1071</v>
      </c>
      <c r="P1079" s="190">
        <v>4642018.24</v>
      </c>
      <c r="Q1079" s="190">
        <v>0</v>
      </c>
      <c r="R1079" s="190">
        <v>0</v>
      </c>
      <c r="S1079" s="190">
        <f t="shared" si="125"/>
        <v>4642018.24</v>
      </c>
      <c r="T1079" s="190">
        <f t="shared" si="128"/>
        <v>1197.6929253315445</v>
      </c>
      <c r="U1079" s="190">
        <v>1645.4786108674336</v>
      </c>
      <c r="V1079" s="221">
        <f t="shared" si="124"/>
        <v>447.78568553588912</v>
      </c>
      <c r="W1079" s="221">
        <f t="shared" si="126"/>
        <v>634.14004850611479</v>
      </c>
      <c r="X1079" s="221">
        <v>0</v>
      </c>
      <c r="Y1079" s="222">
        <v>0</v>
      </c>
      <c r="Z1079" s="222">
        <v>0</v>
      </c>
      <c r="AA1079" s="222">
        <v>0</v>
      </c>
      <c r="AB1079" s="222">
        <v>0</v>
      </c>
      <c r="AC1079" s="222">
        <v>1</v>
      </c>
      <c r="AD1079" s="221">
        <f>2457800*AC1079/I1079</f>
        <v>634.14004850611479</v>
      </c>
      <c r="AE1079" s="222">
        <v>0</v>
      </c>
      <c r="AF1079" s="221">
        <v>0</v>
      </c>
      <c r="AG1079" s="222">
        <v>0</v>
      </c>
      <c r="AH1079" s="221">
        <v>0</v>
      </c>
      <c r="AI1079" s="222">
        <v>0</v>
      </c>
      <c r="AJ1079" s="221">
        <v>0</v>
      </c>
      <c r="AK1079" s="222">
        <v>0</v>
      </c>
      <c r="AL1079" s="222">
        <v>0</v>
      </c>
      <c r="AM1079" s="222">
        <v>0</v>
      </c>
      <c r="AN1079" s="222"/>
      <c r="AO1079" s="222">
        <v>0</v>
      </c>
    </row>
    <row r="1080" spans="1:41" s="223" customFormat="1" ht="36" customHeight="1" x14ac:dyDescent="0.25">
      <c r="A1080" s="223">
        <v>1</v>
      </c>
      <c r="B1080" s="225">
        <f>SUBTOTAL(103,$A$1030:A1080)</f>
        <v>51</v>
      </c>
      <c r="C1080" s="215" t="s">
        <v>552</v>
      </c>
      <c r="D1080" s="217" t="s">
        <v>361</v>
      </c>
      <c r="E1080" s="217"/>
      <c r="F1080" s="226" t="s">
        <v>267</v>
      </c>
      <c r="G1080" s="217" t="s">
        <v>351</v>
      </c>
      <c r="H1080" s="217" t="s">
        <v>312</v>
      </c>
      <c r="I1080" s="218">
        <v>2747.2</v>
      </c>
      <c r="J1080" s="218">
        <v>2475.6</v>
      </c>
      <c r="K1080" s="218">
        <v>2231</v>
      </c>
      <c r="L1080" s="219">
        <v>146</v>
      </c>
      <c r="M1080" s="217" t="s">
        <v>265</v>
      </c>
      <c r="N1080" s="217" t="s">
        <v>269</v>
      </c>
      <c r="O1080" s="220" t="s">
        <v>1072</v>
      </c>
      <c r="P1080" s="190">
        <v>4412836.3</v>
      </c>
      <c r="Q1080" s="190">
        <v>0</v>
      </c>
      <c r="R1080" s="190">
        <v>0</v>
      </c>
      <c r="S1080" s="190">
        <f t="shared" si="125"/>
        <v>4412836.3</v>
      </c>
      <c r="T1080" s="190">
        <f t="shared" si="128"/>
        <v>1606.3032542224812</v>
      </c>
      <c r="U1080" s="190">
        <v>2125.5675633372161</v>
      </c>
      <c r="V1080" s="221">
        <f t="shared" si="124"/>
        <v>519.26430911473494</v>
      </c>
      <c r="W1080" s="221">
        <f t="shared" si="126"/>
        <v>2683.9691322073386</v>
      </c>
      <c r="X1080" s="221">
        <v>0</v>
      </c>
      <c r="Y1080" s="222">
        <v>0</v>
      </c>
      <c r="Z1080" s="222">
        <v>0</v>
      </c>
      <c r="AA1080" s="222">
        <v>0</v>
      </c>
      <c r="AB1080" s="222">
        <v>0</v>
      </c>
      <c r="AC1080" s="222">
        <v>3</v>
      </c>
      <c r="AD1080" s="221">
        <f>2457800*AC1080/I1080</f>
        <v>2683.9691322073386</v>
      </c>
      <c r="AE1080" s="222">
        <v>0</v>
      </c>
      <c r="AF1080" s="221">
        <v>0</v>
      </c>
      <c r="AG1080" s="222">
        <v>0</v>
      </c>
      <c r="AH1080" s="221">
        <v>0</v>
      </c>
      <c r="AI1080" s="222">
        <v>0</v>
      </c>
      <c r="AJ1080" s="221">
        <v>0</v>
      </c>
      <c r="AK1080" s="222">
        <v>0</v>
      </c>
      <c r="AL1080" s="222">
        <v>0</v>
      </c>
      <c r="AM1080" s="222">
        <v>0</v>
      </c>
      <c r="AN1080" s="222"/>
      <c r="AO1080" s="222">
        <v>0</v>
      </c>
    </row>
    <row r="1081" spans="1:41" s="223" customFormat="1" ht="36" customHeight="1" x14ac:dyDescent="0.25">
      <c r="A1081" s="223">
        <v>1</v>
      </c>
      <c r="B1081" s="225">
        <f>SUBTOTAL(103,$A$1030:A1081)</f>
        <v>52</v>
      </c>
      <c r="C1081" s="215" t="s">
        <v>485</v>
      </c>
      <c r="D1081" s="217">
        <v>1969</v>
      </c>
      <c r="E1081" s="217"/>
      <c r="F1081" s="226" t="s">
        <v>267</v>
      </c>
      <c r="G1081" s="217">
        <v>5</v>
      </c>
      <c r="H1081" s="217" t="s">
        <v>308</v>
      </c>
      <c r="I1081" s="218">
        <v>3463.9</v>
      </c>
      <c r="J1081" s="218">
        <v>3172.1</v>
      </c>
      <c r="K1081" s="218">
        <v>2927.7</v>
      </c>
      <c r="L1081" s="219">
        <v>132</v>
      </c>
      <c r="M1081" s="217" t="s">
        <v>265</v>
      </c>
      <c r="N1081" s="217" t="s">
        <v>269</v>
      </c>
      <c r="O1081" s="220" t="s">
        <v>1086</v>
      </c>
      <c r="P1081" s="190">
        <v>4387100</v>
      </c>
      <c r="Q1081" s="190">
        <v>0</v>
      </c>
      <c r="R1081" s="190">
        <v>0</v>
      </c>
      <c r="S1081" s="190">
        <f t="shared" si="125"/>
        <v>4387100</v>
      </c>
      <c r="T1081" s="190">
        <f t="shared" si="128"/>
        <v>1266.5203960853373</v>
      </c>
      <c r="U1081" s="190">
        <v>2047.0538756892518</v>
      </c>
      <c r="V1081" s="221">
        <f t="shared" si="124"/>
        <v>780.53347960391443</v>
      </c>
      <c r="W1081" s="221">
        <f t="shared" si="126"/>
        <v>2222.5857963567078</v>
      </c>
      <c r="X1081" s="221">
        <v>0</v>
      </c>
      <c r="Y1081" s="222">
        <v>0</v>
      </c>
      <c r="Z1081" s="222">
        <v>0</v>
      </c>
      <c r="AA1081" s="222">
        <v>0</v>
      </c>
      <c r="AB1081" s="222">
        <v>0</v>
      </c>
      <c r="AC1081" s="222">
        <v>0</v>
      </c>
      <c r="AD1081" s="222">
        <v>0</v>
      </c>
      <c r="AE1081" s="222">
        <v>1234</v>
      </c>
      <c r="AF1081" s="221">
        <f t="shared" ref="AF1081:AF1087" si="131">6238.91*AE1081/I1081</f>
        <v>2222.5857963567078</v>
      </c>
      <c r="AG1081" s="222">
        <v>0</v>
      </c>
      <c r="AH1081" s="221">
        <v>0</v>
      </c>
      <c r="AI1081" s="222">
        <v>0</v>
      </c>
      <c r="AJ1081" s="221">
        <v>0</v>
      </c>
      <c r="AK1081" s="222">
        <v>0</v>
      </c>
      <c r="AL1081" s="222">
        <v>0</v>
      </c>
      <c r="AM1081" s="222">
        <v>0</v>
      </c>
      <c r="AN1081" s="222"/>
      <c r="AO1081" s="222">
        <v>0</v>
      </c>
    </row>
    <row r="1082" spans="1:41" s="223" customFormat="1" ht="36" customHeight="1" x14ac:dyDescent="0.25">
      <c r="A1082" s="223">
        <v>1</v>
      </c>
      <c r="B1082" s="225">
        <f>SUBTOTAL(103,$A$1030:A1082)</f>
        <v>53</v>
      </c>
      <c r="C1082" s="215" t="s">
        <v>1582</v>
      </c>
      <c r="D1082" s="217">
        <v>1964</v>
      </c>
      <c r="E1082" s="217"/>
      <c r="F1082" s="226" t="s">
        <v>267</v>
      </c>
      <c r="G1082" s="217">
        <v>5</v>
      </c>
      <c r="H1082" s="217" t="s">
        <v>308</v>
      </c>
      <c r="I1082" s="218">
        <v>4214.7</v>
      </c>
      <c r="J1082" s="218">
        <v>3322.3</v>
      </c>
      <c r="K1082" s="218">
        <v>3136.7</v>
      </c>
      <c r="L1082" s="219">
        <v>213</v>
      </c>
      <c r="M1082" s="217" t="s">
        <v>265</v>
      </c>
      <c r="N1082" s="217" t="s">
        <v>269</v>
      </c>
      <c r="O1082" s="220" t="s">
        <v>1380</v>
      </c>
      <c r="P1082" s="190">
        <v>2312500.0499999998</v>
      </c>
      <c r="Q1082" s="190">
        <v>0</v>
      </c>
      <c r="R1082" s="190">
        <v>0</v>
      </c>
      <c r="S1082" s="190">
        <f t="shared" si="125"/>
        <v>2312500.0499999998</v>
      </c>
      <c r="T1082" s="190">
        <f t="shared" si="128"/>
        <v>548.67488789237666</v>
      </c>
      <c r="U1082" s="190">
        <v>1482.6307922272049</v>
      </c>
      <c r="V1082" s="221">
        <f t="shared" si="124"/>
        <v>933.95590433482823</v>
      </c>
      <c r="W1082" s="221">
        <f t="shared" si="126"/>
        <v>1776.3285643106271</v>
      </c>
      <c r="X1082" s="221">
        <v>0</v>
      </c>
      <c r="Y1082" s="222">
        <v>0</v>
      </c>
      <c r="Z1082" s="222">
        <v>0</v>
      </c>
      <c r="AA1082" s="222">
        <v>0</v>
      </c>
      <c r="AB1082" s="222">
        <v>0</v>
      </c>
      <c r="AC1082" s="222">
        <v>0</v>
      </c>
      <c r="AD1082" s="222">
        <v>0</v>
      </c>
      <c r="AE1082" s="222">
        <v>1200</v>
      </c>
      <c r="AF1082" s="221">
        <f t="shared" si="131"/>
        <v>1776.3285643106271</v>
      </c>
      <c r="AG1082" s="222">
        <v>0</v>
      </c>
      <c r="AH1082" s="221">
        <v>0</v>
      </c>
      <c r="AI1082" s="222">
        <v>0</v>
      </c>
      <c r="AJ1082" s="221">
        <v>0</v>
      </c>
      <c r="AK1082" s="222">
        <v>0</v>
      </c>
      <c r="AL1082" s="222">
        <v>0</v>
      </c>
      <c r="AM1082" s="222">
        <v>0</v>
      </c>
      <c r="AN1082" s="222"/>
      <c r="AO1082" s="222">
        <v>0</v>
      </c>
    </row>
    <row r="1083" spans="1:41" s="223" customFormat="1" ht="36" customHeight="1" x14ac:dyDescent="0.25">
      <c r="A1083" s="223">
        <v>1</v>
      </c>
      <c r="B1083" s="225">
        <f>SUBTOTAL(103,$A$1030:A1083)</f>
        <v>54</v>
      </c>
      <c r="C1083" s="215" t="s">
        <v>1117</v>
      </c>
      <c r="D1083" s="217">
        <v>1991</v>
      </c>
      <c r="E1083" s="217">
        <v>2016</v>
      </c>
      <c r="F1083" s="226" t="s">
        <v>1318</v>
      </c>
      <c r="G1083" s="217">
        <v>13</v>
      </c>
      <c r="H1083" s="217" t="s">
        <v>304</v>
      </c>
      <c r="I1083" s="218">
        <v>4135.3</v>
      </c>
      <c r="J1083" s="218">
        <v>3928.6</v>
      </c>
      <c r="K1083" s="218">
        <v>3680.79</v>
      </c>
      <c r="L1083" s="219">
        <v>204</v>
      </c>
      <c r="M1083" s="217" t="s">
        <v>265</v>
      </c>
      <c r="N1083" s="217" t="s">
        <v>269</v>
      </c>
      <c r="O1083" s="220" t="s">
        <v>1382</v>
      </c>
      <c r="P1083" s="190">
        <v>4348142.72</v>
      </c>
      <c r="Q1083" s="190">
        <v>0</v>
      </c>
      <c r="R1083" s="190">
        <v>0</v>
      </c>
      <c r="S1083" s="190">
        <f t="shared" si="125"/>
        <v>4348142.72</v>
      </c>
      <c r="T1083" s="190">
        <f t="shared" si="128"/>
        <v>1051.4697168282833</v>
      </c>
      <c r="U1083" s="190">
        <v>2620.8075085241694</v>
      </c>
      <c r="V1083" s="221">
        <f>U1083-T1083</f>
        <v>1569.3377916958862</v>
      </c>
      <c r="W1083" s="221">
        <f t="shared" si="126"/>
        <v>980.65231059415271</v>
      </c>
      <c r="X1083" s="221">
        <v>0</v>
      </c>
      <c r="Y1083" s="222">
        <v>0</v>
      </c>
      <c r="Z1083" s="222">
        <v>0</v>
      </c>
      <c r="AA1083" s="222">
        <v>0</v>
      </c>
      <c r="AB1083" s="222">
        <v>0</v>
      </c>
      <c r="AC1083" s="222">
        <v>0</v>
      </c>
      <c r="AD1083" s="222">
        <v>0</v>
      </c>
      <c r="AE1083" s="222">
        <v>650</v>
      </c>
      <c r="AF1083" s="221">
        <f t="shared" si="131"/>
        <v>980.65231059415271</v>
      </c>
      <c r="AG1083" s="222">
        <v>0</v>
      </c>
      <c r="AH1083" s="221">
        <v>0</v>
      </c>
      <c r="AI1083" s="222">
        <v>0</v>
      </c>
      <c r="AJ1083" s="221">
        <v>0</v>
      </c>
      <c r="AK1083" s="222">
        <v>0</v>
      </c>
      <c r="AL1083" s="222">
        <v>0</v>
      </c>
      <c r="AM1083" s="222">
        <v>0</v>
      </c>
      <c r="AN1083" s="222"/>
      <c r="AO1083" s="222">
        <v>0</v>
      </c>
    </row>
    <row r="1084" spans="1:41" s="223" customFormat="1" ht="36" customHeight="1" x14ac:dyDescent="0.25">
      <c r="A1084" s="223">
        <v>1</v>
      </c>
      <c r="B1084" s="225">
        <f>SUBTOTAL(103,$A$1030:A1084)</f>
        <v>55</v>
      </c>
      <c r="C1084" s="215" t="s">
        <v>549</v>
      </c>
      <c r="D1084" s="217" t="s">
        <v>358</v>
      </c>
      <c r="E1084" s="217"/>
      <c r="F1084" s="226" t="s">
        <v>267</v>
      </c>
      <c r="G1084" s="217" t="s">
        <v>308</v>
      </c>
      <c r="H1084" s="217" t="s">
        <v>304</v>
      </c>
      <c r="I1084" s="218">
        <v>946</v>
      </c>
      <c r="J1084" s="218">
        <v>977.4</v>
      </c>
      <c r="K1084" s="218">
        <v>688.5</v>
      </c>
      <c r="L1084" s="219">
        <v>25</v>
      </c>
      <c r="M1084" s="217" t="s">
        <v>265</v>
      </c>
      <c r="N1084" s="217" t="s">
        <v>269</v>
      </c>
      <c r="O1084" s="220" t="s">
        <v>1380</v>
      </c>
      <c r="P1084" s="190">
        <v>4057359.23</v>
      </c>
      <c r="Q1084" s="190">
        <v>0</v>
      </c>
      <c r="R1084" s="190">
        <v>0</v>
      </c>
      <c r="S1084" s="190">
        <f t="shared" si="125"/>
        <v>4057359.23</v>
      </c>
      <c r="T1084" s="190">
        <f t="shared" si="128"/>
        <v>4288.9632452431288</v>
      </c>
      <c r="U1084" s="190">
        <v>7399.6240147991557</v>
      </c>
      <c r="V1084" s="221">
        <f>U1084-T1084</f>
        <v>3110.6607695560269</v>
      </c>
      <c r="W1084" s="221">
        <f t="shared" si="126"/>
        <v>6199.3397463002111</v>
      </c>
      <c r="X1084" s="221">
        <v>0</v>
      </c>
      <c r="Y1084" s="222">
        <v>0</v>
      </c>
      <c r="Z1084" s="222">
        <v>0</v>
      </c>
      <c r="AA1084" s="222">
        <v>0</v>
      </c>
      <c r="AB1084" s="222">
        <v>0</v>
      </c>
      <c r="AC1084" s="222">
        <v>0</v>
      </c>
      <c r="AD1084" s="222">
        <v>0</v>
      </c>
      <c r="AE1084" s="222">
        <v>940</v>
      </c>
      <c r="AF1084" s="221">
        <f t="shared" si="131"/>
        <v>6199.3397463002111</v>
      </c>
      <c r="AG1084" s="222">
        <v>0</v>
      </c>
      <c r="AH1084" s="221">
        <v>0</v>
      </c>
      <c r="AI1084" s="222">
        <v>0</v>
      </c>
      <c r="AJ1084" s="221">
        <v>0</v>
      </c>
      <c r="AK1084" s="222">
        <v>0</v>
      </c>
      <c r="AL1084" s="222">
        <v>0</v>
      </c>
      <c r="AM1084" s="222">
        <v>0</v>
      </c>
      <c r="AN1084" s="222"/>
      <c r="AO1084" s="222">
        <v>0</v>
      </c>
    </row>
    <row r="1085" spans="1:41" s="223" customFormat="1" ht="36" customHeight="1" x14ac:dyDescent="0.25">
      <c r="A1085" s="223">
        <v>1</v>
      </c>
      <c r="B1085" s="225">
        <f>SUBTOTAL(103,$A$1030:A1085)</f>
        <v>56</v>
      </c>
      <c r="C1085" s="215" t="s">
        <v>553</v>
      </c>
      <c r="D1085" s="217" t="s">
        <v>306</v>
      </c>
      <c r="E1085" s="217"/>
      <c r="F1085" s="226" t="s">
        <v>267</v>
      </c>
      <c r="G1085" s="217" t="s">
        <v>351</v>
      </c>
      <c r="H1085" s="217" t="s">
        <v>303</v>
      </c>
      <c r="I1085" s="218">
        <v>2023.4</v>
      </c>
      <c r="J1085" s="218">
        <v>1578.1</v>
      </c>
      <c r="K1085" s="218">
        <v>1536.2</v>
      </c>
      <c r="L1085" s="219">
        <v>72</v>
      </c>
      <c r="M1085" s="217" t="s">
        <v>265</v>
      </c>
      <c r="N1085" s="217" t="s">
        <v>269</v>
      </c>
      <c r="O1085" s="220" t="s">
        <v>1380</v>
      </c>
      <c r="P1085" s="190">
        <v>4448638.5999999996</v>
      </c>
      <c r="Q1085" s="190">
        <v>0</v>
      </c>
      <c r="R1085" s="190">
        <v>0</v>
      </c>
      <c r="S1085" s="190">
        <f>P1085-Q1085-R1085</f>
        <v>4448638.5999999996</v>
      </c>
      <c r="T1085" s="190">
        <f t="shared" si="128"/>
        <v>2198.5957299594738</v>
      </c>
      <c r="U1085" s="190">
        <v>3850.2508031036868</v>
      </c>
      <c r="V1085" s="221">
        <f>U1085-T1085</f>
        <v>1651.655073144213</v>
      </c>
      <c r="W1085" s="221">
        <f>X1085+Y1085+Z1085+AA1085+AB1085+AD1085+AF1085+AH1085+AJ1085+AL1085+AN1085+AO1085</f>
        <v>3021.7118711080357</v>
      </c>
      <c r="X1085" s="221">
        <v>0</v>
      </c>
      <c r="Y1085" s="222">
        <v>0</v>
      </c>
      <c r="Z1085" s="222">
        <v>0</v>
      </c>
      <c r="AA1085" s="222">
        <v>0</v>
      </c>
      <c r="AB1085" s="222">
        <v>0</v>
      </c>
      <c r="AC1085" s="222">
        <v>0</v>
      </c>
      <c r="AD1085" s="222">
        <v>0</v>
      </c>
      <c r="AE1085" s="222">
        <v>980</v>
      </c>
      <c r="AF1085" s="221">
        <f t="shared" si="131"/>
        <v>3021.7118711080357</v>
      </c>
      <c r="AG1085" s="222">
        <v>0</v>
      </c>
      <c r="AH1085" s="221">
        <v>0</v>
      </c>
      <c r="AI1085" s="222">
        <v>0</v>
      </c>
      <c r="AJ1085" s="221">
        <v>0</v>
      </c>
      <c r="AK1085" s="222">
        <v>0</v>
      </c>
      <c r="AL1085" s="222">
        <v>0</v>
      </c>
      <c r="AM1085" s="222">
        <v>0</v>
      </c>
      <c r="AN1085" s="222"/>
      <c r="AO1085" s="222">
        <v>0</v>
      </c>
    </row>
    <row r="1086" spans="1:41" s="223" customFormat="1" ht="36" customHeight="1" x14ac:dyDescent="0.25">
      <c r="A1086" s="223">
        <v>1</v>
      </c>
      <c r="B1086" s="225">
        <f>SUBTOTAL(103,$A$1030:A1086)</f>
        <v>57</v>
      </c>
      <c r="C1086" s="215" t="s">
        <v>556</v>
      </c>
      <c r="D1086" s="217" t="s">
        <v>310</v>
      </c>
      <c r="E1086" s="217"/>
      <c r="F1086" s="226" t="s">
        <v>267</v>
      </c>
      <c r="G1086" s="217" t="s">
        <v>312</v>
      </c>
      <c r="H1086" s="217" t="s">
        <v>308</v>
      </c>
      <c r="I1086" s="218">
        <v>2853</v>
      </c>
      <c r="J1086" s="218">
        <v>1962.2</v>
      </c>
      <c r="K1086" s="218">
        <v>1882.5</v>
      </c>
      <c r="L1086" s="219">
        <v>107</v>
      </c>
      <c r="M1086" s="217" t="s">
        <v>265</v>
      </c>
      <c r="N1086" s="217" t="s">
        <v>269</v>
      </c>
      <c r="O1086" s="220" t="s">
        <v>1380</v>
      </c>
      <c r="P1086" s="190">
        <v>4973747.95</v>
      </c>
      <c r="Q1086" s="190">
        <v>0</v>
      </c>
      <c r="R1086" s="190">
        <v>0</v>
      </c>
      <c r="S1086" s="190">
        <f t="shared" ref="S1086:S1087" si="132">P1086-Q1086-R1086</f>
        <v>4973747.95</v>
      </c>
      <c r="T1086" s="190">
        <f t="shared" si="128"/>
        <v>1743.3396249561865</v>
      </c>
      <c r="U1086" s="190">
        <v>3024.6603575184017</v>
      </c>
      <c r="V1086" s="221">
        <f>U1086-T1086</f>
        <v>1281.3207325622152</v>
      </c>
      <c r="W1086" s="221">
        <f t="shared" ref="W1086:W1087" si="133">X1086+Y1086+Z1086+AA1086+AB1086+AD1086+AF1086+AH1086+AJ1086+AL1086+AN1086+AO1086</f>
        <v>2143.0535576586049</v>
      </c>
      <c r="X1086" s="221">
        <v>0</v>
      </c>
      <c r="Y1086" s="222">
        <v>0</v>
      </c>
      <c r="Z1086" s="222">
        <v>0</v>
      </c>
      <c r="AA1086" s="222">
        <v>0</v>
      </c>
      <c r="AB1086" s="222">
        <v>0</v>
      </c>
      <c r="AC1086" s="222">
        <v>0</v>
      </c>
      <c r="AD1086" s="222">
        <v>0</v>
      </c>
      <c r="AE1086" s="222">
        <v>980</v>
      </c>
      <c r="AF1086" s="221">
        <f t="shared" si="131"/>
        <v>2143.0535576586049</v>
      </c>
      <c r="AG1086" s="222">
        <v>0</v>
      </c>
      <c r="AH1086" s="221">
        <v>0</v>
      </c>
      <c r="AI1086" s="222">
        <v>0</v>
      </c>
      <c r="AJ1086" s="221">
        <v>0</v>
      </c>
      <c r="AK1086" s="222">
        <v>0</v>
      </c>
      <c r="AL1086" s="222">
        <v>0</v>
      </c>
      <c r="AM1086" s="222">
        <v>0</v>
      </c>
      <c r="AN1086" s="222"/>
      <c r="AO1086" s="222">
        <v>0</v>
      </c>
    </row>
    <row r="1087" spans="1:41" s="223" customFormat="1" ht="36" customHeight="1" x14ac:dyDescent="0.25">
      <c r="A1087" s="223">
        <v>1</v>
      </c>
      <c r="B1087" s="225">
        <f>SUBTOTAL(103,$A$1030:A1087)</f>
        <v>58</v>
      </c>
      <c r="C1087" s="215" t="s">
        <v>550</v>
      </c>
      <c r="D1087" s="217" t="s">
        <v>359</v>
      </c>
      <c r="E1087" s="217"/>
      <c r="F1087" s="226" t="s">
        <v>267</v>
      </c>
      <c r="G1087" s="217" t="s">
        <v>351</v>
      </c>
      <c r="H1087" s="217" t="s">
        <v>303</v>
      </c>
      <c r="I1087" s="218">
        <v>1953.8</v>
      </c>
      <c r="J1087" s="218">
        <v>1724.7</v>
      </c>
      <c r="K1087" s="218">
        <v>1572.5</v>
      </c>
      <c r="L1087" s="219">
        <v>52</v>
      </c>
      <c r="M1087" s="217" t="s">
        <v>265</v>
      </c>
      <c r="N1087" s="217" t="s">
        <v>269</v>
      </c>
      <c r="O1087" s="220" t="s">
        <v>1641</v>
      </c>
      <c r="P1087" s="190">
        <v>2880414.3600000003</v>
      </c>
      <c r="Q1087" s="190">
        <v>0</v>
      </c>
      <c r="R1087" s="190">
        <v>0</v>
      </c>
      <c r="S1087" s="190">
        <f t="shared" si="132"/>
        <v>2880414.3600000003</v>
      </c>
      <c r="T1087" s="190">
        <f t="shared" si="128"/>
        <v>1474.2626471491456</v>
      </c>
      <c r="U1087" s="190">
        <v>1865.2431159791176</v>
      </c>
      <c r="V1087" s="221">
        <f>U1087-T1087</f>
        <v>390.9804688299721</v>
      </c>
      <c r="W1087" s="221">
        <f t="shared" si="133"/>
        <v>2865.2748198382637</v>
      </c>
      <c r="X1087" s="221">
        <v>0</v>
      </c>
      <c r="Y1087" s="222">
        <v>0</v>
      </c>
      <c r="Z1087" s="222">
        <v>0</v>
      </c>
      <c r="AA1087" s="222">
        <v>0</v>
      </c>
      <c r="AB1087" s="222">
        <v>0</v>
      </c>
      <c r="AC1087" s="222">
        <v>0</v>
      </c>
      <c r="AD1087" s="222">
        <v>0</v>
      </c>
      <c r="AE1087" s="222">
        <v>897.3</v>
      </c>
      <c r="AF1087" s="221">
        <f t="shared" si="131"/>
        <v>2865.2748198382637</v>
      </c>
      <c r="AG1087" s="222">
        <v>0</v>
      </c>
      <c r="AH1087" s="221">
        <v>0</v>
      </c>
      <c r="AI1087" s="222">
        <v>0</v>
      </c>
      <c r="AJ1087" s="221">
        <v>0</v>
      </c>
      <c r="AK1087" s="222">
        <v>0</v>
      </c>
      <c r="AL1087" s="222">
        <v>0</v>
      </c>
      <c r="AM1087" s="222">
        <v>0</v>
      </c>
      <c r="AN1087" s="222"/>
      <c r="AO1087" s="222">
        <v>0</v>
      </c>
    </row>
    <row r="1088" spans="1:41" s="223" customFormat="1" ht="36" customHeight="1" x14ac:dyDescent="0.25">
      <c r="A1088" s="223">
        <v>1</v>
      </c>
      <c r="B1088" s="225">
        <f>SUBTOTAL(103,$A$1030:A1088)</f>
        <v>59</v>
      </c>
      <c r="C1088" s="215" t="s">
        <v>2289</v>
      </c>
      <c r="D1088" s="217" t="s">
        <v>302</v>
      </c>
      <c r="E1088" s="217"/>
      <c r="F1088" s="226" t="s">
        <v>267</v>
      </c>
      <c r="G1088" s="217" t="s">
        <v>303</v>
      </c>
      <c r="H1088" s="217">
        <v>1</v>
      </c>
      <c r="I1088" s="218">
        <v>399.4</v>
      </c>
      <c r="J1088" s="218">
        <v>354.1</v>
      </c>
      <c r="K1088" s="218">
        <v>172.1</v>
      </c>
      <c r="L1088" s="219">
        <v>23</v>
      </c>
      <c r="M1088" s="217" t="s">
        <v>265</v>
      </c>
      <c r="N1088" s="217" t="s">
        <v>269</v>
      </c>
      <c r="O1088" s="220" t="s">
        <v>1644</v>
      </c>
      <c r="P1088" s="190">
        <v>763048.75</v>
      </c>
      <c r="Q1088" s="190">
        <v>0</v>
      </c>
      <c r="R1088" s="190">
        <v>0</v>
      </c>
      <c r="S1088" s="190">
        <f t="shared" si="125"/>
        <v>763048.75</v>
      </c>
      <c r="T1088" s="190">
        <f t="shared" si="128"/>
        <v>1910.4876064096145</v>
      </c>
      <c r="U1088" s="190">
        <v>3027.367701552329</v>
      </c>
      <c r="V1088" s="221">
        <f t="shared" si="124"/>
        <v>1116.8800951427145</v>
      </c>
      <c r="W1088" s="221">
        <f t="shared" si="126"/>
        <v>15054.455464446672</v>
      </c>
      <c r="X1088" s="221">
        <v>0</v>
      </c>
      <c r="Y1088" s="222">
        <v>0</v>
      </c>
      <c r="Z1088" s="222">
        <v>0</v>
      </c>
      <c r="AA1088" s="222">
        <v>0</v>
      </c>
      <c r="AB1088" s="222">
        <v>0</v>
      </c>
      <c r="AC1088" s="222">
        <v>0</v>
      </c>
      <c r="AD1088" s="222">
        <v>0</v>
      </c>
      <c r="AE1088" s="222">
        <v>963.75</v>
      </c>
      <c r="AF1088" s="221">
        <f t="shared" si="130"/>
        <v>15054.455464446672</v>
      </c>
      <c r="AG1088" s="222">
        <v>0</v>
      </c>
      <c r="AH1088" s="221">
        <v>0</v>
      </c>
      <c r="AI1088" s="222">
        <v>0</v>
      </c>
      <c r="AJ1088" s="221">
        <v>0</v>
      </c>
      <c r="AK1088" s="222">
        <v>0</v>
      </c>
      <c r="AL1088" s="222">
        <v>0</v>
      </c>
      <c r="AM1088" s="222">
        <v>0</v>
      </c>
      <c r="AN1088" s="222"/>
      <c r="AO1088" s="222">
        <v>0</v>
      </c>
    </row>
    <row r="1089" spans="1:41" s="223" customFormat="1" ht="36" customHeight="1" x14ac:dyDescent="0.25">
      <c r="A1089" s="223">
        <v>1</v>
      </c>
      <c r="B1089" s="225">
        <f>SUBTOTAL(103,$A$1030:A1089)</f>
        <v>60</v>
      </c>
      <c r="C1089" s="215" t="s">
        <v>2290</v>
      </c>
      <c r="D1089" s="217">
        <v>1976</v>
      </c>
      <c r="E1089" s="217"/>
      <c r="F1089" s="226" t="s">
        <v>267</v>
      </c>
      <c r="G1089" s="217">
        <v>5</v>
      </c>
      <c r="H1089" s="217">
        <v>1</v>
      </c>
      <c r="I1089" s="218">
        <v>579.79999999999995</v>
      </c>
      <c r="J1089" s="218">
        <v>348.4</v>
      </c>
      <c r="K1089" s="218">
        <v>348.4</v>
      </c>
      <c r="L1089" s="219">
        <v>37</v>
      </c>
      <c r="M1089" s="217" t="s">
        <v>265</v>
      </c>
      <c r="N1089" s="217" t="s">
        <v>269</v>
      </c>
      <c r="O1089" s="220" t="s">
        <v>1644</v>
      </c>
      <c r="P1089" s="190">
        <v>2942000</v>
      </c>
      <c r="Q1089" s="190">
        <v>0</v>
      </c>
      <c r="R1089" s="190">
        <v>0</v>
      </c>
      <c r="S1089" s="190">
        <f t="shared" si="125"/>
        <v>2942000</v>
      </c>
      <c r="T1089" s="190">
        <f t="shared" si="128"/>
        <v>5074.163504656779</v>
      </c>
      <c r="U1089" s="190">
        <v>8832.4878233873769</v>
      </c>
      <c r="V1089" s="221">
        <f t="shared" si="124"/>
        <v>3758.324318730598</v>
      </c>
      <c r="W1089" s="221">
        <f t="shared" si="126"/>
        <v>4239.0479475681277</v>
      </c>
      <c r="X1089" s="221">
        <v>0</v>
      </c>
      <c r="Y1089" s="222">
        <v>0</v>
      </c>
      <c r="Z1089" s="222">
        <v>0</v>
      </c>
      <c r="AA1089" s="222">
        <v>0</v>
      </c>
      <c r="AB1089" s="222">
        <v>0</v>
      </c>
      <c r="AC1089" s="222">
        <v>1</v>
      </c>
      <c r="AD1089" s="221">
        <f>2457800*AC1089/I1089</f>
        <v>4239.0479475681277</v>
      </c>
      <c r="AE1089" s="222">
        <v>0</v>
      </c>
      <c r="AF1089" s="221">
        <v>0</v>
      </c>
      <c r="AG1089" s="222">
        <v>0</v>
      </c>
      <c r="AH1089" s="221">
        <v>0</v>
      </c>
      <c r="AI1089" s="222">
        <v>0</v>
      </c>
      <c r="AJ1089" s="221">
        <v>0</v>
      </c>
      <c r="AK1089" s="222">
        <v>0</v>
      </c>
      <c r="AL1089" s="222">
        <v>0</v>
      </c>
      <c r="AM1089" s="222">
        <v>0</v>
      </c>
      <c r="AN1089" s="222"/>
      <c r="AO1089" s="222">
        <v>0</v>
      </c>
    </row>
    <row r="1090" spans="1:41" s="223" customFormat="1" ht="36" customHeight="1" x14ac:dyDescent="0.25">
      <c r="A1090" s="223">
        <v>1</v>
      </c>
      <c r="B1090" s="225">
        <f>SUBTOTAL(103,$A$1030:A1090)</f>
        <v>61</v>
      </c>
      <c r="C1090" s="215" t="s">
        <v>2291</v>
      </c>
      <c r="D1090" s="217">
        <v>1963</v>
      </c>
      <c r="E1090" s="217"/>
      <c r="F1090" s="226" t="s">
        <v>267</v>
      </c>
      <c r="G1090" s="217">
        <v>2</v>
      </c>
      <c r="H1090" s="217">
        <v>1</v>
      </c>
      <c r="I1090" s="218">
        <v>368</v>
      </c>
      <c r="J1090" s="218">
        <v>239.5</v>
      </c>
      <c r="K1090" s="218">
        <v>185.4</v>
      </c>
      <c r="L1090" s="219">
        <v>20</v>
      </c>
      <c r="M1090" s="217" t="s">
        <v>265</v>
      </c>
      <c r="N1090" s="217" t="s">
        <v>269</v>
      </c>
      <c r="O1090" s="220" t="s">
        <v>1644</v>
      </c>
      <c r="P1090" s="190">
        <v>1876250</v>
      </c>
      <c r="Q1090" s="190">
        <v>0</v>
      </c>
      <c r="R1090" s="190">
        <v>0</v>
      </c>
      <c r="S1090" s="190">
        <f t="shared" si="125"/>
        <v>1876250</v>
      </c>
      <c r="T1090" s="190">
        <f t="shared" si="128"/>
        <v>5098.505434782609</v>
      </c>
      <c r="U1090" s="190">
        <v>5835.709239130435</v>
      </c>
      <c r="V1090" s="221">
        <f t="shared" si="124"/>
        <v>737.20380434782601</v>
      </c>
      <c r="W1090" s="221">
        <f t="shared" si="126"/>
        <v>20036.41304347826</v>
      </c>
      <c r="X1090" s="221">
        <v>0</v>
      </c>
      <c r="Y1090" s="222">
        <v>0</v>
      </c>
      <c r="Z1090" s="222">
        <v>0</v>
      </c>
      <c r="AA1090" s="222">
        <v>0</v>
      </c>
      <c r="AB1090" s="222">
        <v>0</v>
      </c>
      <c r="AC1090" s="222">
        <v>3</v>
      </c>
      <c r="AD1090" s="221">
        <f>2457800*AC1090/I1090</f>
        <v>20036.41304347826</v>
      </c>
      <c r="AE1090" s="222">
        <v>0</v>
      </c>
      <c r="AF1090" s="221">
        <v>0</v>
      </c>
      <c r="AG1090" s="222">
        <v>0</v>
      </c>
      <c r="AH1090" s="221">
        <v>0</v>
      </c>
      <c r="AI1090" s="222">
        <v>0</v>
      </c>
      <c r="AJ1090" s="221">
        <v>0</v>
      </c>
      <c r="AK1090" s="222">
        <v>0</v>
      </c>
      <c r="AL1090" s="222">
        <v>0</v>
      </c>
      <c r="AM1090" s="222">
        <v>0</v>
      </c>
      <c r="AN1090" s="222"/>
      <c r="AO1090" s="222">
        <v>0</v>
      </c>
    </row>
    <row r="1091" spans="1:41" s="223" customFormat="1" ht="36" customHeight="1" x14ac:dyDescent="0.25">
      <c r="A1091" s="223">
        <v>1</v>
      </c>
      <c r="B1091" s="225">
        <f>SUBTOTAL(103,$A$1030:A1091)</f>
        <v>62</v>
      </c>
      <c r="C1091" s="215" t="s">
        <v>2292</v>
      </c>
      <c r="D1091" s="217">
        <v>1956</v>
      </c>
      <c r="E1091" s="217"/>
      <c r="F1091" s="226" t="s">
        <v>267</v>
      </c>
      <c r="G1091" s="217">
        <v>3</v>
      </c>
      <c r="H1091" s="217">
        <v>1</v>
      </c>
      <c r="I1091" s="218">
        <v>1526.8</v>
      </c>
      <c r="J1091" s="218">
        <v>781.9</v>
      </c>
      <c r="K1091" s="218">
        <v>629.4</v>
      </c>
      <c r="L1091" s="219">
        <v>107</v>
      </c>
      <c r="M1091" s="217" t="s">
        <v>265</v>
      </c>
      <c r="N1091" s="217" t="s">
        <v>269</v>
      </c>
      <c r="O1091" s="220" t="s">
        <v>1380</v>
      </c>
      <c r="P1091" s="190">
        <v>3635053.04</v>
      </c>
      <c r="Q1091" s="190">
        <v>0</v>
      </c>
      <c r="R1091" s="190">
        <v>0</v>
      </c>
      <c r="S1091" s="190">
        <f t="shared" si="125"/>
        <v>3635053.04</v>
      </c>
      <c r="T1091" s="190">
        <f t="shared" si="128"/>
        <v>2380.8311763164788</v>
      </c>
      <c r="U1091" s="190">
        <v>5076.9859837568774</v>
      </c>
      <c r="V1091" s="221">
        <f t="shared" si="124"/>
        <v>2696.1548074403986</v>
      </c>
      <c r="W1091" s="221">
        <f t="shared" si="126"/>
        <v>5042.4514933193605</v>
      </c>
      <c r="X1091" s="221">
        <v>0</v>
      </c>
      <c r="Y1091" s="222">
        <v>0</v>
      </c>
      <c r="Z1091" s="222">
        <v>0</v>
      </c>
      <c r="AA1091" s="222">
        <v>0</v>
      </c>
      <c r="AB1091" s="222">
        <v>0</v>
      </c>
      <c r="AC1091" s="222">
        <v>0</v>
      </c>
      <c r="AD1091" s="222">
        <v>0</v>
      </c>
      <c r="AE1091" s="222">
        <v>1234</v>
      </c>
      <c r="AF1091" s="221">
        <f t="shared" ref="AF1091:AF1097" si="134">6238.91*AE1091/I1091</f>
        <v>5042.4514933193605</v>
      </c>
      <c r="AG1091" s="222">
        <v>0</v>
      </c>
      <c r="AH1091" s="221">
        <v>0</v>
      </c>
      <c r="AI1091" s="222">
        <v>0</v>
      </c>
      <c r="AJ1091" s="221">
        <v>0</v>
      </c>
      <c r="AK1091" s="222">
        <v>0</v>
      </c>
      <c r="AL1091" s="222">
        <v>0</v>
      </c>
      <c r="AM1091" s="222">
        <v>0</v>
      </c>
      <c r="AN1091" s="222"/>
      <c r="AO1091" s="222">
        <v>0</v>
      </c>
    </row>
    <row r="1092" spans="1:41" s="223" customFormat="1" ht="36" customHeight="1" x14ac:dyDescent="0.25">
      <c r="A1092" s="223">
        <v>1</v>
      </c>
      <c r="B1092" s="225">
        <f>SUBTOTAL(103,$A$1030:A1092)</f>
        <v>63</v>
      </c>
      <c r="C1092" s="215" t="s">
        <v>2293</v>
      </c>
      <c r="D1092" s="217">
        <v>1958</v>
      </c>
      <c r="E1092" s="217"/>
      <c r="F1092" s="226" t="s">
        <v>267</v>
      </c>
      <c r="G1092" s="217">
        <v>3</v>
      </c>
      <c r="H1092" s="217">
        <v>3</v>
      </c>
      <c r="I1092" s="218">
        <v>1457.8</v>
      </c>
      <c r="J1092" s="218">
        <v>1370.6</v>
      </c>
      <c r="K1092" s="218">
        <v>1307.8</v>
      </c>
      <c r="L1092" s="219">
        <v>67</v>
      </c>
      <c r="M1092" s="217" t="s">
        <v>265</v>
      </c>
      <c r="N1092" s="217" t="s">
        <v>269</v>
      </c>
      <c r="O1092" s="220" t="s">
        <v>1380</v>
      </c>
      <c r="P1092" s="190">
        <v>3449500</v>
      </c>
      <c r="Q1092" s="190">
        <v>0</v>
      </c>
      <c r="R1092" s="190">
        <v>0</v>
      </c>
      <c r="S1092" s="190">
        <f t="shared" si="125"/>
        <v>3449500</v>
      </c>
      <c r="T1092" s="190">
        <f t="shared" si="128"/>
        <v>2366.2367951708052</v>
      </c>
      <c r="U1092" s="190">
        <v>5126.9472972972981</v>
      </c>
      <c r="V1092" s="221">
        <f t="shared" si="124"/>
        <v>2760.7105021264929</v>
      </c>
      <c r="W1092" s="221">
        <f t="shared" si="126"/>
        <v>5135.6098230209909</v>
      </c>
      <c r="X1092" s="221">
        <v>0</v>
      </c>
      <c r="Y1092" s="222">
        <v>0</v>
      </c>
      <c r="Z1092" s="222">
        <v>0</v>
      </c>
      <c r="AA1092" s="222">
        <v>0</v>
      </c>
      <c r="AB1092" s="222">
        <v>0</v>
      </c>
      <c r="AC1092" s="222">
        <v>0</v>
      </c>
      <c r="AD1092" s="222">
        <v>0</v>
      </c>
      <c r="AE1092" s="222">
        <v>1200</v>
      </c>
      <c r="AF1092" s="221">
        <f t="shared" si="134"/>
        <v>5135.6098230209909</v>
      </c>
      <c r="AG1092" s="222">
        <v>0</v>
      </c>
      <c r="AH1092" s="221">
        <v>0</v>
      </c>
      <c r="AI1092" s="222">
        <v>0</v>
      </c>
      <c r="AJ1092" s="221">
        <v>0</v>
      </c>
      <c r="AK1092" s="222">
        <v>0</v>
      </c>
      <c r="AL1092" s="222">
        <v>0</v>
      </c>
      <c r="AM1092" s="222">
        <v>0</v>
      </c>
      <c r="AN1092" s="222"/>
      <c r="AO1092" s="222">
        <v>0</v>
      </c>
    </row>
    <row r="1093" spans="1:41" s="223" customFormat="1" ht="36" customHeight="1" x14ac:dyDescent="0.25">
      <c r="A1093" s="223">
        <v>1</v>
      </c>
      <c r="B1093" s="225">
        <f>SUBTOTAL(103,$A$1030:A1093)</f>
        <v>64</v>
      </c>
      <c r="C1093" s="215" t="s">
        <v>2294</v>
      </c>
      <c r="D1093" s="217">
        <v>1959</v>
      </c>
      <c r="E1093" s="217"/>
      <c r="F1093" s="226" t="s">
        <v>267</v>
      </c>
      <c r="G1093" s="217">
        <v>3</v>
      </c>
      <c r="H1093" s="217">
        <v>3</v>
      </c>
      <c r="I1093" s="218">
        <v>1142.4000000000001</v>
      </c>
      <c r="J1093" s="218">
        <v>950.3</v>
      </c>
      <c r="K1093" s="218">
        <v>950.3</v>
      </c>
      <c r="L1093" s="219">
        <v>45</v>
      </c>
      <c r="M1093" s="217" t="s">
        <v>265</v>
      </c>
      <c r="N1093" s="217" t="s">
        <v>269</v>
      </c>
      <c r="O1093" s="220" t="s">
        <v>1072</v>
      </c>
      <c r="P1093" s="190">
        <v>3635053.04</v>
      </c>
      <c r="Q1093" s="190">
        <v>0</v>
      </c>
      <c r="R1093" s="190">
        <v>0</v>
      </c>
      <c r="S1093" s="190">
        <f t="shared" si="125"/>
        <v>3635053.04</v>
      </c>
      <c r="T1093" s="190">
        <f t="shared" si="128"/>
        <v>3181.9441876750698</v>
      </c>
      <c r="U1093" s="190">
        <v>7436.4952731092444</v>
      </c>
      <c r="V1093" s="221">
        <f>U1093-T1093</f>
        <v>4254.5510854341746</v>
      </c>
      <c r="W1093" s="221">
        <f t="shared" si="126"/>
        <v>3549.7999824929971</v>
      </c>
      <c r="X1093" s="221">
        <v>0</v>
      </c>
      <c r="Y1093" s="222">
        <v>0</v>
      </c>
      <c r="Z1093" s="222">
        <v>0</v>
      </c>
      <c r="AA1093" s="222">
        <v>0</v>
      </c>
      <c r="AB1093" s="222">
        <v>0</v>
      </c>
      <c r="AC1093" s="222">
        <v>0</v>
      </c>
      <c r="AD1093" s="222">
        <v>0</v>
      </c>
      <c r="AE1093" s="222">
        <v>650</v>
      </c>
      <c r="AF1093" s="221">
        <f t="shared" si="134"/>
        <v>3549.7999824929971</v>
      </c>
      <c r="AG1093" s="222">
        <v>0</v>
      </c>
      <c r="AH1093" s="221">
        <v>0</v>
      </c>
      <c r="AI1093" s="222">
        <v>0</v>
      </c>
      <c r="AJ1093" s="221">
        <v>0</v>
      </c>
      <c r="AK1093" s="222">
        <v>0</v>
      </c>
      <c r="AL1093" s="222">
        <v>0</v>
      </c>
      <c r="AM1093" s="222">
        <v>0</v>
      </c>
      <c r="AN1093" s="222"/>
      <c r="AO1093" s="222">
        <v>0</v>
      </c>
    </row>
    <row r="1094" spans="1:41" s="223" customFormat="1" ht="36" customHeight="1" x14ac:dyDescent="0.25">
      <c r="A1094" s="223">
        <v>1</v>
      </c>
      <c r="B1094" s="225">
        <f>SUBTOTAL(103,$A$1030:A1094)</f>
        <v>65</v>
      </c>
      <c r="C1094" s="215" t="s">
        <v>2295</v>
      </c>
      <c r="D1094" s="217">
        <v>1989</v>
      </c>
      <c r="E1094" s="217"/>
      <c r="F1094" s="226" t="s">
        <v>267</v>
      </c>
      <c r="G1094" s="217">
        <v>9</v>
      </c>
      <c r="H1094" s="217">
        <v>1</v>
      </c>
      <c r="I1094" s="218">
        <v>3924.5</v>
      </c>
      <c r="J1094" s="218">
        <v>1948.1</v>
      </c>
      <c r="K1094" s="218">
        <v>1858.3</v>
      </c>
      <c r="L1094" s="219">
        <v>90</v>
      </c>
      <c r="M1094" s="217" t="s">
        <v>265</v>
      </c>
      <c r="N1094" s="217" t="s">
        <v>269</v>
      </c>
      <c r="O1094" s="220" t="s">
        <v>1380</v>
      </c>
      <c r="P1094" s="190">
        <v>2891250</v>
      </c>
      <c r="Q1094" s="190">
        <v>0</v>
      </c>
      <c r="R1094" s="190">
        <v>0</v>
      </c>
      <c r="S1094" s="190">
        <f t="shared" si="125"/>
        <v>2891250</v>
      </c>
      <c r="T1094" s="190">
        <f t="shared" si="128"/>
        <v>736.71805325519176</v>
      </c>
      <c r="U1094" s="190">
        <v>1033.3269206268315</v>
      </c>
      <c r="V1094" s="221">
        <f>U1094-T1094</f>
        <v>296.60886737163969</v>
      </c>
      <c r="W1094" s="221">
        <f t="shared" si="126"/>
        <v>1494.3497005988022</v>
      </c>
      <c r="X1094" s="221">
        <v>0</v>
      </c>
      <c r="Y1094" s="222">
        <v>0</v>
      </c>
      <c r="Z1094" s="222">
        <v>0</v>
      </c>
      <c r="AA1094" s="222">
        <v>0</v>
      </c>
      <c r="AB1094" s="222">
        <v>0</v>
      </c>
      <c r="AC1094" s="222">
        <v>0</v>
      </c>
      <c r="AD1094" s="222">
        <v>0</v>
      </c>
      <c r="AE1094" s="222">
        <v>940</v>
      </c>
      <c r="AF1094" s="221">
        <f t="shared" si="134"/>
        <v>1494.3497005988022</v>
      </c>
      <c r="AG1094" s="222">
        <v>0</v>
      </c>
      <c r="AH1094" s="221">
        <v>0</v>
      </c>
      <c r="AI1094" s="222">
        <v>0</v>
      </c>
      <c r="AJ1094" s="221">
        <v>0</v>
      </c>
      <c r="AK1094" s="222">
        <v>0</v>
      </c>
      <c r="AL1094" s="222">
        <v>0</v>
      </c>
      <c r="AM1094" s="222">
        <v>0</v>
      </c>
      <c r="AN1094" s="222"/>
      <c r="AO1094" s="222">
        <v>0</v>
      </c>
    </row>
    <row r="1095" spans="1:41" s="223" customFormat="1" ht="36" customHeight="1" x14ac:dyDescent="0.25">
      <c r="A1095" s="223">
        <v>1</v>
      </c>
      <c r="B1095" s="225">
        <f>SUBTOTAL(103,$A$1030:A1095)</f>
        <v>66</v>
      </c>
      <c r="C1095" s="215" t="s">
        <v>2296</v>
      </c>
      <c r="D1095" s="217">
        <v>1963</v>
      </c>
      <c r="E1095" s="217"/>
      <c r="F1095" s="226" t="s">
        <v>267</v>
      </c>
      <c r="G1095" s="217">
        <v>5</v>
      </c>
      <c r="H1095" s="217">
        <v>3</v>
      </c>
      <c r="I1095" s="218">
        <v>2516.1</v>
      </c>
      <c r="J1095" s="218">
        <v>2179.8000000000002</v>
      </c>
      <c r="K1095" s="218">
        <v>2179.8000000000002</v>
      </c>
      <c r="L1095" s="219">
        <v>130</v>
      </c>
      <c r="M1095" s="217" t="s">
        <v>265</v>
      </c>
      <c r="N1095" s="217" t="s">
        <v>269</v>
      </c>
      <c r="O1095" s="220" t="s">
        <v>1072</v>
      </c>
      <c r="P1095" s="190">
        <v>4829900</v>
      </c>
      <c r="Q1095" s="190">
        <v>0</v>
      </c>
      <c r="R1095" s="190">
        <v>0</v>
      </c>
      <c r="S1095" s="190">
        <f>P1095-Q1095-R1095</f>
        <v>4829900</v>
      </c>
      <c r="T1095" s="190">
        <f t="shared" si="128"/>
        <v>1919.597790230913</v>
      </c>
      <c r="U1095" s="190">
        <v>2325.1946663487142</v>
      </c>
      <c r="V1095" s="221">
        <f>U1095-T1095</f>
        <v>405.59687611780123</v>
      </c>
      <c r="W1095" s="221">
        <f>X1095+Y1095+Z1095+AA1095+AB1095+AD1095+AF1095+AH1095+AJ1095+AL1095+AN1095+AO1095</f>
        <v>2430.003497476253</v>
      </c>
      <c r="X1095" s="221">
        <v>0</v>
      </c>
      <c r="Y1095" s="222">
        <v>0</v>
      </c>
      <c r="Z1095" s="222">
        <v>0</v>
      </c>
      <c r="AA1095" s="222">
        <v>0</v>
      </c>
      <c r="AB1095" s="222">
        <v>0</v>
      </c>
      <c r="AC1095" s="222">
        <v>0</v>
      </c>
      <c r="AD1095" s="222">
        <v>0</v>
      </c>
      <c r="AE1095" s="222">
        <v>980</v>
      </c>
      <c r="AF1095" s="221">
        <f t="shared" si="134"/>
        <v>2430.003497476253</v>
      </c>
      <c r="AG1095" s="222">
        <v>0</v>
      </c>
      <c r="AH1095" s="221">
        <v>0</v>
      </c>
      <c r="AI1095" s="222">
        <v>0</v>
      </c>
      <c r="AJ1095" s="221">
        <v>0</v>
      </c>
      <c r="AK1095" s="222">
        <v>0</v>
      </c>
      <c r="AL1095" s="222">
        <v>0</v>
      </c>
      <c r="AM1095" s="222">
        <v>0</v>
      </c>
      <c r="AN1095" s="222"/>
      <c r="AO1095" s="222">
        <v>0</v>
      </c>
    </row>
    <row r="1096" spans="1:41" s="223" customFormat="1" ht="36" customHeight="1" x14ac:dyDescent="0.25">
      <c r="A1096" s="223">
        <v>1</v>
      </c>
      <c r="B1096" s="225">
        <f>SUBTOTAL(103,$A$1030:A1096)</f>
        <v>67</v>
      </c>
      <c r="C1096" s="215" t="s">
        <v>2297</v>
      </c>
      <c r="D1096" s="217">
        <v>1959</v>
      </c>
      <c r="E1096" s="217"/>
      <c r="F1096" s="226" t="s">
        <v>267</v>
      </c>
      <c r="G1096" s="217">
        <v>2</v>
      </c>
      <c r="H1096" s="217">
        <v>1</v>
      </c>
      <c r="I1096" s="218">
        <v>373.3</v>
      </c>
      <c r="J1096" s="218">
        <v>330.4</v>
      </c>
      <c r="K1096" s="218">
        <v>288.7</v>
      </c>
      <c r="L1096" s="219">
        <v>20</v>
      </c>
      <c r="M1096" s="217" t="s">
        <v>265</v>
      </c>
      <c r="N1096" s="217" t="s">
        <v>269</v>
      </c>
      <c r="O1096" s="220" t="s">
        <v>1380</v>
      </c>
      <c r="P1096" s="190">
        <v>1521000</v>
      </c>
      <c r="Q1096" s="190">
        <v>0</v>
      </c>
      <c r="R1096" s="190">
        <v>0</v>
      </c>
      <c r="S1096" s="190">
        <f t="shared" si="125"/>
        <v>1521000</v>
      </c>
      <c r="T1096" s="190">
        <f t="shared" si="128"/>
        <v>4074.4709349049022</v>
      </c>
      <c r="U1096" s="190">
        <v>4794.0463434235198</v>
      </c>
      <c r="V1096" s="221">
        <f>U1096-T1096</f>
        <v>719.57540851861768</v>
      </c>
      <c r="W1096" s="221">
        <f t="shared" si="126"/>
        <v>16378.601125100455</v>
      </c>
      <c r="X1096" s="221">
        <v>0</v>
      </c>
      <c r="Y1096" s="222">
        <v>0</v>
      </c>
      <c r="Z1096" s="222">
        <v>0</v>
      </c>
      <c r="AA1096" s="222">
        <v>0</v>
      </c>
      <c r="AB1096" s="222">
        <v>0</v>
      </c>
      <c r="AC1096" s="222">
        <v>0</v>
      </c>
      <c r="AD1096" s="222">
        <v>0</v>
      </c>
      <c r="AE1096" s="222">
        <v>980</v>
      </c>
      <c r="AF1096" s="221">
        <f t="shared" si="134"/>
        <v>16378.601125100455</v>
      </c>
      <c r="AG1096" s="222">
        <v>0</v>
      </c>
      <c r="AH1096" s="221">
        <v>0</v>
      </c>
      <c r="AI1096" s="222">
        <v>0</v>
      </c>
      <c r="AJ1096" s="221">
        <v>0</v>
      </c>
      <c r="AK1096" s="222">
        <v>0</v>
      </c>
      <c r="AL1096" s="222">
        <v>0</v>
      </c>
      <c r="AM1096" s="222">
        <v>0</v>
      </c>
      <c r="AN1096" s="222"/>
      <c r="AO1096" s="222">
        <v>0</v>
      </c>
    </row>
    <row r="1097" spans="1:41" s="223" customFormat="1" ht="36" customHeight="1" x14ac:dyDescent="0.25">
      <c r="A1097" s="223">
        <v>1</v>
      </c>
      <c r="B1097" s="225">
        <f>SUBTOTAL(103,$A$1030:A1097)</f>
        <v>68</v>
      </c>
      <c r="C1097" s="215" t="s">
        <v>2298</v>
      </c>
      <c r="D1097" s="217">
        <v>1976</v>
      </c>
      <c r="E1097" s="217"/>
      <c r="F1097" s="226" t="s">
        <v>311</v>
      </c>
      <c r="G1097" s="217">
        <v>5</v>
      </c>
      <c r="H1097" s="217">
        <v>6</v>
      </c>
      <c r="I1097" s="218">
        <v>4602</v>
      </c>
      <c r="J1097" s="218">
        <v>4550.8999999999996</v>
      </c>
      <c r="K1097" s="218">
        <v>4397.8999999999996</v>
      </c>
      <c r="L1097" s="219">
        <v>225</v>
      </c>
      <c r="M1097" s="217" t="s">
        <v>265</v>
      </c>
      <c r="N1097" s="217" t="s">
        <v>269</v>
      </c>
      <c r="O1097" s="220" t="s">
        <v>1380</v>
      </c>
      <c r="P1097" s="190">
        <v>4858515.0599999996</v>
      </c>
      <c r="Q1097" s="190">
        <v>0</v>
      </c>
      <c r="R1097" s="190">
        <v>0</v>
      </c>
      <c r="S1097" s="190">
        <f t="shared" si="125"/>
        <v>4858515.0599999996</v>
      </c>
      <c r="T1097" s="190">
        <f t="shared" si="128"/>
        <v>1055.7399087353324</v>
      </c>
      <c r="U1097" s="190">
        <v>1622.6826923076924</v>
      </c>
      <c r="V1097" s="221">
        <f>U1097-T1097</f>
        <v>566.94278357235999</v>
      </c>
      <c r="W1097" s="221">
        <f t="shared" si="126"/>
        <v>1216.4654374185136</v>
      </c>
      <c r="X1097" s="221">
        <v>0</v>
      </c>
      <c r="Y1097" s="222">
        <v>0</v>
      </c>
      <c r="Z1097" s="222">
        <v>0</v>
      </c>
      <c r="AA1097" s="222">
        <v>0</v>
      </c>
      <c r="AB1097" s="222">
        <v>0</v>
      </c>
      <c r="AC1097" s="222">
        <v>0</v>
      </c>
      <c r="AD1097" s="222">
        <v>0</v>
      </c>
      <c r="AE1097" s="222">
        <v>897.3</v>
      </c>
      <c r="AF1097" s="221">
        <f t="shared" si="134"/>
        <v>1216.4654374185136</v>
      </c>
      <c r="AG1097" s="222">
        <v>0</v>
      </c>
      <c r="AH1097" s="221">
        <v>0</v>
      </c>
      <c r="AI1097" s="222">
        <v>0</v>
      </c>
      <c r="AJ1097" s="221">
        <v>0</v>
      </c>
      <c r="AK1097" s="222">
        <v>0</v>
      </c>
      <c r="AL1097" s="222">
        <v>0</v>
      </c>
      <c r="AM1097" s="222">
        <v>0</v>
      </c>
      <c r="AN1097" s="222"/>
      <c r="AO1097" s="222">
        <v>0</v>
      </c>
    </row>
    <row r="1098" spans="1:41" s="223" customFormat="1" ht="36" customHeight="1" x14ac:dyDescent="0.25">
      <c r="B1098" s="215" t="s">
        <v>756</v>
      </c>
      <c r="C1098" s="227"/>
      <c r="D1098" s="217" t="s">
        <v>890</v>
      </c>
      <c r="E1098" s="217" t="s">
        <v>890</v>
      </c>
      <c r="F1098" s="217" t="s">
        <v>890</v>
      </c>
      <c r="G1098" s="217" t="s">
        <v>890</v>
      </c>
      <c r="H1098" s="217" t="s">
        <v>890</v>
      </c>
      <c r="I1098" s="218">
        <f>SUM(I1099:I1112)</f>
        <v>14992.5</v>
      </c>
      <c r="J1098" s="218">
        <f>SUM(J1099:J1112)</f>
        <v>14301.600000000002</v>
      </c>
      <c r="K1098" s="218">
        <f>SUM(K1099:K1112)</f>
        <v>12867.5</v>
      </c>
      <c r="L1098" s="219">
        <f>SUM(L1099:L1112)</f>
        <v>773</v>
      </c>
      <c r="M1098" s="217" t="s">
        <v>890</v>
      </c>
      <c r="N1098" s="217" t="s">
        <v>890</v>
      </c>
      <c r="O1098" s="220" t="s">
        <v>890</v>
      </c>
      <c r="P1098" s="218">
        <v>44764760.649999999</v>
      </c>
      <c r="Q1098" s="218">
        <f>SUM(Q1099:Q1112)</f>
        <v>0</v>
      </c>
      <c r="R1098" s="218">
        <f>SUM(R1099:R1112)</f>
        <v>0</v>
      </c>
      <c r="S1098" s="218">
        <f>SUM(S1099:S1112)</f>
        <v>44764760.649999999</v>
      </c>
      <c r="T1098" s="190">
        <f t="shared" si="128"/>
        <v>2985.8102818075704</v>
      </c>
      <c r="U1098" s="190">
        <f>MAX(U1099:U1112)</f>
        <v>8143.6914551083582</v>
      </c>
      <c r="V1098" s="221">
        <f t="shared" ref="V1098:V1164" si="135">U1098-T1098</f>
        <v>5157.8811733007879</v>
      </c>
      <c r="W1098" s="221"/>
      <c r="X1098" s="221"/>
      <c r="Y1098" s="222"/>
      <c r="Z1098" s="222"/>
      <c r="AA1098" s="222"/>
      <c r="AB1098" s="222"/>
      <c r="AC1098" s="222"/>
      <c r="AD1098" s="222"/>
      <c r="AE1098" s="222"/>
      <c r="AF1098" s="222"/>
      <c r="AG1098" s="222"/>
      <c r="AH1098" s="222"/>
      <c r="AI1098" s="222"/>
      <c r="AJ1098" s="222"/>
      <c r="AK1098" s="222"/>
      <c r="AL1098" s="222"/>
      <c r="AM1098" s="222"/>
      <c r="AN1098" s="222"/>
      <c r="AO1098" s="222"/>
    </row>
    <row r="1099" spans="1:41" s="223" customFormat="1" ht="36" customHeight="1" x14ac:dyDescent="0.25">
      <c r="A1099" s="223">
        <v>1</v>
      </c>
      <c r="B1099" s="225">
        <f>SUBTOTAL(103,$A$1030:A1099)</f>
        <v>69</v>
      </c>
      <c r="C1099" s="215" t="s">
        <v>466</v>
      </c>
      <c r="D1099" s="217">
        <v>1962</v>
      </c>
      <c r="E1099" s="217"/>
      <c r="F1099" s="226" t="s">
        <v>267</v>
      </c>
      <c r="G1099" s="217">
        <v>2</v>
      </c>
      <c r="H1099" s="217" t="s">
        <v>303</v>
      </c>
      <c r="I1099" s="218">
        <v>784.2</v>
      </c>
      <c r="J1099" s="218">
        <v>784.2</v>
      </c>
      <c r="K1099" s="218">
        <v>715.8</v>
      </c>
      <c r="L1099" s="219">
        <v>47</v>
      </c>
      <c r="M1099" s="217" t="s">
        <v>265</v>
      </c>
      <c r="N1099" s="217" t="s">
        <v>266</v>
      </c>
      <c r="O1099" s="220" t="s">
        <v>268</v>
      </c>
      <c r="P1099" s="190">
        <v>3951259.39</v>
      </c>
      <c r="Q1099" s="190">
        <v>0</v>
      </c>
      <c r="R1099" s="190">
        <v>0</v>
      </c>
      <c r="S1099" s="190">
        <f t="shared" ref="S1099:S1112" si="136">P1099-Q1099-R1099</f>
        <v>3951259.39</v>
      </c>
      <c r="T1099" s="190">
        <f t="shared" si="128"/>
        <v>5038.5863172660038</v>
      </c>
      <c r="U1099" s="190">
        <v>5380.7608773272113</v>
      </c>
      <c r="V1099" s="221">
        <f t="shared" si="135"/>
        <v>342.17456006120756</v>
      </c>
      <c r="W1099" s="221">
        <f t="shared" ref="W1099:W1112" si="137">X1099+Y1099+Z1099+AA1099+AB1099+AD1099+AF1099+AH1099+AJ1099+AL1099+AN1099+AO1099</f>
        <v>5158.5172711043097</v>
      </c>
      <c r="X1099" s="221">
        <v>0</v>
      </c>
      <c r="Y1099" s="222">
        <v>0</v>
      </c>
      <c r="Z1099" s="222">
        <v>0</v>
      </c>
      <c r="AA1099" s="222">
        <v>0</v>
      </c>
      <c r="AB1099" s="222">
        <v>0</v>
      </c>
      <c r="AC1099" s="222">
        <v>0</v>
      </c>
      <c r="AD1099" s="222">
        <v>0</v>
      </c>
      <c r="AE1099" s="222">
        <v>648.4</v>
      </c>
      <c r="AF1099" s="221">
        <f>6238.91*AE1099/I1099</f>
        <v>5158.5172711043097</v>
      </c>
      <c r="AG1099" s="222">
        <v>0</v>
      </c>
      <c r="AH1099" s="221">
        <v>0</v>
      </c>
      <c r="AI1099" s="222">
        <v>0</v>
      </c>
      <c r="AJ1099" s="221">
        <v>0</v>
      </c>
      <c r="AK1099" s="222">
        <v>0</v>
      </c>
      <c r="AL1099" s="222">
        <v>0</v>
      </c>
      <c r="AM1099" s="222">
        <v>0</v>
      </c>
      <c r="AN1099" s="222"/>
      <c r="AO1099" s="222">
        <v>0</v>
      </c>
    </row>
    <row r="1100" spans="1:41" s="223" customFormat="1" ht="36" customHeight="1" x14ac:dyDescent="0.25">
      <c r="A1100" s="223">
        <v>1</v>
      </c>
      <c r="B1100" s="225">
        <f>SUBTOTAL(103,$A$1030:A1100)</f>
        <v>70</v>
      </c>
      <c r="C1100" s="215" t="s">
        <v>467</v>
      </c>
      <c r="D1100" s="217">
        <v>1959</v>
      </c>
      <c r="E1100" s="217"/>
      <c r="F1100" s="226" t="s">
        <v>267</v>
      </c>
      <c r="G1100" s="217">
        <v>2</v>
      </c>
      <c r="H1100" s="217" t="s">
        <v>303</v>
      </c>
      <c r="I1100" s="218">
        <v>611</v>
      </c>
      <c r="J1100" s="218">
        <v>564.20000000000005</v>
      </c>
      <c r="K1100" s="218">
        <v>492.1</v>
      </c>
      <c r="L1100" s="219">
        <v>36</v>
      </c>
      <c r="M1100" s="217" t="s">
        <v>265</v>
      </c>
      <c r="N1100" s="217" t="s">
        <v>269</v>
      </c>
      <c r="O1100" s="220" t="s">
        <v>346</v>
      </c>
      <c r="P1100" s="190">
        <v>2999201</v>
      </c>
      <c r="Q1100" s="190">
        <v>0</v>
      </c>
      <c r="R1100" s="190">
        <v>0</v>
      </c>
      <c r="S1100" s="190">
        <f t="shared" si="136"/>
        <v>2999201</v>
      </c>
      <c r="T1100" s="190">
        <f t="shared" si="128"/>
        <v>4908.675941080196</v>
      </c>
      <c r="U1100" s="190">
        <v>5826.042389525368</v>
      </c>
      <c r="V1100" s="221">
        <f t="shared" si="135"/>
        <v>917.36644844517195</v>
      </c>
      <c r="W1100" s="221">
        <f t="shared" si="137"/>
        <v>5585.4071522094928</v>
      </c>
      <c r="X1100" s="221">
        <v>0</v>
      </c>
      <c r="Y1100" s="222">
        <v>0</v>
      </c>
      <c r="Z1100" s="222">
        <v>0</v>
      </c>
      <c r="AA1100" s="222">
        <v>0</v>
      </c>
      <c r="AB1100" s="222">
        <v>0</v>
      </c>
      <c r="AC1100" s="222">
        <v>0</v>
      </c>
      <c r="AD1100" s="222">
        <v>0</v>
      </c>
      <c r="AE1100" s="222">
        <v>547</v>
      </c>
      <c r="AF1100" s="221">
        <f>6238.91*AE1100/I1100</f>
        <v>5585.4071522094928</v>
      </c>
      <c r="AG1100" s="222">
        <v>0</v>
      </c>
      <c r="AH1100" s="221">
        <v>0</v>
      </c>
      <c r="AI1100" s="222">
        <v>0</v>
      </c>
      <c r="AJ1100" s="221">
        <v>0</v>
      </c>
      <c r="AK1100" s="222">
        <v>0</v>
      </c>
      <c r="AL1100" s="222">
        <v>0</v>
      </c>
      <c r="AM1100" s="222">
        <v>0</v>
      </c>
      <c r="AN1100" s="222"/>
      <c r="AO1100" s="222">
        <v>0</v>
      </c>
    </row>
    <row r="1101" spans="1:41" s="223" customFormat="1" ht="36" customHeight="1" x14ac:dyDescent="0.25">
      <c r="A1101" s="223">
        <v>1</v>
      </c>
      <c r="B1101" s="225">
        <f>SUBTOTAL(103,$A$1030:A1101)</f>
        <v>71</v>
      </c>
      <c r="C1101" s="215" t="s">
        <v>468</v>
      </c>
      <c r="D1101" s="217">
        <v>1960</v>
      </c>
      <c r="E1101" s="217"/>
      <c r="F1101" s="226" t="s">
        <v>267</v>
      </c>
      <c r="G1101" s="217">
        <v>2</v>
      </c>
      <c r="H1101" s="217" t="s">
        <v>303</v>
      </c>
      <c r="I1101" s="218">
        <v>549.79999999999995</v>
      </c>
      <c r="J1101" s="218">
        <v>549.79999999999995</v>
      </c>
      <c r="K1101" s="218">
        <v>404</v>
      </c>
      <c r="L1101" s="219">
        <v>27</v>
      </c>
      <c r="M1101" s="217" t="s">
        <v>265</v>
      </c>
      <c r="N1101" s="217" t="s">
        <v>283</v>
      </c>
      <c r="O1101" s="220" t="s">
        <v>268</v>
      </c>
      <c r="P1101" s="190">
        <v>2584541.12</v>
      </c>
      <c r="Q1101" s="190">
        <v>0</v>
      </c>
      <c r="R1101" s="190">
        <v>0</v>
      </c>
      <c r="S1101" s="190">
        <f t="shared" si="136"/>
        <v>2584541.12</v>
      </c>
      <c r="T1101" s="190">
        <f t="shared" ref="T1101:T1164" si="138">P1101/I1101</f>
        <v>4700.8750818479457</v>
      </c>
      <c r="U1101" s="190">
        <v>5837.75489268825</v>
      </c>
      <c r="V1101" s="221">
        <f t="shared" si="135"/>
        <v>1136.8798108403043</v>
      </c>
      <c r="W1101" s="221">
        <f t="shared" si="137"/>
        <v>5596.6358894143332</v>
      </c>
      <c r="X1101" s="221">
        <v>0</v>
      </c>
      <c r="Y1101" s="222">
        <v>0</v>
      </c>
      <c r="Z1101" s="222">
        <v>0</v>
      </c>
      <c r="AA1101" s="222">
        <v>0</v>
      </c>
      <c r="AB1101" s="222">
        <v>0</v>
      </c>
      <c r="AC1101" s="222">
        <v>0</v>
      </c>
      <c r="AD1101" s="222">
        <v>0</v>
      </c>
      <c r="AE1101" s="222">
        <v>493.2</v>
      </c>
      <c r="AF1101" s="221">
        <f>6238.91*AE1101/I1101</f>
        <v>5596.6358894143332</v>
      </c>
      <c r="AG1101" s="222">
        <v>0</v>
      </c>
      <c r="AH1101" s="221">
        <v>0</v>
      </c>
      <c r="AI1101" s="222">
        <v>0</v>
      </c>
      <c r="AJ1101" s="221">
        <v>0</v>
      </c>
      <c r="AK1101" s="222">
        <v>0</v>
      </c>
      <c r="AL1101" s="222">
        <v>0</v>
      </c>
      <c r="AM1101" s="222">
        <v>0</v>
      </c>
      <c r="AN1101" s="222"/>
      <c r="AO1101" s="222">
        <v>0</v>
      </c>
    </row>
    <row r="1102" spans="1:41" s="223" customFormat="1" ht="36" customHeight="1" x14ac:dyDescent="0.25">
      <c r="A1102" s="223">
        <v>1</v>
      </c>
      <c r="B1102" s="225">
        <f>SUBTOTAL(103,$A$1030:A1102)</f>
        <v>72</v>
      </c>
      <c r="C1102" s="215" t="s">
        <v>469</v>
      </c>
      <c r="D1102" s="217">
        <v>1968</v>
      </c>
      <c r="E1102" s="217"/>
      <c r="F1102" s="226" t="s">
        <v>267</v>
      </c>
      <c r="G1102" s="217">
        <v>5</v>
      </c>
      <c r="H1102" s="217" t="s">
        <v>308</v>
      </c>
      <c r="I1102" s="218">
        <v>3425.4</v>
      </c>
      <c r="J1102" s="218">
        <v>3385.7</v>
      </c>
      <c r="K1102" s="218">
        <v>2995.5</v>
      </c>
      <c r="L1102" s="219">
        <v>208</v>
      </c>
      <c r="M1102" s="217" t="s">
        <v>265</v>
      </c>
      <c r="N1102" s="217" t="s">
        <v>266</v>
      </c>
      <c r="O1102" s="220" t="s">
        <v>268</v>
      </c>
      <c r="P1102" s="190">
        <v>6581549.3999999994</v>
      </c>
      <c r="Q1102" s="190">
        <v>0</v>
      </c>
      <c r="R1102" s="190">
        <v>0</v>
      </c>
      <c r="S1102" s="190">
        <f t="shared" si="136"/>
        <v>6581549.3999999994</v>
      </c>
      <c r="T1102" s="190">
        <f t="shared" si="138"/>
        <v>1921.3958661762128</v>
      </c>
      <c r="U1102" s="190">
        <v>2146.8152624511004</v>
      </c>
      <c r="V1102" s="221">
        <f t="shared" si="135"/>
        <v>225.4193962748875</v>
      </c>
      <c r="W1102" s="221">
        <f t="shared" si="137"/>
        <v>2058.1445378641911</v>
      </c>
      <c r="X1102" s="221">
        <v>0</v>
      </c>
      <c r="Y1102" s="222">
        <v>0</v>
      </c>
      <c r="Z1102" s="222">
        <v>0</v>
      </c>
      <c r="AA1102" s="222">
        <v>0</v>
      </c>
      <c r="AB1102" s="222">
        <v>0</v>
      </c>
      <c r="AC1102" s="222">
        <v>0</v>
      </c>
      <c r="AD1102" s="222">
        <v>0</v>
      </c>
      <c r="AE1102" s="222">
        <v>1130</v>
      </c>
      <c r="AF1102" s="221">
        <f>6238.91*AE1102/I1102</f>
        <v>2058.1445378641911</v>
      </c>
      <c r="AG1102" s="222">
        <v>0</v>
      </c>
      <c r="AH1102" s="221">
        <v>0</v>
      </c>
      <c r="AI1102" s="222">
        <v>0</v>
      </c>
      <c r="AJ1102" s="221">
        <v>0</v>
      </c>
      <c r="AK1102" s="222">
        <v>0</v>
      </c>
      <c r="AL1102" s="222">
        <v>0</v>
      </c>
      <c r="AM1102" s="222">
        <v>0</v>
      </c>
      <c r="AN1102" s="222"/>
      <c r="AO1102" s="222">
        <v>0</v>
      </c>
    </row>
    <row r="1103" spans="1:41" s="223" customFormat="1" ht="36" customHeight="1" x14ac:dyDescent="0.25">
      <c r="A1103" s="223">
        <v>1</v>
      </c>
      <c r="B1103" s="225">
        <f>SUBTOTAL(103,$A$1030:A1103)</f>
        <v>73</v>
      </c>
      <c r="C1103" s="215" t="s">
        <v>470</v>
      </c>
      <c r="D1103" s="217">
        <v>1966</v>
      </c>
      <c r="E1103" s="217"/>
      <c r="F1103" s="226" t="s">
        <v>267</v>
      </c>
      <c r="G1103" s="217">
        <v>5</v>
      </c>
      <c r="H1103" s="217" t="s">
        <v>312</v>
      </c>
      <c r="I1103" s="218">
        <v>2708.5</v>
      </c>
      <c r="J1103" s="218">
        <v>2523.1</v>
      </c>
      <c r="K1103" s="218">
        <v>2195.4</v>
      </c>
      <c r="L1103" s="219">
        <v>137</v>
      </c>
      <c r="M1103" s="217" t="s">
        <v>265</v>
      </c>
      <c r="N1103" s="217" t="s">
        <v>266</v>
      </c>
      <c r="O1103" s="220" t="s">
        <v>268</v>
      </c>
      <c r="P1103" s="190">
        <v>4737312</v>
      </c>
      <c r="Q1103" s="190">
        <v>0</v>
      </c>
      <c r="R1103" s="190">
        <v>0</v>
      </c>
      <c r="S1103" s="190">
        <f t="shared" si="136"/>
        <v>4737312</v>
      </c>
      <c r="T1103" s="190">
        <f t="shared" si="138"/>
        <v>1749.053719771091</v>
      </c>
      <c r="U1103" s="190">
        <v>2075.9286690049844</v>
      </c>
      <c r="V1103" s="221">
        <f t="shared" si="135"/>
        <v>326.8749492338934</v>
      </c>
      <c r="W1103" s="221">
        <f t="shared" si="137"/>
        <v>1990.1858002584456</v>
      </c>
      <c r="X1103" s="221">
        <v>0</v>
      </c>
      <c r="Y1103" s="222">
        <v>0</v>
      </c>
      <c r="Z1103" s="222">
        <v>0</v>
      </c>
      <c r="AA1103" s="222">
        <v>0</v>
      </c>
      <c r="AB1103" s="222">
        <v>0</v>
      </c>
      <c r="AC1103" s="222">
        <v>0</v>
      </c>
      <c r="AD1103" s="222">
        <v>0</v>
      </c>
      <c r="AE1103" s="222">
        <v>864</v>
      </c>
      <c r="AF1103" s="221">
        <f>6238.91*AE1103/I1103</f>
        <v>1990.1858002584456</v>
      </c>
      <c r="AG1103" s="222">
        <v>0</v>
      </c>
      <c r="AH1103" s="221">
        <v>0</v>
      </c>
      <c r="AI1103" s="222">
        <v>0</v>
      </c>
      <c r="AJ1103" s="221">
        <v>0</v>
      </c>
      <c r="AK1103" s="222">
        <v>0</v>
      </c>
      <c r="AL1103" s="222">
        <v>0</v>
      </c>
      <c r="AM1103" s="222">
        <v>0</v>
      </c>
      <c r="AN1103" s="222"/>
      <c r="AO1103" s="222">
        <v>0</v>
      </c>
    </row>
    <row r="1104" spans="1:41" s="223" customFormat="1" ht="36" customHeight="1" x14ac:dyDescent="0.25">
      <c r="A1104" s="223">
        <v>1</v>
      </c>
      <c r="B1104" s="225">
        <f>SUBTOTAL(103,$A$1030:A1104)</f>
        <v>74</v>
      </c>
      <c r="C1104" s="215" t="s">
        <v>471</v>
      </c>
      <c r="D1104" s="217">
        <v>1964</v>
      </c>
      <c r="E1104" s="217">
        <v>2008</v>
      </c>
      <c r="F1104" s="226" t="s">
        <v>267</v>
      </c>
      <c r="G1104" s="217">
        <v>4</v>
      </c>
      <c r="H1104" s="217" t="s">
        <v>303</v>
      </c>
      <c r="I1104" s="218">
        <v>1368.5</v>
      </c>
      <c r="J1104" s="218">
        <v>1271.5</v>
      </c>
      <c r="K1104" s="218">
        <v>1271.5</v>
      </c>
      <c r="L1104" s="219">
        <v>43</v>
      </c>
      <c r="M1104" s="217" t="s">
        <v>265</v>
      </c>
      <c r="N1104" s="217" t="s">
        <v>344</v>
      </c>
      <c r="O1104" s="220" t="s">
        <v>345</v>
      </c>
      <c r="P1104" s="190">
        <v>491510.45999999996</v>
      </c>
      <c r="Q1104" s="190">
        <v>0</v>
      </c>
      <c r="R1104" s="190">
        <v>0</v>
      </c>
      <c r="S1104" s="190">
        <f t="shared" si="136"/>
        <v>491510.45999999996</v>
      </c>
      <c r="T1104" s="190">
        <f t="shared" si="138"/>
        <v>359.15999999999997</v>
      </c>
      <c r="U1104" s="190">
        <v>359.15999999999997</v>
      </c>
      <c r="V1104" s="221">
        <f t="shared" si="135"/>
        <v>0</v>
      </c>
      <c r="W1104" s="221">
        <f>T1104</f>
        <v>359.15999999999997</v>
      </c>
      <c r="X1104" s="221">
        <v>0</v>
      </c>
      <c r="Y1104" s="222">
        <v>0</v>
      </c>
      <c r="Z1104" s="222">
        <v>0</v>
      </c>
      <c r="AA1104" s="222">
        <v>184.98</v>
      </c>
      <c r="AB1104" s="222">
        <v>0</v>
      </c>
      <c r="AC1104" s="222">
        <v>0</v>
      </c>
      <c r="AD1104" s="222">
        <v>0</v>
      </c>
      <c r="AE1104" s="222">
        <v>0</v>
      </c>
      <c r="AF1104" s="221">
        <v>0</v>
      </c>
      <c r="AG1104" s="222">
        <v>0</v>
      </c>
      <c r="AH1104" s="221">
        <v>0</v>
      </c>
      <c r="AI1104" s="222">
        <v>0</v>
      </c>
      <c r="AJ1104" s="221">
        <v>0</v>
      </c>
      <c r="AK1104" s="222">
        <v>0</v>
      </c>
      <c r="AL1104" s="222">
        <v>0</v>
      </c>
      <c r="AM1104" s="222">
        <v>0</v>
      </c>
      <c r="AN1104" s="222"/>
      <c r="AO1104" s="222">
        <v>0</v>
      </c>
    </row>
    <row r="1105" spans="1:41" s="223" customFormat="1" ht="36" customHeight="1" x14ac:dyDescent="0.25">
      <c r="A1105" s="223">
        <v>1</v>
      </c>
      <c r="B1105" s="225">
        <f>SUBTOTAL(103,$A$1030:A1105)</f>
        <v>75</v>
      </c>
      <c r="C1105" s="215" t="s">
        <v>472</v>
      </c>
      <c r="D1105" s="217">
        <v>1960</v>
      </c>
      <c r="E1105" s="217"/>
      <c r="F1105" s="226" t="s">
        <v>267</v>
      </c>
      <c r="G1105" s="217">
        <v>2</v>
      </c>
      <c r="H1105" s="217" t="s">
        <v>303</v>
      </c>
      <c r="I1105" s="218">
        <v>646.1</v>
      </c>
      <c r="J1105" s="218">
        <v>646.1</v>
      </c>
      <c r="K1105" s="218">
        <v>646.1</v>
      </c>
      <c r="L1105" s="219">
        <v>42</v>
      </c>
      <c r="M1105" s="217" t="s">
        <v>265</v>
      </c>
      <c r="N1105" s="217" t="s">
        <v>266</v>
      </c>
      <c r="O1105" s="220" t="s">
        <v>268</v>
      </c>
      <c r="P1105" s="190">
        <v>3422817.5799999996</v>
      </c>
      <c r="Q1105" s="190">
        <v>0</v>
      </c>
      <c r="R1105" s="190">
        <v>0</v>
      </c>
      <c r="S1105" s="190">
        <f t="shared" si="136"/>
        <v>3422817.5799999996</v>
      </c>
      <c r="T1105" s="190">
        <f t="shared" si="138"/>
        <v>5297.6591549295763</v>
      </c>
      <c r="U1105" s="190">
        <v>6287.7214084507032</v>
      </c>
      <c r="V1105" s="221">
        <f t="shared" si="135"/>
        <v>990.06225352112688</v>
      </c>
      <c r="W1105" s="221">
        <f t="shared" si="137"/>
        <v>6028.0172676056327</v>
      </c>
      <c r="X1105" s="221">
        <v>0</v>
      </c>
      <c r="Y1105" s="222">
        <v>0</v>
      </c>
      <c r="Z1105" s="222">
        <v>0</v>
      </c>
      <c r="AA1105" s="222">
        <v>0</v>
      </c>
      <c r="AB1105" s="222">
        <v>0</v>
      </c>
      <c r="AC1105" s="222">
        <v>0</v>
      </c>
      <c r="AD1105" s="222">
        <v>0</v>
      </c>
      <c r="AE1105" s="222">
        <v>624.26</v>
      </c>
      <c r="AF1105" s="221">
        <f>6238.91*AE1105/I1105</f>
        <v>6028.0172676056327</v>
      </c>
      <c r="AG1105" s="222">
        <v>0</v>
      </c>
      <c r="AH1105" s="221">
        <v>0</v>
      </c>
      <c r="AI1105" s="222">
        <v>0</v>
      </c>
      <c r="AJ1105" s="221">
        <v>0</v>
      </c>
      <c r="AK1105" s="222">
        <v>0</v>
      </c>
      <c r="AL1105" s="222">
        <v>0</v>
      </c>
      <c r="AM1105" s="222">
        <v>0</v>
      </c>
      <c r="AN1105" s="222"/>
      <c r="AO1105" s="222">
        <v>0</v>
      </c>
    </row>
    <row r="1106" spans="1:41" s="223" customFormat="1" ht="36" customHeight="1" x14ac:dyDescent="0.25">
      <c r="A1106" s="223">
        <v>1</v>
      </c>
      <c r="B1106" s="225">
        <f>SUBTOTAL(103,$A$1030:A1106)</f>
        <v>76</v>
      </c>
      <c r="C1106" s="215" t="s">
        <v>473</v>
      </c>
      <c r="D1106" s="217">
        <v>1961</v>
      </c>
      <c r="E1106" s="217"/>
      <c r="F1106" s="226" t="s">
        <v>267</v>
      </c>
      <c r="G1106" s="217">
        <v>2</v>
      </c>
      <c r="H1106" s="217" t="s">
        <v>303</v>
      </c>
      <c r="I1106" s="218">
        <v>579.4</v>
      </c>
      <c r="J1106" s="218">
        <v>538.1</v>
      </c>
      <c r="K1106" s="218">
        <v>470.3</v>
      </c>
      <c r="L1106" s="219">
        <v>35</v>
      </c>
      <c r="M1106" s="217" t="s">
        <v>265</v>
      </c>
      <c r="N1106" s="217" t="s">
        <v>283</v>
      </c>
      <c r="O1106" s="220" t="s">
        <v>268</v>
      </c>
      <c r="P1106" s="190">
        <v>2888444.4</v>
      </c>
      <c r="Q1106" s="190">
        <v>0</v>
      </c>
      <c r="R1106" s="190">
        <v>0</v>
      </c>
      <c r="S1106" s="190">
        <f t="shared" si="136"/>
        <v>2888444.4</v>
      </c>
      <c r="T1106" s="190">
        <f t="shared" si="138"/>
        <v>4985.2336900241626</v>
      </c>
      <c r="U1106" s="190">
        <v>5916.9077666551593</v>
      </c>
      <c r="V1106" s="221">
        <f t="shared" si="135"/>
        <v>931.67407663099675</v>
      </c>
      <c r="W1106" s="221">
        <f t="shared" si="137"/>
        <v>5672.5194822229887</v>
      </c>
      <c r="X1106" s="221">
        <v>0</v>
      </c>
      <c r="Y1106" s="222">
        <v>0</v>
      </c>
      <c r="Z1106" s="222">
        <v>0</v>
      </c>
      <c r="AA1106" s="222">
        <v>0</v>
      </c>
      <c r="AB1106" s="222">
        <v>0</v>
      </c>
      <c r="AC1106" s="222">
        <v>0</v>
      </c>
      <c r="AD1106" s="222">
        <v>0</v>
      </c>
      <c r="AE1106" s="222">
        <v>526.79999999999995</v>
      </c>
      <c r="AF1106" s="221">
        <f>6238.91*AE1106/I1106</f>
        <v>5672.5194822229887</v>
      </c>
      <c r="AG1106" s="222">
        <v>0</v>
      </c>
      <c r="AH1106" s="221">
        <v>0</v>
      </c>
      <c r="AI1106" s="222">
        <v>0</v>
      </c>
      <c r="AJ1106" s="221">
        <v>0</v>
      </c>
      <c r="AK1106" s="222">
        <v>0</v>
      </c>
      <c r="AL1106" s="222">
        <v>0</v>
      </c>
      <c r="AM1106" s="222">
        <v>0</v>
      </c>
      <c r="AN1106" s="222"/>
      <c r="AO1106" s="222">
        <v>0</v>
      </c>
    </row>
    <row r="1107" spans="1:41" s="223" customFormat="1" ht="36" customHeight="1" x14ac:dyDescent="0.25">
      <c r="A1107" s="223">
        <v>1</v>
      </c>
      <c r="B1107" s="225">
        <f>SUBTOTAL(103,$A$1030:A1107)</f>
        <v>77</v>
      </c>
      <c r="C1107" s="215" t="s">
        <v>474</v>
      </c>
      <c r="D1107" s="217">
        <v>1960</v>
      </c>
      <c r="E1107" s="217"/>
      <c r="F1107" s="226" t="s">
        <v>267</v>
      </c>
      <c r="G1107" s="217">
        <v>2</v>
      </c>
      <c r="H1107" s="217" t="s">
        <v>303</v>
      </c>
      <c r="I1107" s="218">
        <v>591.29999999999995</v>
      </c>
      <c r="J1107" s="218">
        <v>543.1</v>
      </c>
      <c r="K1107" s="218">
        <v>477.6</v>
      </c>
      <c r="L1107" s="219">
        <v>28</v>
      </c>
      <c r="M1107" s="217" t="s">
        <v>265</v>
      </c>
      <c r="N1107" s="217" t="s">
        <v>266</v>
      </c>
      <c r="O1107" s="220" t="s">
        <v>268</v>
      </c>
      <c r="P1107" s="190">
        <v>3422817.5799999996</v>
      </c>
      <c r="Q1107" s="190">
        <v>0</v>
      </c>
      <c r="R1107" s="190">
        <v>0</v>
      </c>
      <c r="S1107" s="190">
        <f t="shared" si="136"/>
        <v>3422817.5799999996</v>
      </c>
      <c r="T1107" s="190">
        <f t="shared" si="138"/>
        <v>5788.6311178758669</v>
      </c>
      <c r="U1107" s="190">
        <v>6870.4495213935397</v>
      </c>
      <c r="V1107" s="221">
        <f t="shared" si="135"/>
        <v>1081.8184035176728</v>
      </c>
      <c r="W1107" s="221">
        <f t="shared" si="137"/>
        <v>6586.6767404025031</v>
      </c>
      <c r="X1107" s="221">
        <v>0</v>
      </c>
      <c r="Y1107" s="222">
        <v>0</v>
      </c>
      <c r="Z1107" s="222">
        <v>0</v>
      </c>
      <c r="AA1107" s="222">
        <v>0</v>
      </c>
      <c r="AB1107" s="222">
        <v>0</v>
      </c>
      <c r="AC1107" s="222">
        <v>0</v>
      </c>
      <c r="AD1107" s="222">
        <v>0</v>
      </c>
      <c r="AE1107" s="222">
        <v>624.26</v>
      </c>
      <c r="AF1107" s="221">
        <f>6238.91*AE1107/I1107</f>
        <v>6586.6767404025031</v>
      </c>
      <c r="AG1107" s="222">
        <v>0</v>
      </c>
      <c r="AH1107" s="221">
        <v>0</v>
      </c>
      <c r="AI1107" s="222">
        <v>0</v>
      </c>
      <c r="AJ1107" s="221">
        <v>0</v>
      </c>
      <c r="AK1107" s="222">
        <v>0</v>
      </c>
      <c r="AL1107" s="222">
        <v>0</v>
      </c>
      <c r="AM1107" s="222">
        <v>0</v>
      </c>
      <c r="AN1107" s="222"/>
      <c r="AO1107" s="222">
        <v>0</v>
      </c>
    </row>
    <row r="1108" spans="1:41" s="223" customFormat="1" ht="36" customHeight="1" x14ac:dyDescent="0.25">
      <c r="A1108" s="223">
        <v>1</v>
      </c>
      <c r="B1108" s="225">
        <f>SUBTOTAL(103,$A$1030:A1108)</f>
        <v>78</v>
      </c>
      <c r="C1108" s="215" t="s">
        <v>475</v>
      </c>
      <c r="D1108" s="217">
        <v>1962</v>
      </c>
      <c r="E1108" s="217"/>
      <c r="F1108" s="226" t="s">
        <v>267</v>
      </c>
      <c r="G1108" s="217">
        <v>2</v>
      </c>
      <c r="H1108" s="217" t="s">
        <v>303</v>
      </c>
      <c r="I1108" s="218">
        <v>540</v>
      </c>
      <c r="J1108" s="218">
        <v>540</v>
      </c>
      <c r="K1108" s="218">
        <v>500</v>
      </c>
      <c r="L1108" s="219">
        <v>26</v>
      </c>
      <c r="M1108" s="217" t="s">
        <v>265</v>
      </c>
      <c r="N1108" s="217" t="s">
        <v>266</v>
      </c>
      <c r="O1108" s="220" t="s">
        <v>268</v>
      </c>
      <c r="P1108" s="190">
        <v>3106903.4</v>
      </c>
      <c r="Q1108" s="190">
        <v>0</v>
      </c>
      <c r="R1108" s="190">
        <v>0</v>
      </c>
      <c r="S1108" s="190">
        <f t="shared" si="136"/>
        <v>3106903.4</v>
      </c>
      <c r="T1108" s="190">
        <f t="shared" si="138"/>
        <v>5753.5248148148148</v>
      </c>
      <c r="U1108" s="190">
        <v>6566.1487870370374</v>
      </c>
      <c r="V1108" s="221">
        <f t="shared" si="135"/>
        <v>812.62397222222262</v>
      </c>
      <c r="W1108" s="221">
        <f t="shared" si="137"/>
        <v>6294.9446546296294</v>
      </c>
      <c r="X1108" s="221">
        <v>0</v>
      </c>
      <c r="Y1108" s="222">
        <v>0</v>
      </c>
      <c r="Z1108" s="222">
        <v>0</v>
      </c>
      <c r="AA1108" s="222">
        <v>0</v>
      </c>
      <c r="AB1108" s="222">
        <v>0</v>
      </c>
      <c r="AC1108" s="222">
        <v>0</v>
      </c>
      <c r="AD1108" s="222">
        <v>0</v>
      </c>
      <c r="AE1108" s="222">
        <v>544.85</v>
      </c>
      <c r="AF1108" s="221">
        <f>6238.91*AE1108/I1108</f>
        <v>6294.9446546296294</v>
      </c>
      <c r="AG1108" s="222">
        <v>0</v>
      </c>
      <c r="AH1108" s="221">
        <v>0</v>
      </c>
      <c r="AI1108" s="222">
        <v>0</v>
      </c>
      <c r="AJ1108" s="221">
        <v>0</v>
      </c>
      <c r="AK1108" s="222">
        <v>0</v>
      </c>
      <c r="AL1108" s="222">
        <v>0</v>
      </c>
      <c r="AM1108" s="222">
        <v>0</v>
      </c>
      <c r="AN1108" s="222"/>
      <c r="AO1108" s="222">
        <v>0</v>
      </c>
    </row>
    <row r="1109" spans="1:41" s="223" customFormat="1" ht="36" customHeight="1" x14ac:dyDescent="0.25">
      <c r="A1109" s="223">
        <v>1</v>
      </c>
      <c r="B1109" s="225">
        <f>SUBTOTAL(103,$A$1030:A1109)</f>
        <v>79</v>
      </c>
      <c r="C1109" s="215" t="s">
        <v>1694</v>
      </c>
      <c r="D1109" s="217">
        <v>1964</v>
      </c>
      <c r="E1109" s="217"/>
      <c r="F1109" s="226" t="s">
        <v>267</v>
      </c>
      <c r="G1109" s="217">
        <v>2</v>
      </c>
      <c r="H1109" s="217" t="s">
        <v>303</v>
      </c>
      <c r="I1109" s="218">
        <v>420</v>
      </c>
      <c r="J1109" s="218">
        <v>380.1</v>
      </c>
      <c r="K1109" s="218">
        <v>337</v>
      </c>
      <c r="L1109" s="219">
        <v>21</v>
      </c>
      <c r="M1109" s="217" t="s">
        <v>265</v>
      </c>
      <c r="N1109" s="217" t="s">
        <v>266</v>
      </c>
      <c r="O1109" s="220" t="s">
        <v>268</v>
      </c>
      <c r="P1109" s="190">
        <v>2564145.2799999998</v>
      </c>
      <c r="Q1109" s="190">
        <v>0</v>
      </c>
      <c r="R1109" s="190">
        <v>0</v>
      </c>
      <c r="S1109" s="190">
        <f t="shared" si="136"/>
        <v>2564145.2799999998</v>
      </c>
      <c r="T1109" s="190">
        <f t="shared" si="138"/>
        <v>6105.107809523809</v>
      </c>
      <c r="U1109" s="190">
        <v>6105.107809523809</v>
      </c>
      <c r="V1109" s="221">
        <f t="shared" si="135"/>
        <v>0</v>
      </c>
      <c r="W1109" s="221">
        <f>T1109</f>
        <v>6105.107809523809</v>
      </c>
      <c r="X1109" s="221">
        <v>0</v>
      </c>
      <c r="Y1109" s="222">
        <v>0</v>
      </c>
      <c r="Z1109" s="222">
        <v>0</v>
      </c>
      <c r="AA1109" s="222">
        <v>0</v>
      </c>
      <c r="AB1109" s="222">
        <v>0</v>
      </c>
      <c r="AC1109" s="222">
        <v>0</v>
      </c>
      <c r="AD1109" s="222">
        <v>0</v>
      </c>
      <c r="AE1109" s="222">
        <v>375</v>
      </c>
      <c r="AF1109" s="221">
        <f>6436.53*AE1109/I1109</f>
        <v>5746.9017857142853</v>
      </c>
      <c r="AG1109" s="222">
        <v>0</v>
      </c>
      <c r="AH1109" s="221">
        <v>0</v>
      </c>
      <c r="AI1109" s="222">
        <v>0</v>
      </c>
      <c r="AJ1109" s="221">
        <v>0</v>
      </c>
      <c r="AK1109" s="222">
        <v>0</v>
      </c>
      <c r="AL1109" s="222">
        <v>0</v>
      </c>
      <c r="AM1109" s="222">
        <v>0</v>
      </c>
      <c r="AN1109" s="222"/>
      <c r="AO1109" s="222">
        <v>0</v>
      </c>
    </row>
    <row r="1110" spans="1:41" s="223" customFormat="1" ht="61.5" x14ac:dyDescent="0.25">
      <c r="A1110" s="223">
        <v>1</v>
      </c>
      <c r="B1110" s="225">
        <f>SUBTOTAL(103,$A$1030:A1110)</f>
        <v>80</v>
      </c>
      <c r="C1110" s="215" t="s">
        <v>477</v>
      </c>
      <c r="D1110" s="217">
        <v>1965</v>
      </c>
      <c r="E1110" s="217"/>
      <c r="F1110" s="226" t="s">
        <v>267</v>
      </c>
      <c r="G1110" s="217">
        <v>4</v>
      </c>
      <c r="H1110" s="217" t="s">
        <v>312</v>
      </c>
      <c r="I1110" s="218">
        <v>2024.1</v>
      </c>
      <c r="J1110" s="218">
        <v>1904.5</v>
      </c>
      <c r="K1110" s="218">
        <v>1691</v>
      </c>
      <c r="L1110" s="219">
        <v>86</v>
      </c>
      <c r="M1110" s="217" t="s">
        <v>265</v>
      </c>
      <c r="N1110" s="217" t="s">
        <v>269</v>
      </c>
      <c r="O1110" s="220" t="s">
        <v>340</v>
      </c>
      <c r="P1110" s="190">
        <v>3110189.0700000003</v>
      </c>
      <c r="Q1110" s="190">
        <v>0</v>
      </c>
      <c r="R1110" s="190">
        <v>0</v>
      </c>
      <c r="S1110" s="190">
        <f t="shared" si="136"/>
        <v>3110189.0700000003</v>
      </c>
      <c r="T1110" s="190">
        <f t="shared" si="138"/>
        <v>1536.5787609307843</v>
      </c>
      <c r="U1110" s="190">
        <v>1758.6640482189616</v>
      </c>
      <c r="V1110" s="221">
        <f t="shared" si="135"/>
        <v>222.08528728817737</v>
      </c>
      <c r="W1110" s="221">
        <f t="shared" si="137"/>
        <v>1686.0252803715232</v>
      </c>
      <c r="X1110" s="221">
        <v>0</v>
      </c>
      <c r="Y1110" s="222">
        <v>0</v>
      </c>
      <c r="Z1110" s="222">
        <v>0</v>
      </c>
      <c r="AA1110" s="222">
        <v>0</v>
      </c>
      <c r="AB1110" s="222">
        <v>0</v>
      </c>
      <c r="AC1110" s="222">
        <v>0</v>
      </c>
      <c r="AD1110" s="222">
        <v>0</v>
      </c>
      <c r="AE1110" s="222">
        <v>547</v>
      </c>
      <c r="AF1110" s="221">
        <f>6238.91*AE1110/I1110</f>
        <v>1686.0252803715232</v>
      </c>
      <c r="AG1110" s="222">
        <v>0</v>
      </c>
      <c r="AH1110" s="221">
        <v>0</v>
      </c>
      <c r="AI1110" s="222">
        <v>0</v>
      </c>
      <c r="AJ1110" s="221">
        <v>0</v>
      </c>
      <c r="AK1110" s="222">
        <v>0</v>
      </c>
      <c r="AL1110" s="222">
        <v>0</v>
      </c>
      <c r="AM1110" s="222">
        <v>0</v>
      </c>
      <c r="AN1110" s="222"/>
      <c r="AO1110" s="222">
        <v>0</v>
      </c>
    </row>
    <row r="1111" spans="1:41" s="223" customFormat="1" ht="36" customHeight="1" x14ac:dyDescent="0.25">
      <c r="A1111" s="223">
        <v>1</v>
      </c>
      <c r="B1111" s="225">
        <f>SUBTOTAL(103,$A$1030:A1111)</f>
        <v>81</v>
      </c>
      <c r="C1111" s="215" t="s">
        <v>478</v>
      </c>
      <c r="D1111" s="217">
        <v>1951</v>
      </c>
      <c r="E1111" s="217"/>
      <c r="F1111" s="226" t="s">
        <v>324</v>
      </c>
      <c r="G1111" s="217">
        <v>2</v>
      </c>
      <c r="H1111" s="217" t="s">
        <v>303</v>
      </c>
      <c r="I1111" s="218">
        <v>421.2</v>
      </c>
      <c r="J1111" s="218">
        <v>379.5</v>
      </c>
      <c r="K1111" s="218">
        <v>379.5</v>
      </c>
      <c r="L1111" s="219">
        <v>21</v>
      </c>
      <c r="M1111" s="217" t="s">
        <v>265</v>
      </c>
      <c r="N1111" s="217" t="s">
        <v>266</v>
      </c>
      <c r="O1111" s="220" t="s">
        <v>268</v>
      </c>
      <c r="P1111" s="190">
        <v>2521758.64</v>
      </c>
      <c r="Q1111" s="190">
        <v>0</v>
      </c>
      <c r="R1111" s="190">
        <v>0</v>
      </c>
      <c r="S1111" s="190">
        <f t="shared" si="136"/>
        <v>2521758.64</v>
      </c>
      <c r="T1111" s="190">
        <f t="shared" si="138"/>
        <v>5987.0812915479582</v>
      </c>
      <c r="U1111" s="190">
        <v>6156.049354226021</v>
      </c>
      <c r="V1111" s="221">
        <f t="shared" si="135"/>
        <v>168.96806267806278</v>
      </c>
      <c r="W1111" s="221">
        <f t="shared" si="137"/>
        <v>6088.7251025641026</v>
      </c>
      <c r="X1111" s="221">
        <v>0</v>
      </c>
      <c r="Y1111" s="222">
        <v>0</v>
      </c>
      <c r="Z1111" s="222">
        <v>0</v>
      </c>
      <c r="AA1111" s="222">
        <v>0</v>
      </c>
      <c r="AB1111" s="222">
        <v>0</v>
      </c>
      <c r="AC1111" s="222">
        <v>0</v>
      </c>
      <c r="AD1111" s="222">
        <v>0</v>
      </c>
      <c r="AE1111" s="222">
        <v>398.44</v>
      </c>
      <c r="AF1111" s="221">
        <f>6436.53*AE1111/I1111</f>
        <v>6088.7251025641026</v>
      </c>
      <c r="AG1111" s="222">
        <v>0</v>
      </c>
      <c r="AH1111" s="221">
        <v>0</v>
      </c>
      <c r="AI1111" s="222">
        <v>0</v>
      </c>
      <c r="AJ1111" s="221">
        <v>0</v>
      </c>
      <c r="AK1111" s="222">
        <v>0</v>
      </c>
      <c r="AL1111" s="222">
        <v>0</v>
      </c>
      <c r="AM1111" s="222">
        <v>0</v>
      </c>
      <c r="AN1111" s="222"/>
      <c r="AO1111" s="222">
        <v>0</v>
      </c>
    </row>
    <row r="1112" spans="1:41" s="223" customFormat="1" ht="36" customHeight="1" x14ac:dyDescent="0.25">
      <c r="A1112" s="223">
        <v>1</v>
      </c>
      <c r="B1112" s="225">
        <f>SUBTOTAL(103,$A$1030:A1112)</f>
        <v>82</v>
      </c>
      <c r="C1112" s="215" t="s">
        <v>1590</v>
      </c>
      <c r="D1112" s="217">
        <v>1887</v>
      </c>
      <c r="E1112" s="217"/>
      <c r="F1112" s="226" t="s">
        <v>1594</v>
      </c>
      <c r="G1112" s="217">
        <v>2</v>
      </c>
      <c r="H1112" s="217" t="s">
        <v>303</v>
      </c>
      <c r="I1112" s="218">
        <v>323</v>
      </c>
      <c r="J1112" s="218">
        <v>291.7</v>
      </c>
      <c r="K1112" s="218">
        <v>291.7</v>
      </c>
      <c r="L1112" s="219">
        <v>16</v>
      </c>
      <c r="M1112" s="217" t="s">
        <v>265</v>
      </c>
      <c r="N1112" s="217" t="s">
        <v>266</v>
      </c>
      <c r="O1112" s="220" t="s">
        <v>268</v>
      </c>
      <c r="P1112" s="190">
        <v>2382311.33</v>
      </c>
      <c r="Q1112" s="190">
        <v>0</v>
      </c>
      <c r="R1112" s="190">
        <v>0</v>
      </c>
      <c r="S1112" s="190">
        <f t="shared" si="136"/>
        <v>2382311.33</v>
      </c>
      <c r="T1112" s="190">
        <f t="shared" si="138"/>
        <v>7375.5768730650161</v>
      </c>
      <c r="U1112" s="190">
        <v>8143.6914551083582</v>
      </c>
      <c r="V1112" s="221">
        <f t="shared" si="135"/>
        <v>768.11458204334212</v>
      </c>
      <c r="W1112" s="221">
        <f t="shared" si="137"/>
        <v>7807.3294798761599</v>
      </c>
      <c r="X1112" s="221">
        <v>0</v>
      </c>
      <c r="Y1112" s="222">
        <v>0</v>
      </c>
      <c r="Z1112" s="222">
        <v>0</v>
      </c>
      <c r="AA1112" s="222">
        <v>0</v>
      </c>
      <c r="AB1112" s="222">
        <v>0</v>
      </c>
      <c r="AC1112" s="222">
        <v>0</v>
      </c>
      <c r="AD1112" s="222">
        <v>0</v>
      </c>
      <c r="AE1112" s="222">
        <v>404.2</v>
      </c>
      <c r="AF1112" s="221">
        <f>6238.91*AE1112/I1112</f>
        <v>7807.3294798761599</v>
      </c>
      <c r="AG1112" s="222">
        <v>0</v>
      </c>
      <c r="AH1112" s="221">
        <v>0</v>
      </c>
      <c r="AI1112" s="222">
        <v>0</v>
      </c>
      <c r="AJ1112" s="221">
        <v>0</v>
      </c>
      <c r="AK1112" s="222">
        <v>0</v>
      </c>
      <c r="AL1112" s="222">
        <v>0</v>
      </c>
      <c r="AM1112" s="222">
        <v>0</v>
      </c>
      <c r="AN1112" s="222"/>
      <c r="AO1112" s="222">
        <v>0</v>
      </c>
    </row>
    <row r="1113" spans="1:41" s="223" customFormat="1" ht="36" customHeight="1" x14ac:dyDescent="0.25">
      <c r="B1113" s="215" t="s">
        <v>757</v>
      </c>
      <c r="C1113" s="227"/>
      <c r="D1113" s="217" t="s">
        <v>890</v>
      </c>
      <c r="E1113" s="217" t="s">
        <v>890</v>
      </c>
      <c r="F1113" s="217" t="s">
        <v>890</v>
      </c>
      <c r="G1113" s="217" t="s">
        <v>890</v>
      </c>
      <c r="H1113" s="217" t="s">
        <v>890</v>
      </c>
      <c r="I1113" s="218">
        <f>SUM(I1114:I1139)</f>
        <v>49658.150000000009</v>
      </c>
      <c r="J1113" s="218">
        <f>SUM(J1114:J1139)</f>
        <v>45628.960000000006</v>
      </c>
      <c r="K1113" s="218">
        <f>SUM(K1114:K1139)</f>
        <v>40475.899999999994</v>
      </c>
      <c r="L1113" s="219">
        <f>SUM(L1114:L1139)</f>
        <v>2164</v>
      </c>
      <c r="M1113" s="217" t="s">
        <v>890</v>
      </c>
      <c r="N1113" s="217" t="s">
        <v>890</v>
      </c>
      <c r="O1113" s="220" t="s">
        <v>890</v>
      </c>
      <c r="P1113" s="218">
        <v>90625537.659999982</v>
      </c>
      <c r="Q1113" s="218">
        <f>SUM(Q1114:Q1139)</f>
        <v>0</v>
      </c>
      <c r="R1113" s="218">
        <f>SUM(R1114:R1139)</f>
        <v>0</v>
      </c>
      <c r="S1113" s="218">
        <f>SUM(S1114:S1139)</f>
        <v>90625537.659999982</v>
      </c>
      <c r="T1113" s="190">
        <f t="shared" si="138"/>
        <v>1824.9881975063502</v>
      </c>
      <c r="U1113" s="190">
        <f>MAX(U1114:U1139)</f>
        <v>6269.1295626699048</v>
      </c>
      <c r="V1113" s="221">
        <f t="shared" si="135"/>
        <v>4444.1413651635548</v>
      </c>
      <c r="W1113" s="221"/>
      <c r="X1113" s="221"/>
      <c r="Y1113" s="222"/>
      <c r="Z1113" s="222"/>
      <c r="AA1113" s="222"/>
      <c r="AB1113" s="222"/>
      <c r="AC1113" s="222"/>
      <c r="AD1113" s="222"/>
      <c r="AE1113" s="222"/>
      <c r="AF1113" s="222"/>
      <c r="AG1113" s="222"/>
      <c r="AH1113" s="222"/>
      <c r="AI1113" s="222"/>
      <c r="AJ1113" s="222"/>
      <c r="AK1113" s="222"/>
      <c r="AL1113" s="222"/>
      <c r="AM1113" s="222"/>
      <c r="AN1113" s="222"/>
      <c r="AO1113" s="222"/>
    </row>
    <row r="1114" spans="1:41" s="223" customFormat="1" ht="36" customHeight="1" x14ac:dyDescent="0.25">
      <c r="A1114" s="223">
        <v>1</v>
      </c>
      <c r="B1114" s="225">
        <f>SUBTOTAL(103,$A$1030:A1114)</f>
        <v>83</v>
      </c>
      <c r="C1114" s="215" t="s">
        <v>423</v>
      </c>
      <c r="D1114" s="217">
        <v>1959</v>
      </c>
      <c r="E1114" s="217"/>
      <c r="F1114" s="226" t="s">
        <v>267</v>
      </c>
      <c r="G1114" s="217">
        <v>3</v>
      </c>
      <c r="H1114" s="217" t="s">
        <v>308</v>
      </c>
      <c r="I1114" s="218">
        <v>2102.6</v>
      </c>
      <c r="J1114" s="218">
        <v>1922.7</v>
      </c>
      <c r="K1114" s="218">
        <v>1915.7</v>
      </c>
      <c r="L1114" s="219">
        <v>71</v>
      </c>
      <c r="M1114" s="217" t="s">
        <v>265</v>
      </c>
      <c r="N1114" s="217" t="s">
        <v>269</v>
      </c>
      <c r="O1114" s="220" t="s">
        <v>325</v>
      </c>
      <c r="P1114" s="190">
        <v>4487224.8899999997</v>
      </c>
      <c r="Q1114" s="190">
        <v>0</v>
      </c>
      <c r="R1114" s="190">
        <v>0</v>
      </c>
      <c r="S1114" s="190">
        <f t="shared" ref="S1114:S1139" si="139">P1114-Q1114-R1114</f>
        <v>4487224.8899999997</v>
      </c>
      <c r="T1114" s="190">
        <f t="shared" si="138"/>
        <v>2134.1314990963569</v>
      </c>
      <c r="U1114" s="190">
        <v>2878.4176733567965</v>
      </c>
      <c r="V1114" s="221">
        <f t="shared" si="135"/>
        <v>744.28617426043957</v>
      </c>
      <c r="W1114" s="221">
        <f t="shared" ref="W1114:W1139" si="140">X1114+Y1114+Z1114+AA1114+AB1114+AD1114+AF1114+AH1114+AJ1114+AL1114+AN1114+AO1114</f>
        <v>2759.529297060782</v>
      </c>
      <c r="X1114" s="221">
        <v>0</v>
      </c>
      <c r="Y1114" s="222">
        <v>0</v>
      </c>
      <c r="Z1114" s="222">
        <v>0</v>
      </c>
      <c r="AA1114" s="222">
        <v>0</v>
      </c>
      <c r="AB1114" s="222">
        <v>0</v>
      </c>
      <c r="AC1114" s="222">
        <v>0</v>
      </c>
      <c r="AD1114" s="222">
        <v>0</v>
      </c>
      <c r="AE1114" s="222">
        <v>930</v>
      </c>
      <c r="AF1114" s="221">
        <f>6238.91*AE1114/I1114</f>
        <v>2759.529297060782</v>
      </c>
      <c r="AG1114" s="222">
        <v>0</v>
      </c>
      <c r="AH1114" s="221">
        <v>0</v>
      </c>
      <c r="AI1114" s="222">
        <v>0</v>
      </c>
      <c r="AJ1114" s="221">
        <v>0</v>
      </c>
      <c r="AK1114" s="222">
        <v>0</v>
      </c>
      <c r="AL1114" s="222">
        <v>0</v>
      </c>
      <c r="AM1114" s="222">
        <v>0</v>
      </c>
      <c r="AN1114" s="222"/>
      <c r="AO1114" s="222">
        <v>0</v>
      </c>
    </row>
    <row r="1115" spans="1:41" s="223" customFormat="1" ht="36" customHeight="1" x14ac:dyDescent="0.25">
      <c r="A1115" s="223">
        <v>1</v>
      </c>
      <c r="B1115" s="225">
        <f>SUBTOTAL(103,$A$1030:A1115)</f>
        <v>84</v>
      </c>
      <c r="C1115" s="215" t="s">
        <v>424</v>
      </c>
      <c r="D1115" s="217">
        <v>1989</v>
      </c>
      <c r="E1115" s="217"/>
      <c r="F1115" s="226" t="s">
        <v>267</v>
      </c>
      <c r="G1115" s="217">
        <v>5</v>
      </c>
      <c r="H1115" s="217" t="s">
        <v>312</v>
      </c>
      <c r="I1115" s="218">
        <v>2042.1</v>
      </c>
      <c r="J1115" s="218">
        <v>1817.7</v>
      </c>
      <c r="K1115" s="218">
        <v>1675.9</v>
      </c>
      <c r="L1115" s="219">
        <v>83</v>
      </c>
      <c r="M1115" s="217" t="s">
        <v>265</v>
      </c>
      <c r="N1115" s="217" t="s">
        <v>269</v>
      </c>
      <c r="O1115" s="220" t="s">
        <v>990</v>
      </c>
      <c r="P1115" s="190">
        <v>3810770.28</v>
      </c>
      <c r="Q1115" s="190">
        <v>0</v>
      </c>
      <c r="R1115" s="190">
        <v>0</v>
      </c>
      <c r="S1115" s="190">
        <f t="shared" si="139"/>
        <v>3810770.28</v>
      </c>
      <c r="T1115" s="190">
        <f t="shared" si="138"/>
        <v>1866.1036579991185</v>
      </c>
      <c r="U1115" s="190">
        <v>4074.7</v>
      </c>
      <c r="V1115" s="221">
        <f t="shared" si="135"/>
        <v>2208.5963420008811</v>
      </c>
      <c r="W1115" s="221">
        <f t="shared" si="140"/>
        <v>1814.755663287792</v>
      </c>
      <c r="X1115" s="221">
        <v>0</v>
      </c>
      <c r="Y1115" s="222">
        <v>0</v>
      </c>
      <c r="Z1115" s="222">
        <v>0</v>
      </c>
      <c r="AA1115" s="222">
        <v>0</v>
      </c>
      <c r="AB1115" s="222">
        <v>0</v>
      </c>
      <c r="AC1115" s="222">
        <v>0</v>
      </c>
      <c r="AD1115" s="222">
        <v>0</v>
      </c>
      <c r="AE1115" s="222">
        <v>594</v>
      </c>
      <c r="AF1115" s="221">
        <f>6238.91*AE1115/I1115</f>
        <v>1814.755663287792</v>
      </c>
      <c r="AG1115" s="222">
        <v>0</v>
      </c>
      <c r="AH1115" s="221">
        <v>0</v>
      </c>
      <c r="AI1115" s="222">
        <v>0</v>
      </c>
      <c r="AJ1115" s="221">
        <v>0</v>
      </c>
      <c r="AK1115" s="222">
        <v>0</v>
      </c>
      <c r="AL1115" s="222">
        <v>0</v>
      </c>
      <c r="AM1115" s="222">
        <v>0</v>
      </c>
      <c r="AN1115" s="222"/>
      <c r="AO1115" s="222">
        <v>0</v>
      </c>
    </row>
    <row r="1116" spans="1:41" s="223" customFormat="1" ht="36" customHeight="1" x14ac:dyDescent="0.25">
      <c r="A1116" s="223">
        <v>1</v>
      </c>
      <c r="B1116" s="225">
        <f>SUBTOTAL(103,$A$1030:A1116)</f>
        <v>85</v>
      </c>
      <c r="C1116" s="215" t="s">
        <v>425</v>
      </c>
      <c r="D1116" s="217">
        <v>1972</v>
      </c>
      <c r="E1116" s="217"/>
      <c r="F1116" s="226" t="s">
        <v>267</v>
      </c>
      <c r="G1116" s="217">
        <v>5</v>
      </c>
      <c r="H1116" s="217" t="s">
        <v>308</v>
      </c>
      <c r="I1116" s="218">
        <v>3577.12</v>
      </c>
      <c r="J1116" s="218">
        <v>3306.9</v>
      </c>
      <c r="K1116" s="218">
        <v>2940.98</v>
      </c>
      <c r="L1116" s="219">
        <v>152</v>
      </c>
      <c r="M1116" s="217" t="s">
        <v>265</v>
      </c>
      <c r="N1116" s="217" t="s">
        <v>269</v>
      </c>
      <c r="O1116" s="220" t="s">
        <v>328</v>
      </c>
      <c r="P1116" s="190">
        <v>5394319.6899999995</v>
      </c>
      <c r="Q1116" s="190">
        <v>0</v>
      </c>
      <c r="R1116" s="190">
        <v>0</v>
      </c>
      <c r="S1116" s="190">
        <f t="shared" si="139"/>
        <v>5394319.6899999995</v>
      </c>
      <c r="T1116" s="190">
        <f t="shared" si="138"/>
        <v>1508.0063542738292</v>
      </c>
      <c r="U1116" s="190">
        <v>2033.9291385248468</v>
      </c>
      <c r="V1116" s="221">
        <f t="shared" si="135"/>
        <v>525.92278425101767</v>
      </c>
      <c r="W1116" s="221">
        <f t="shared" si="140"/>
        <v>1949.9209923066601</v>
      </c>
      <c r="X1116" s="221">
        <v>0</v>
      </c>
      <c r="Y1116" s="222">
        <v>0</v>
      </c>
      <c r="Z1116" s="222">
        <v>0</v>
      </c>
      <c r="AA1116" s="222">
        <v>0</v>
      </c>
      <c r="AB1116" s="222">
        <v>0</v>
      </c>
      <c r="AC1116" s="222">
        <v>0</v>
      </c>
      <c r="AD1116" s="222">
        <v>0</v>
      </c>
      <c r="AE1116" s="222">
        <v>1118</v>
      </c>
      <c r="AF1116" s="221">
        <f>6238.91*AE1116/I1116</f>
        <v>1949.9209923066601</v>
      </c>
      <c r="AG1116" s="222">
        <v>0</v>
      </c>
      <c r="AH1116" s="221">
        <v>0</v>
      </c>
      <c r="AI1116" s="222">
        <v>0</v>
      </c>
      <c r="AJ1116" s="221">
        <v>0</v>
      </c>
      <c r="AK1116" s="222">
        <v>0</v>
      </c>
      <c r="AL1116" s="222">
        <v>0</v>
      </c>
      <c r="AM1116" s="222">
        <v>0</v>
      </c>
      <c r="AN1116" s="222"/>
      <c r="AO1116" s="222">
        <v>0</v>
      </c>
    </row>
    <row r="1117" spans="1:41" s="223" customFormat="1" ht="36" customHeight="1" x14ac:dyDescent="0.25">
      <c r="A1117" s="223">
        <v>1</v>
      </c>
      <c r="B1117" s="225">
        <f>SUBTOTAL(103,$A$1030:A1117)</f>
        <v>86</v>
      </c>
      <c r="C1117" s="215" t="s">
        <v>426</v>
      </c>
      <c r="D1117" s="217">
        <v>1955</v>
      </c>
      <c r="E1117" s="217"/>
      <c r="F1117" s="226" t="s">
        <v>267</v>
      </c>
      <c r="G1117" s="217">
        <v>2</v>
      </c>
      <c r="H1117" s="217" t="s">
        <v>312</v>
      </c>
      <c r="I1117" s="218">
        <v>1501.5</v>
      </c>
      <c r="J1117" s="218">
        <v>1386.8</v>
      </c>
      <c r="K1117" s="218">
        <v>1250.54</v>
      </c>
      <c r="L1117" s="219">
        <v>46</v>
      </c>
      <c r="M1117" s="217" t="s">
        <v>265</v>
      </c>
      <c r="N1117" s="217" t="s">
        <v>269</v>
      </c>
      <c r="O1117" s="220" t="s">
        <v>328</v>
      </c>
      <c r="P1117" s="190">
        <v>5949950</v>
      </c>
      <c r="Q1117" s="190">
        <v>0</v>
      </c>
      <c r="R1117" s="190">
        <v>0</v>
      </c>
      <c r="S1117" s="190">
        <f t="shared" si="139"/>
        <v>5949950</v>
      </c>
      <c r="T1117" s="190">
        <f t="shared" si="138"/>
        <v>3962.6706626706628</v>
      </c>
      <c r="U1117" s="190">
        <v>5202.1678321678319</v>
      </c>
      <c r="V1117" s="221">
        <f t="shared" si="135"/>
        <v>1239.4971694971691</v>
      </c>
      <c r="W1117" s="221">
        <f t="shared" si="140"/>
        <v>5202.1678321678319</v>
      </c>
      <c r="X1117" s="221">
        <v>0</v>
      </c>
      <c r="Y1117" s="222">
        <v>0</v>
      </c>
      <c r="Z1117" s="222">
        <v>0</v>
      </c>
      <c r="AA1117" s="222">
        <v>0</v>
      </c>
      <c r="AB1117" s="222">
        <v>0</v>
      </c>
      <c r="AC1117" s="222">
        <v>0</v>
      </c>
      <c r="AD1117" s="222">
        <v>0</v>
      </c>
      <c r="AE1117" s="222">
        <v>0</v>
      </c>
      <c r="AF1117" s="221">
        <v>0</v>
      </c>
      <c r="AG1117" s="222">
        <v>0</v>
      </c>
      <c r="AH1117" s="221">
        <v>0</v>
      </c>
      <c r="AI1117" s="222">
        <v>1050</v>
      </c>
      <c r="AJ1117" s="221">
        <f>7439.1*AI1117/I1117</f>
        <v>5202.1678321678319</v>
      </c>
      <c r="AK1117" s="222">
        <v>0</v>
      </c>
      <c r="AL1117" s="222">
        <v>0</v>
      </c>
      <c r="AM1117" s="222">
        <v>0</v>
      </c>
      <c r="AN1117" s="222"/>
      <c r="AO1117" s="222">
        <v>0</v>
      </c>
    </row>
    <row r="1118" spans="1:41" s="223" customFormat="1" ht="36" customHeight="1" x14ac:dyDescent="0.25">
      <c r="A1118" s="223">
        <v>1</v>
      </c>
      <c r="B1118" s="225">
        <f>SUBTOTAL(103,$A$1030:A1118)</f>
        <v>87</v>
      </c>
      <c r="C1118" s="215" t="s">
        <v>419</v>
      </c>
      <c r="D1118" s="217">
        <v>1846</v>
      </c>
      <c r="E1118" s="217"/>
      <c r="F1118" s="226" t="s">
        <v>267</v>
      </c>
      <c r="G1118" s="217">
        <v>2</v>
      </c>
      <c r="H1118" s="217" t="s">
        <v>304</v>
      </c>
      <c r="I1118" s="218">
        <v>378.89</v>
      </c>
      <c r="J1118" s="218">
        <v>325.39999999999998</v>
      </c>
      <c r="K1118" s="218">
        <v>325.39999999999998</v>
      </c>
      <c r="L1118" s="219">
        <v>17</v>
      </c>
      <c r="M1118" s="217" t="s">
        <v>265</v>
      </c>
      <c r="N1118" s="217" t="s">
        <v>266</v>
      </c>
      <c r="O1118" s="220" t="s">
        <v>268</v>
      </c>
      <c r="P1118" s="190">
        <v>2345314.9499999997</v>
      </c>
      <c r="Q1118" s="190">
        <v>0</v>
      </c>
      <c r="R1118" s="190">
        <v>0</v>
      </c>
      <c r="S1118" s="190">
        <f t="shared" si="139"/>
        <v>2345314.9499999997</v>
      </c>
      <c r="T1118" s="190">
        <f t="shared" si="138"/>
        <v>6189.9626540684631</v>
      </c>
      <c r="U1118" s="190">
        <v>6269.1295626699048</v>
      </c>
      <c r="V1118" s="221">
        <f t="shared" si="135"/>
        <v>79.166908601441719</v>
      </c>
      <c r="W1118" s="221">
        <f t="shared" si="140"/>
        <v>12086.251788117923</v>
      </c>
      <c r="X1118" s="221">
        <v>0</v>
      </c>
      <c r="Y1118" s="222">
        <v>0</v>
      </c>
      <c r="Z1118" s="222">
        <v>0</v>
      </c>
      <c r="AA1118" s="222">
        <v>0</v>
      </c>
      <c r="AB1118" s="222">
        <v>0</v>
      </c>
      <c r="AC1118" s="222">
        <v>0</v>
      </c>
      <c r="AD1118" s="222">
        <v>0</v>
      </c>
      <c r="AE1118" s="222">
        <v>734</v>
      </c>
      <c r="AF1118" s="221">
        <f>6238.91*AE1118/I1118</f>
        <v>12086.251788117923</v>
      </c>
      <c r="AG1118" s="222">
        <v>0</v>
      </c>
      <c r="AH1118" s="221">
        <v>0</v>
      </c>
      <c r="AI1118" s="222">
        <v>0</v>
      </c>
      <c r="AJ1118" s="221">
        <v>0</v>
      </c>
      <c r="AK1118" s="222">
        <v>0</v>
      </c>
      <c r="AL1118" s="222">
        <v>0</v>
      </c>
      <c r="AM1118" s="222">
        <v>0</v>
      </c>
      <c r="AN1118" s="222"/>
      <c r="AO1118" s="222">
        <v>0</v>
      </c>
    </row>
    <row r="1119" spans="1:41" s="223" customFormat="1" ht="36" customHeight="1" x14ac:dyDescent="0.25">
      <c r="A1119" s="223">
        <v>1</v>
      </c>
      <c r="B1119" s="225">
        <f>SUBTOTAL(103,$A$1030:A1119)</f>
        <v>88</v>
      </c>
      <c r="C1119" s="215" t="s">
        <v>428</v>
      </c>
      <c r="D1119" s="217">
        <v>1969</v>
      </c>
      <c r="E1119" s="217"/>
      <c r="F1119" s="226" t="s">
        <v>267</v>
      </c>
      <c r="G1119" s="217">
        <v>5</v>
      </c>
      <c r="H1119" s="217" t="s">
        <v>371</v>
      </c>
      <c r="I1119" s="218">
        <v>4890.1099999999997</v>
      </c>
      <c r="J1119" s="218">
        <v>4490.3999999999996</v>
      </c>
      <c r="K1119" s="218">
        <v>4177.2300000000005</v>
      </c>
      <c r="L1119" s="219">
        <v>210</v>
      </c>
      <c r="M1119" s="217" t="s">
        <v>265</v>
      </c>
      <c r="N1119" s="217" t="s">
        <v>269</v>
      </c>
      <c r="O1119" s="220" t="s">
        <v>321</v>
      </c>
      <c r="P1119" s="190">
        <v>8270003.5300000003</v>
      </c>
      <c r="Q1119" s="190">
        <v>0</v>
      </c>
      <c r="R1119" s="190">
        <v>0</v>
      </c>
      <c r="S1119" s="190">
        <f t="shared" si="139"/>
        <v>8270003.5300000003</v>
      </c>
      <c r="T1119" s="190">
        <f t="shared" si="138"/>
        <v>1691.1692231872087</v>
      </c>
      <c r="U1119" s="190">
        <v>2280.9707348096463</v>
      </c>
      <c r="V1119" s="221">
        <f t="shared" si="135"/>
        <v>589.8015116224376</v>
      </c>
      <c r="W1119" s="221">
        <f t="shared" si="140"/>
        <v>2186.7589358930577</v>
      </c>
      <c r="X1119" s="221">
        <v>0</v>
      </c>
      <c r="Y1119" s="222">
        <v>0</v>
      </c>
      <c r="Z1119" s="222">
        <v>0</v>
      </c>
      <c r="AA1119" s="222">
        <v>0</v>
      </c>
      <c r="AB1119" s="222">
        <v>0</v>
      </c>
      <c r="AC1119" s="222">
        <v>0</v>
      </c>
      <c r="AD1119" s="222">
        <v>0</v>
      </c>
      <c r="AE1119" s="222">
        <v>1714</v>
      </c>
      <c r="AF1119" s="221">
        <f>6238.91*AE1119/I1119</f>
        <v>2186.7589358930577</v>
      </c>
      <c r="AG1119" s="222">
        <v>0</v>
      </c>
      <c r="AH1119" s="221">
        <v>0</v>
      </c>
      <c r="AI1119" s="222">
        <v>0</v>
      </c>
      <c r="AJ1119" s="221">
        <v>0</v>
      </c>
      <c r="AK1119" s="222">
        <v>0</v>
      </c>
      <c r="AL1119" s="222">
        <v>0</v>
      </c>
      <c r="AM1119" s="222">
        <v>0</v>
      </c>
      <c r="AN1119" s="222"/>
      <c r="AO1119" s="222">
        <v>0</v>
      </c>
    </row>
    <row r="1120" spans="1:41" s="223" customFormat="1" ht="36" customHeight="1" x14ac:dyDescent="0.25">
      <c r="A1120" s="223">
        <v>1</v>
      </c>
      <c r="B1120" s="225">
        <f>SUBTOTAL(103,$A$1030:A1120)</f>
        <v>89</v>
      </c>
      <c r="C1120" s="215" t="s">
        <v>429</v>
      </c>
      <c r="D1120" s="217">
        <v>1961</v>
      </c>
      <c r="E1120" s="217"/>
      <c r="F1120" s="226" t="s">
        <v>267</v>
      </c>
      <c r="G1120" s="217">
        <v>2</v>
      </c>
      <c r="H1120" s="217" t="s">
        <v>303</v>
      </c>
      <c r="I1120" s="218">
        <v>824.04</v>
      </c>
      <c r="J1120" s="218">
        <v>777.74</v>
      </c>
      <c r="K1120" s="218">
        <v>728.73</v>
      </c>
      <c r="L1120" s="219">
        <v>37</v>
      </c>
      <c r="M1120" s="217" t="s">
        <v>265</v>
      </c>
      <c r="N1120" s="217" t="s">
        <v>269</v>
      </c>
      <c r="O1120" s="220" t="s">
        <v>325</v>
      </c>
      <c r="P1120" s="190">
        <v>2894983.73</v>
      </c>
      <c r="Q1120" s="190">
        <v>0</v>
      </c>
      <c r="R1120" s="190">
        <v>0</v>
      </c>
      <c r="S1120" s="190">
        <f t="shared" si="139"/>
        <v>2894983.73</v>
      </c>
      <c r="T1120" s="190">
        <f t="shared" si="138"/>
        <v>3513.1592277073928</v>
      </c>
      <c r="U1120" s="190">
        <v>4738.3864860929079</v>
      </c>
      <c r="V1120" s="221">
        <f t="shared" si="135"/>
        <v>1225.2272583855151</v>
      </c>
      <c r="W1120" s="221">
        <f t="shared" si="140"/>
        <v>4542.6751128585993</v>
      </c>
      <c r="X1120" s="221">
        <v>0</v>
      </c>
      <c r="Y1120" s="222">
        <v>0</v>
      </c>
      <c r="Z1120" s="222">
        <v>0</v>
      </c>
      <c r="AA1120" s="222">
        <v>0</v>
      </c>
      <c r="AB1120" s="222">
        <v>0</v>
      </c>
      <c r="AC1120" s="222">
        <v>0</v>
      </c>
      <c r="AD1120" s="222">
        <v>0</v>
      </c>
      <c r="AE1120" s="222">
        <v>600</v>
      </c>
      <c r="AF1120" s="221">
        <f>6238.91*AE1120/I1120</f>
        <v>4542.6751128585993</v>
      </c>
      <c r="AG1120" s="222">
        <v>0</v>
      </c>
      <c r="AH1120" s="221">
        <v>0</v>
      </c>
      <c r="AI1120" s="222">
        <v>0</v>
      </c>
      <c r="AJ1120" s="221">
        <v>0</v>
      </c>
      <c r="AK1120" s="222">
        <v>0</v>
      </c>
      <c r="AL1120" s="222">
        <v>0</v>
      </c>
      <c r="AM1120" s="222">
        <v>0</v>
      </c>
      <c r="AN1120" s="222"/>
      <c r="AO1120" s="222">
        <v>0</v>
      </c>
    </row>
    <row r="1121" spans="1:41" s="223" customFormat="1" ht="36" customHeight="1" x14ac:dyDescent="0.25">
      <c r="A1121" s="223">
        <v>1</v>
      </c>
      <c r="B1121" s="225">
        <f>SUBTOTAL(103,$A$1030:A1121)</f>
        <v>90</v>
      </c>
      <c r="C1121" s="215" t="s">
        <v>1697</v>
      </c>
      <c r="D1121" s="217">
        <v>1980</v>
      </c>
      <c r="E1121" s="217"/>
      <c r="F1121" s="226" t="s">
        <v>267</v>
      </c>
      <c r="G1121" s="217">
        <v>5</v>
      </c>
      <c r="H1121" s="217" t="s">
        <v>303</v>
      </c>
      <c r="I1121" s="218">
        <v>1589.4</v>
      </c>
      <c r="J1121" s="218">
        <v>1176.4000000000001</v>
      </c>
      <c r="K1121" s="218">
        <v>1117.8000000000002</v>
      </c>
      <c r="L1121" s="219">
        <v>61</v>
      </c>
      <c r="M1121" s="217" t="s">
        <v>265</v>
      </c>
      <c r="N1121" s="217" t="s">
        <v>269</v>
      </c>
      <c r="O1121" s="220" t="s">
        <v>325</v>
      </c>
      <c r="P1121" s="190">
        <v>1688740.5100000002</v>
      </c>
      <c r="Q1121" s="190">
        <v>0</v>
      </c>
      <c r="R1121" s="190">
        <v>0</v>
      </c>
      <c r="S1121" s="190">
        <f t="shared" si="139"/>
        <v>1688740.5100000002</v>
      </c>
      <c r="T1121" s="190">
        <f t="shared" si="138"/>
        <v>1062.5018937964012</v>
      </c>
      <c r="U1121" s="190">
        <v>1433.053353466717</v>
      </c>
      <c r="V1121" s="221">
        <f t="shared" si="135"/>
        <v>370.55145967031581</v>
      </c>
      <c r="W1121" s="221">
        <f t="shared" si="140"/>
        <v>1373.8634075751854</v>
      </c>
      <c r="X1121" s="221">
        <v>0</v>
      </c>
      <c r="Y1121" s="222">
        <v>0</v>
      </c>
      <c r="Z1121" s="222">
        <v>0</v>
      </c>
      <c r="AA1121" s="222">
        <v>0</v>
      </c>
      <c r="AB1121" s="222">
        <v>0</v>
      </c>
      <c r="AC1121" s="222">
        <v>0</v>
      </c>
      <c r="AD1121" s="222">
        <v>0</v>
      </c>
      <c r="AE1121" s="222">
        <v>350</v>
      </c>
      <c r="AF1121" s="221">
        <f>6238.91*AE1121/I1121</f>
        <v>1373.8634075751854</v>
      </c>
      <c r="AG1121" s="222">
        <v>0</v>
      </c>
      <c r="AH1121" s="221">
        <v>0</v>
      </c>
      <c r="AI1121" s="222">
        <v>0</v>
      </c>
      <c r="AJ1121" s="221">
        <v>0</v>
      </c>
      <c r="AK1121" s="222">
        <v>0</v>
      </c>
      <c r="AL1121" s="222">
        <v>0</v>
      </c>
      <c r="AM1121" s="222">
        <v>0</v>
      </c>
      <c r="AN1121" s="222"/>
      <c r="AO1121" s="222">
        <v>0</v>
      </c>
    </row>
    <row r="1122" spans="1:41" s="223" customFormat="1" ht="36" customHeight="1" x14ac:dyDescent="0.25">
      <c r="A1122" s="223">
        <v>1</v>
      </c>
      <c r="B1122" s="225">
        <f>SUBTOTAL(103,$A$1030:A1122)</f>
        <v>91</v>
      </c>
      <c r="C1122" s="215" t="s">
        <v>204</v>
      </c>
      <c r="D1122" s="217">
        <v>1983</v>
      </c>
      <c r="E1122" s="217"/>
      <c r="F1122" s="226" t="s">
        <v>267</v>
      </c>
      <c r="G1122" s="217">
        <v>5</v>
      </c>
      <c r="H1122" s="217" t="s">
        <v>308</v>
      </c>
      <c r="I1122" s="218">
        <v>3097.1</v>
      </c>
      <c r="J1122" s="218">
        <v>2812.2</v>
      </c>
      <c r="K1122" s="218">
        <v>2810.6</v>
      </c>
      <c r="L1122" s="219">
        <v>133</v>
      </c>
      <c r="M1122" s="217" t="s">
        <v>265</v>
      </c>
      <c r="N1122" s="217" t="s">
        <v>269</v>
      </c>
      <c r="O1122" s="220" t="s">
        <v>990</v>
      </c>
      <c r="P1122" s="190">
        <v>4821497.92</v>
      </c>
      <c r="Q1122" s="190">
        <v>0</v>
      </c>
      <c r="R1122" s="190">
        <v>0</v>
      </c>
      <c r="S1122" s="190">
        <f t="shared" si="139"/>
        <v>4821497.92</v>
      </c>
      <c r="T1122" s="190">
        <f t="shared" si="138"/>
        <v>1556.7782506215492</v>
      </c>
      <c r="U1122" s="190">
        <v>2099.1225016951344</v>
      </c>
      <c r="V1122" s="221">
        <f t="shared" si="135"/>
        <v>542.34425107358516</v>
      </c>
      <c r="W1122" s="221">
        <f t="shared" si="140"/>
        <v>2012.4216492848147</v>
      </c>
      <c r="X1122" s="221">
        <v>0</v>
      </c>
      <c r="Y1122" s="222">
        <v>0</v>
      </c>
      <c r="Z1122" s="222">
        <v>0</v>
      </c>
      <c r="AA1122" s="222">
        <v>0</v>
      </c>
      <c r="AB1122" s="222">
        <v>0</v>
      </c>
      <c r="AC1122" s="222">
        <v>0</v>
      </c>
      <c r="AD1122" s="222">
        <v>0</v>
      </c>
      <c r="AE1122" s="222">
        <v>999</v>
      </c>
      <c r="AF1122" s="221">
        <f>6238.91*AE1122/I1122</f>
        <v>2012.4216492848147</v>
      </c>
      <c r="AG1122" s="222">
        <v>0</v>
      </c>
      <c r="AH1122" s="221">
        <v>0</v>
      </c>
      <c r="AI1122" s="222">
        <v>0</v>
      </c>
      <c r="AJ1122" s="221">
        <v>0</v>
      </c>
      <c r="AK1122" s="222">
        <v>0</v>
      </c>
      <c r="AL1122" s="222">
        <v>0</v>
      </c>
      <c r="AM1122" s="222">
        <v>0</v>
      </c>
      <c r="AN1122" s="222"/>
      <c r="AO1122" s="222">
        <v>0</v>
      </c>
    </row>
    <row r="1123" spans="1:41" s="223" customFormat="1" ht="36" customHeight="1" x14ac:dyDescent="0.25">
      <c r="A1123" s="223">
        <v>1</v>
      </c>
      <c r="B1123" s="225">
        <f>SUBTOTAL(103,$A$1030:A1123)</f>
        <v>92</v>
      </c>
      <c r="C1123" s="215" t="s">
        <v>205</v>
      </c>
      <c r="D1123" s="217">
        <v>1963</v>
      </c>
      <c r="E1123" s="217"/>
      <c r="F1123" s="226" t="s">
        <v>267</v>
      </c>
      <c r="G1123" s="217">
        <v>2</v>
      </c>
      <c r="H1123" s="217" t="s">
        <v>303</v>
      </c>
      <c r="I1123" s="218">
        <v>444.9</v>
      </c>
      <c r="J1123" s="218">
        <v>444.9</v>
      </c>
      <c r="K1123" s="218">
        <v>442.2</v>
      </c>
      <c r="L1123" s="219">
        <v>17</v>
      </c>
      <c r="M1123" s="217" t="s">
        <v>265</v>
      </c>
      <c r="N1123" s="217" t="s">
        <v>269</v>
      </c>
      <c r="O1123" s="220" t="s">
        <v>326</v>
      </c>
      <c r="P1123" s="190">
        <v>527907</v>
      </c>
      <c r="Q1123" s="190">
        <v>0</v>
      </c>
      <c r="R1123" s="190">
        <v>0</v>
      </c>
      <c r="S1123" s="190">
        <f t="shared" si="139"/>
        <v>527907</v>
      </c>
      <c r="T1123" s="190">
        <f t="shared" si="138"/>
        <v>1186.5745111260958</v>
      </c>
      <c r="U1123" s="190">
        <v>1186.5745111260958</v>
      </c>
      <c r="V1123" s="221">
        <f t="shared" si="135"/>
        <v>0</v>
      </c>
      <c r="W1123" s="221">
        <f>T1123</f>
        <v>1186.5745111260958</v>
      </c>
      <c r="X1123" s="221">
        <v>0</v>
      </c>
      <c r="Y1123" s="222">
        <v>0</v>
      </c>
      <c r="Z1123" s="222">
        <v>0</v>
      </c>
      <c r="AA1123" s="222">
        <v>0</v>
      </c>
      <c r="AB1123" s="222">
        <v>810.46</v>
      </c>
      <c r="AC1123" s="222">
        <v>0</v>
      </c>
      <c r="AD1123" s="222">
        <v>0</v>
      </c>
      <c r="AE1123" s="222">
        <v>0</v>
      </c>
      <c r="AF1123" s="221">
        <v>0</v>
      </c>
      <c r="AG1123" s="222">
        <v>0</v>
      </c>
      <c r="AH1123" s="221">
        <v>0</v>
      </c>
      <c r="AI1123" s="222">
        <v>0</v>
      </c>
      <c r="AJ1123" s="221">
        <v>0</v>
      </c>
      <c r="AK1123" s="222">
        <v>0</v>
      </c>
      <c r="AL1123" s="222">
        <v>0</v>
      </c>
      <c r="AM1123" s="222">
        <v>0</v>
      </c>
      <c r="AN1123" s="222"/>
      <c r="AO1123" s="222">
        <v>0</v>
      </c>
    </row>
    <row r="1124" spans="1:41" s="223" customFormat="1" ht="36" customHeight="1" x14ac:dyDescent="0.25">
      <c r="A1124" s="223">
        <v>1</v>
      </c>
      <c r="B1124" s="225">
        <f>SUBTOTAL(103,$A$1030:A1124)</f>
        <v>93</v>
      </c>
      <c r="C1124" s="215" t="s">
        <v>206</v>
      </c>
      <c r="D1124" s="217">
        <v>1969</v>
      </c>
      <c r="E1124" s="217"/>
      <c r="F1124" s="226" t="s">
        <v>267</v>
      </c>
      <c r="G1124" s="217">
        <v>2</v>
      </c>
      <c r="H1124" s="217" t="s">
        <v>303</v>
      </c>
      <c r="I1124" s="218">
        <v>589.1</v>
      </c>
      <c r="J1124" s="218">
        <v>589.1</v>
      </c>
      <c r="K1124" s="218">
        <v>537.5</v>
      </c>
      <c r="L1124" s="219">
        <v>31</v>
      </c>
      <c r="M1124" s="217" t="s">
        <v>265</v>
      </c>
      <c r="N1124" s="217" t="s">
        <v>269</v>
      </c>
      <c r="O1124" s="220" t="s">
        <v>326</v>
      </c>
      <c r="P1124" s="190">
        <v>702281</v>
      </c>
      <c r="Q1124" s="190">
        <v>0</v>
      </c>
      <c r="R1124" s="190">
        <v>0</v>
      </c>
      <c r="S1124" s="190">
        <f t="shared" si="139"/>
        <v>702281</v>
      </c>
      <c r="T1124" s="190">
        <f t="shared" si="138"/>
        <v>1192.1252758445085</v>
      </c>
      <c r="U1124" s="190">
        <v>1192.1252758445085</v>
      </c>
      <c r="V1124" s="221">
        <f t="shared" si="135"/>
        <v>0</v>
      </c>
      <c r="W1124" s="221">
        <f>T1124</f>
        <v>1192.1252758445085</v>
      </c>
      <c r="X1124" s="221">
        <v>0</v>
      </c>
      <c r="Y1124" s="222">
        <v>0</v>
      </c>
      <c r="Z1124" s="222">
        <v>0</v>
      </c>
      <c r="AA1124" s="222">
        <v>0</v>
      </c>
      <c r="AB1124" s="222">
        <v>810.46</v>
      </c>
      <c r="AC1124" s="222">
        <v>0</v>
      </c>
      <c r="AD1124" s="222">
        <v>0</v>
      </c>
      <c r="AE1124" s="222">
        <v>0</v>
      </c>
      <c r="AF1124" s="221">
        <v>0</v>
      </c>
      <c r="AG1124" s="222">
        <v>0</v>
      </c>
      <c r="AH1124" s="221">
        <v>0</v>
      </c>
      <c r="AI1124" s="222">
        <v>0</v>
      </c>
      <c r="AJ1124" s="221">
        <v>0</v>
      </c>
      <c r="AK1124" s="222">
        <v>0</v>
      </c>
      <c r="AL1124" s="222">
        <v>0</v>
      </c>
      <c r="AM1124" s="222">
        <v>0</v>
      </c>
      <c r="AN1124" s="222"/>
      <c r="AO1124" s="222">
        <v>0</v>
      </c>
    </row>
    <row r="1125" spans="1:41" s="223" customFormat="1" ht="36" customHeight="1" x14ac:dyDescent="0.25">
      <c r="A1125" s="223">
        <v>1</v>
      </c>
      <c r="B1125" s="225">
        <f>SUBTOTAL(103,$A$1030:A1125)</f>
        <v>94</v>
      </c>
      <c r="C1125" s="215" t="s">
        <v>207</v>
      </c>
      <c r="D1125" s="217">
        <v>1966</v>
      </c>
      <c r="E1125" s="217"/>
      <c r="F1125" s="226" t="s">
        <v>267</v>
      </c>
      <c r="G1125" s="217">
        <v>2</v>
      </c>
      <c r="H1125" s="217" t="s">
        <v>303</v>
      </c>
      <c r="I1125" s="218">
        <v>719.9</v>
      </c>
      <c r="J1125" s="218">
        <v>719.9</v>
      </c>
      <c r="K1125" s="218">
        <v>670.3</v>
      </c>
      <c r="L1125" s="219">
        <v>26</v>
      </c>
      <c r="M1125" s="217" t="s">
        <v>265</v>
      </c>
      <c r="N1125" s="217" t="s">
        <v>269</v>
      </c>
      <c r="O1125" s="220" t="s">
        <v>326</v>
      </c>
      <c r="P1125" s="190">
        <v>801529</v>
      </c>
      <c r="Q1125" s="190">
        <v>0</v>
      </c>
      <c r="R1125" s="190">
        <v>0</v>
      </c>
      <c r="S1125" s="190">
        <f t="shared" si="139"/>
        <v>801529</v>
      </c>
      <c r="T1125" s="190">
        <f t="shared" si="138"/>
        <v>1113.3893596332825</v>
      </c>
      <c r="U1125" s="190">
        <v>1113.3893596332825</v>
      </c>
      <c r="V1125" s="221">
        <f t="shared" si="135"/>
        <v>0</v>
      </c>
      <c r="W1125" s="221">
        <f>T1125</f>
        <v>1113.3893596332825</v>
      </c>
      <c r="X1125" s="221">
        <v>0</v>
      </c>
      <c r="Y1125" s="222">
        <v>0</v>
      </c>
      <c r="Z1125" s="222">
        <v>0</v>
      </c>
      <c r="AA1125" s="222">
        <v>0</v>
      </c>
      <c r="AB1125" s="222">
        <v>810.46</v>
      </c>
      <c r="AC1125" s="222">
        <v>0</v>
      </c>
      <c r="AD1125" s="222">
        <v>0</v>
      </c>
      <c r="AE1125" s="222">
        <v>0</v>
      </c>
      <c r="AF1125" s="221">
        <v>0</v>
      </c>
      <c r="AG1125" s="222">
        <v>0</v>
      </c>
      <c r="AH1125" s="221">
        <v>0</v>
      </c>
      <c r="AI1125" s="222">
        <v>0</v>
      </c>
      <c r="AJ1125" s="221">
        <v>0</v>
      </c>
      <c r="AK1125" s="222">
        <v>0</v>
      </c>
      <c r="AL1125" s="222">
        <v>0</v>
      </c>
      <c r="AM1125" s="222">
        <v>0</v>
      </c>
      <c r="AN1125" s="222"/>
      <c r="AO1125" s="222">
        <v>0</v>
      </c>
    </row>
    <row r="1126" spans="1:41" s="223" customFormat="1" ht="36" customHeight="1" x14ac:dyDescent="0.25">
      <c r="A1126" s="223">
        <v>1</v>
      </c>
      <c r="B1126" s="225">
        <f>SUBTOTAL(103,$A$1030:A1126)</f>
        <v>95</v>
      </c>
      <c r="C1126" s="215" t="s">
        <v>430</v>
      </c>
      <c r="D1126" s="217">
        <v>1963</v>
      </c>
      <c r="E1126" s="217"/>
      <c r="F1126" s="226" t="s">
        <v>267</v>
      </c>
      <c r="G1126" s="217">
        <v>4</v>
      </c>
      <c r="H1126" s="217" t="s">
        <v>312</v>
      </c>
      <c r="I1126" s="218">
        <v>2141.94</v>
      </c>
      <c r="J1126" s="218">
        <v>1876.78</v>
      </c>
      <c r="K1126" s="218">
        <v>1544.6799999999998</v>
      </c>
      <c r="L1126" s="219">
        <v>77</v>
      </c>
      <c r="M1126" s="217" t="s">
        <v>265</v>
      </c>
      <c r="N1126" s="217" t="s">
        <v>269</v>
      </c>
      <c r="O1126" s="220" t="s">
        <v>990</v>
      </c>
      <c r="P1126" s="190">
        <v>4940772.24</v>
      </c>
      <c r="Q1126" s="190">
        <v>0</v>
      </c>
      <c r="R1126" s="190">
        <v>0</v>
      </c>
      <c r="S1126" s="190">
        <f t="shared" si="139"/>
        <v>4940772.24</v>
      </c>
      <c r="T1126" s="190">
        <f t="shared" si="138"/>
        <v>2306.680971455783</v>
      </c>
      <c r="U1126" s="190">
        <v>3111.1444765026095</v>
      </c>
      <c r="V1126" s="221">
        <f t="shared" si="135"/>
        <v>804.46350504682641</v>
      </c>
      <c r="W1126" s="221">
        <f t="shared" si="140"/>
        <v>2982.6436968355788</v>
      </c>
      <c r="X1126" s="221">
        <v>0</v>
      </c>
      <c r="Y1126" s="222">
        <v>0</v>
      </c>
      <c r="Z1126" s="222">
        <v>0</v>
      </c>
      <c r="AA1126" s="222">
        <v>0</v>
      </c>
      <c r="AB1126" s="222">
        <v>0</v>
      </c>
      <c r="AC1126" s="222">
        <v>0</v>
      </c>
      <c r="AD1126" s="222">
        <v>0</v>
      </c>
      <c r="AE1126" s="222">
        <v>1024</v>
      </c>
      <c r="AF1126" s="221">
        <f>6238.91*AE1126/I1126</f>
        <v>2982.6436968355788</v>
      </c>
      <c r="AG1126" s="222">
        <v>0</v>
      </c>
      <c r="AH1126" s="221">
        <v>0</v>
      </c>
      <c r="AI1126" s="222">
        <v>0</v>
      </c>
      <c r="AJ1126" s="221">
        <v>0</v>
      </c>
      <c r="AK1126" s="222">
        <v>0</v>
      </c>
      <c r="AL1126" s="222">
        <v>0</v>
      </c>
      <c r="AM1126" s="222">
        <v>0</v>
      </c>
      <c r="AN1126" s="222"/>
      <c r="AO1126" s="222">
        <v>0</v>
      </c>
    </row>
    <row r="1127" spans="1:41" s="223" customFormat="1" ht="36" customHeight="1" x14ac:dyDescent="0.25">
      <c r="A1127" s="223">
        <v>1</v>
      </c>
      <c r="B1127" s="225">
        <f>SUBTOTAL(103,$A$1030:A1127)</f>
        <v>96</v>
      </c>
      <c r="C1127" s="215" t="s">
        <v>431</v>
      </c>
      <c r="D1127" s="217">
        <v>1974</v>
      </c>
      <c r="E1127" s="217"/>
      <c r="F1127" s="226" t="s">
        <v>267</v>
      </c>
      <c r="G1127" s="217">
        <v>9</v>
      </c>
      <c r="H1127" s="217" t="s">
        <v>303</v>
      </c>
      <c r="I1127" s="218">
        <v>5409.4</v>
      </c>
      <c r="J1127" s="218">
        <v>5101.5</v>
      </c>
      <c r="K1127" s="218">
        <v>4227.7</v>
      </c>
      <c r="L1127" s="219">
        <v>198</v>
      </c>
      <c r="M1127" s="217" t="s">
        <v>265</v>
      </c>
      <c r="N1127" s="217" t="s">
        <v>269</v>
      </c>
      <c r="O1127" s="220" t="s">
        <v>990</v>
      </c>
      <c r="P1127" s="190">
        <v>4431631.53</v>
      </c>
      <c r="Q1127" s="190">
        <v>0</v>
      </c>
      <c r="R1127" s="190">
        <v>0</v>
      </c>
      <c r="S1127" s="190">
        <f t="shared" si="139"/>
        <v>4431631.53</v>
      </c>
      <c r="T1127" s="190">
        <f t="shared" si="138"/>
        <v>819.2464099530448</v>
      </c>
      <c r="U1127" s="190">
        <v>908.71446001404968</v>
      </c>
      <c r="V1127" s="221">
        <f t="shared" si="135"/>
        <v>89.468050061004874</v>
      </c>
      <c r="W1127" s="221">
        <f t="shared" si="140"/>
        <v>908.71446001404968</v>
      </c>
      <c r="X1127" s="221">
        <v>0</v>
      </c>
      <c r="Y1127" s="222">
        <v>0</v>
      </c>
      <c r="Z1127" s="222">
        <v>0</v>
      </c>
      <c r="AA1127" s="222">
        <v>0</v>
      </c>
      <c r="AB1127" s="222">
        <v>0</v>
      </c>
      <c r="AC1127" s="222">
        <v>2</v>
      </c>
      <c r="AD1127" s="221">
        <f>2457800*AC1127/I1127</f>
        <v>908.71446001404968</v>
      </c>
      <c r="AE1127" s="222">
        <v>0</v>
      </c>
      <c r="AF1127" s="221">
        <v>0</v>
      </c>
      <c r="AG1127" s="222">
        <v>0</v>
      </c>
      <c r="AH1127" s="221">
        <v>0</v>
      </c>
      <c r="AI1127" s="222">
        <v>0</v>
      </c>
      <c r="AJ1127" s="221">
        <v>0</v>
      </c>
      <c r="AK1127" s="222">
        <v>0</v>
      </c>
      <c r="AL1127" s="222">
        <v>0</v>
      </c>
      <c r="AM1127" s="222">
        <v>0</v>
      </c>
      <c r="AN1127" s="222"/>
      <c r="AO1127" s="222">
        <v>0</v>
      </c>
    </row>
    <row r="1128" spans="1:41" s="223" customFormat="1" ht="36" customHeight="1" x14ac:dyDescent="0.25">
      <c r="A1128" s="223">
        <v>1</v>
      </c>
      <c r="B1128" s="225">
        <f>SUBTOTAL(103,$A$1030:A1128)</f>
        <v>97</v>
      </c>
      <c r="C1128" s="215" t="s">
        <v>432</v>
      </c>
      <c r="D1128" s="217">
        <v>1958</v>
      </c>
      <c r="E1128" s="217"/>
      <c r="F1128" s="226" t="s">
        <v>267</v>
      </c>
      <c r="G1128" s="217">
        <v>2</v>
      </c>
      <c r="H1128" s="217" t="s">
        <v>303</v>
      </c>
      <c r="I1128" s="218">
        <v>717.8</v>
      </c>
      <c r="J1128" s="218">
        <v>649.4</v>
      </c>
      <c r="K1128" s="218">
        <v>507.29999999999995</v>
      </c>
      <c r="L1128" s="219">
        <v>46</v>
      </c>
      <c r="M1128" s="217" t="s">
        <v>265</v>
      </c>
      <c r="N1128" s="217" t="s">
        <v>269</v>
      </c>
      <c r="O1128" s="220" t="s">
        <v>325</v>
      </c>
      <c r="P1128" s="190">
        <v>2939948.7</v>
      </c>
      <c r="Q1128" s="190">
        <v>0</v>
      </c>
      <c r="R1128" s="190">
        <v>0</v>
      </c>
      <c r="S1128" s="190">
        <f t="shared" si="139"/>
        <v>2939948.7</v>
      </c>
      <c r="T1128" s="190">
        <f t="shared" si="138"/>
        <v>4095.7769573697415</v>
      </c>
      <c r="U1128" s="190">
        <v>5439.7046531067153</v>
      </c>
      <c r="V1128" s="221">
        <f t="shared" si="135"/>
        <v>1343.9276957369739</v>
      </c>
      <c r="W1128" s="221">
        <f t="shared" si="140"/>
        <v>5215.026469768738</v>
      </c>
      <c r="X1128" s="221">
        <v>0</v>
      </c>
      <c r="Y1128" s="222">
        <v>0</v>
      </c>
      <c r="Z1128" s="222">
        <v>0</v>
      </c>
      <c r="AA1128" s="222">
        <v>0</v>
      </c>
      <c r="AB1128" s="222">
        <v>0</v>
      </c>
      <c r="AC1128" s="222">
        <v>0</v>
      </c>
      <c r="AD1128" s="222">
        <v>0</v>
      </c>
      <c r="AE1128" s="222">
        <v>600</v>
      </c>
      <c r="AF1128" s="221">
        <f t="shared" ref="AF1128:AF1138" si="141">6238.91*AE1128/I1128</f>
        <v>5215.026469768738</v>
      </c>
      <c r="AG1128" s="222">
        <v>0</v>
      </c>
      <c r="AH1128" s="221">
        <v>0</v>
      </c>
      <c r="AI1128" s="222">
        <v>0</v>
      </c>
      <c r="AJ1128" s="221">
        <v>0</v>
      </c>
      <c r="AK1128" s="222">
        <v>0</v>
      </c>
      <c r="AL1128" s="222">
        <v>0</v>
      </c>
      <c r="AM1128" s="222">
        <v>0</v>
      </c>
      <c r="AN1128" s="222"/>
      <c r="AO1128" s="222">
        <v>0</v>
      </c>
    </row>
    <row r="1129" spans="1:41" s="223" customFormat="1" ht="36" customHeight="1" x14ac:dyDescent="0.25">
      <c r="A1129" s="223">
        <v>1</v>
      </c>
      <c r="B1129" s="225">
        <f>SUBTOTAL(103,$A$1030:A1129)</f>
        <v>98</v>
      </c>
      <c r="C1129" s="215" t="s">
        <v>433</v>
      </c>
      <c r="D1129" s="217">
        <v>1956</v>
      </c>
      <c r="E1129" s="217"/>
      <c r="F1129" s="226" t="s">
        <v>324</v>
      </c>
      <c r="G1129" s="217">
        <v>2</v>
      </c>
      <c r="H1129" s="217" t="s">
        <v>312</v>
      </c>
      <c r="I1129" s="218">
        <v>1239.2</v>
      </c>
      <c r="J1129" s="218">
        <v>1131.0999999999999</v>
      </c>
      <c r="K1129" s="218">
        <v>643.79999999999995</v>
      </c>
      <c r="L1129" s="219">
        <v>46</v>
      </c>
      <c r="M1129" s="217" t="s">
        <v>265</v>
      </c>
      <c r="N1129" s="217" t="s">
        <v>269</v>
      </c>
      <c r="O1129" s="220" t="s">
        <v>321</v>
      </c>
      <c r="P1129" s="190">
        <v>3392314.75</v>
      </c>
      <c r="Q1129" s="190">
        <v>0</v>
      </c>
      <c r="R1129" s="190">
        <v>0</v>
      </c>
      <c r="S1129" s="190">
        <f t="shared" si="139"/>
        <v>3392314.75</v>
      </c>
      <c r="T1129" s="190">
        <f t="shared" si="138"/>
        <v>2737.5038331181408</v>
      </c>
      <c r="U1129" s="190">
        <v>3922.8953357004511</v>
      </c>
      <c r="V1129" s="221">
        <f t="shared" si="135"/>
        <v>1185.3915025823103</v>
      </c>
      <c r="W1129" s="221">
        <f t="shared" si="140"/>
        <v>3760.8665025823107</v>
      </c>
      <c r="X1129" s="221">
        <v>0</v>
      </c>
      <c r="Y1129" s="222">
        <v>0</v>
      </c>
      <c r="Z1129" s="222">
        <v>0</v>
      </c>
      <c r="AA1129" s="222">
        <v>0</v>
      </c>
      <c r="AB1129" s="222">
        <v>0</v>
      </c>
      <c r="AC1129" s="222">
        <v>0</v>
      </c>
      <c r="AD1129" s="222">
        <v>0</v>
      </c>
      <c r="AE1129" s="222">
        <v>747</v>
      </c>
      <c r="AF1129" s="221">
        <f t="shared" si="141"/>
        <v>3760.8665025823107</v>
      </c>
      <c r="AG1129" s="222">
        <v>0</v>
      </c>
      <c r="AH1129" s="221">
        <v>0</v>
      </c>
      <c r="AI1129" s="222">
        <v>0</v>
      </c>
      <c r="AJ1129" s="221">
        <v>0</v>
      </c>
      <c r="AK1129" s="222">
        <v>0</v>
      </c>
      <c r="AL1129" s="222">
        <v>0</v>
      </c>
      <c r="AM1129" s="222">
        <v>0</v>
      </c>
      <c r="AN1129" s="222"/>
      <c r="AO1129" s="222">
        <v>0</v>
      </c>
    </row>
    <row r="1130" spans="1:41" s="223" customFormat="1" ht="36" customHeight="1" x14ac:dyDescent="0.25">
      <c r="A1130" s="223">
        <v>1</v>
      </c>
      <c r="B1130" s="225">
        <f>SUBTOTAL(103,$A$1030:A1130)</f>
        <v>99</v>
      </c>
      <c r="C1130" s="215" t="s">
        <v>434</v>
      </c>
      <c r="D1130" s="217">
        <v>1968</v>
      </c>
      <c r="E1130" s="217"/>
      <c r="F1130" s="226" t="s">
        <v>267</v>
      </c>
      <c r="G1130" s="217">
        <v>3</v>
      </c>
      <c r="H1130" s="217" t="s">
        <v>303</v>
      </c>
      <c r="I1130" s="218">
        <v>1032.5</v>
      </c>
      <c r="J1130" s="218">
        <v>644</v>
      </c>
      <c r="K1130" s="218">
        <v>445.9</v>
      </c>
      <c r="L1130" s="219">
        <v>83</v>
      </c>
      <c r="M1130" s="217" t="s">
        <v>265</v>
      </c>
      <c r="N1130" s="217" t="s">
        <v>269</v>
      </c>
      <c r="O1130" s="220" t="s">
        <v>328</v>
      </c>
      <c r="P1130" s="190">
        <v>2330461.9000000004</v>
      </c>
      <c r="Q1130" s="190">
        <v>0</v>
      </c>
      <c r="R1130" s="190">
        <v>0</v>
      </c>
      <c r="S1130" s="190">
        <f t="shared" si="139"/>
        <v>2330461.9000000004</v>
      </c>
      <c r="T1130" s="190">
        <f t="shared" si="138"/>
        <v>2257.1059564164652</v>
      </c>
      <c r="U1130" s="190">
        <v>3044.28</v>
      </c>
      <c r="V1130" s="221">
        <f t="shared" si="135"/>
        <v>787.17404358353497</v>
      </c>
      <c r="W1130" s="221">
        <f t="shared" si="140"/>
        <v>2918.540949152542</v>
      </c>
      <c r="X1130" s="221">
        <v>0</v>
      </c>
      <c r="Y1130" s="222">
        <v>0</v>
      </c>
      <c r="Z1130" s="222">
        <v>0</v>
      </c>
      <c r="AA1130" s="222">
        <v>0</v>
      </c>
      <c r="AB1130" s="222">
        <v>0</v>
      </c>
      <c r="AC1130" s="222">
        <v>0</v>
      </c>
      <c r="AD1130" s="222">
        <v>0</v>
      </c>
      <c r="AE1130" s="222">
        <v>483</v>
      </c>
      <c r="AF1130" s="221">
        <f t="shared" si="141"/>
        <v>2918.540949152542</v>
      </c>
      <c r="AG1130" s="222">
        <v>0</v>
      </c>
      <c r="AH1130" s="221">
        <v>0</v>
      </c>
      <c r="AI1130" s="222">
        <v>0</v>
      </c>
      <c r="AJ1130" s="221">
        <v>0</v>
      </c>
      <c r="AK1130" s="222">
        <v>0</v>
      </c>
      <c r="AL1130" s="222">
        <v>0</v>
      </c>
      <c r="AM1130" s="222">
        <v>0</v>
      </c>
      <c r="AN1130" s="222"/>
      <c r="AO1130" s="222">
        <v>0</v>
      </c>
    </row>
    <row r="1131" spans="1:41" s="223" customFormat="1" ht="36" customHeight="1" x14ac:dyDescent="0.25">
      <c r="A1131" s="223">
        <v>1</v>
      </c>
      <c r="B1131" s="225">
        <f>SUBTOTAL(103,$A$1030:A1131)</f>
        <v>100</v>
      </c>
      <c r="C1131" s="215" t="s">
        <v>435</v>
      </c>
      <c r="D1131" s="217">
        <v>1969</v>
      </c>
      <c r="E1131" s="217"/>
      <c r="F1131" s="226" t="s">
        <v>267</v>
      </c>
      <c r="G1131" s="217">
        <v>5</v>
      </c>
      <c r="H1131" s="217" t="s">
        <v>371</v>
      </c>
      <c r="I1131" s="218">
        <v>5048.3</v>
      </c>
      <c r="J1131" s="218">
        <v>4655.2</v>
      </c>
      <c r="K1131" s="218">
        <v>3957.13</v>
      </c>
      <c r="L1131" s="219">
        <v>217</v>
      </c>
      <c r="M1131" s="217" t="s">
        <v>265</v>
      </c>
      <c r="N1131" s="217" t="s">
        <v>269</v>
      </c>
      <c r="O1131" s="220" t="s">
        <v>328</v>
      </c>
      <c r="P1131" s="190">
        <v>7737284.3099999996</v>
      </c>
      <c r="Q1131" s="190">
        <v>0</v>
      </c>
      <c r="R1131" s="190">
        <v>0</v>
      </c>
      <c r="S1131" s="190">
        <f t="shared" si="139"/>
        <v>7737284.3099999996</v>
      </c>
      <c r="T1131" s="190">
        <f t="shared" si="138"/>
        <v>1532.6514490026343</v>
      </c>
      <c r="U1131" s="190">
        <v>1934.9202107640194</v>
      </c>
      <c r="V1131" s="221">
        <f t="shared" si="135"/>
        <v>402.26876176138512</v>
      </c>
      <c r="W1131" s="221">
        <f t="shared" si="140"/>
        <v>1855.0014678208506</v>
      </c>
      <c r="X1131" s="221">
        <v>0</v>
      </c>
      <c r="Y1131" s="222">
        <v>0</v>
      </c>
      <c r="Z1131" s="222">
        <v>0</v>
      </c>
      <c r="AA1131" s="222">
        <v>0</v>
      </c>
      <c r="AB1131" s="222">
        <v>0</v>
      </c>
      <c r="AC1131" s="222">
        <v>0</v>
      </c>
      <c r="AD1131" s="222">
        <v>0</v>
      </c>
      <c r="AE1131" s="222">
        <v>1501</v>
      </c>
      <c r="AF1131" s="221">
        <f t="shared" si="141"/>
        <v>1855.0014678208506</v>
      </c>
      <c r="AG1131" s="222">
        <v>0</v>
      </c>
      <c r="AH1131" s="221">
        <v>0</v>
      </c>
      <c r="AI1131" s="222">
        <v>0</v>
      </c>
      <c r="AJ1131" s="221">
        <v>0</v>
      </c>
      <c r="AK1131" s="222">
        <v>0</v>
      </c>
      <c r="AL1131" s="222">
        <v>0</v>
      </c>
      <c r="AM1131" s="222">
        <v>0</v>
      </c>
      <c r="AN1131" s="222"/>
      <c r="AO1131" s="222">
        <v>0</v>
      </c>
    </row>
    <row r="1132" spans="1:41" s="223" customFormat="1" ht="36" customHeight="1" x14ac:dyDescent="0.25">
      <c r="A1132" s="223">
        <v>1</v>
      </c>
      <c r="B1132" s="225">
        <f>SUBTOTAL(103,$A$1030:A1132)</f>
        <v>101</v>
      </c>
      <c r="C1132" s="215" t="s">
        <v>436</v>
      </c>
      <c r="D1132" s="217">
        <v>1943</v>
      </c>
      <c r="E1132" s="217"/>
      <c r="F1132" s="226" t="s">
        <v>267</v>
      </c>
      <c r="G1132" s="217">
        <v>2</v>
      </c>
      <c r="H1132" s="217" t="s">
        <v>304</v>
      </c>
      <c r="I1132" s="218">
        <v>722.9</v>
      </c>
      <c r="J1132" s="218">
        <v>653.9</v>
      </c>
      <c r="K1132" s="218">
        <v>547.55999999999995</v>
      </c>
      <c r="L1132" s="219">
        <v>34</v>
      </c>
      <c r="M1132" s="217" t="s">
        <v>265</v>
      </c>
      <c r="N1132" s="217" t="s">
        <v>269</v>
      </c>
      <c r="O1132" s="220" t="s">
        <v>325</v>
      </c>
      <c r="P1132" s="190">
        <v>3223377.74</v>
      </c>
      <c r="Q1132" s="190">
        <v>0</v>
      </c>
      <c r="R1132" s="190">
        <v>0</v>
      </c>
      <c r="S1132" s="190">
        <f t="shared" si="139"/>
        <v>3223377.74</v>
      </c>
      <c r="T1132" s="190">
        <f t="shared" si="138"/>
        <v>4458.9538525383878</v>
      </c>
      <c r="U1132" s="190">
        <v>5401.3279845068473</v>
      </c>
      <c r="V1132" s="221">
        <f t="shared" si="135"/>
        <v>942.37413196845955</v>
      </c>
      <c r="W1132" s="221">
        <f t="shared" si="140"/>
        <v>5178.2348872596485</v>
      </c>
      <c r="X1132" s="221">
        <v>0</v>
      </c>
      <c r="Y1132" s="222">
        <v>0</v>
      </c>
      <c r="Z1132" s="222">
        <v>0</v>
      </c>
      <c r="AA1132" s="222">
        <v>0</v>
      </c>
      <c r="AB1132" s="222">
        <v>0</v>
      </c>
      <c r="AC1132" s="222">
        <v>0</v>
      </c>
      <c r="AD1132" s="222">
        <v>0</v>
      </c>
      <c r="AE1132" s="222">
        <v>600</v>
      </c>
      <c r="AF1132" s="221">
        <f t="shared" si="141"/>
        <v>5178.2348872596485</v>
      </c>
      <c r="AG1132" s="222">
        <v>0</v>
      </c>
      <c r="AH1132" s="221">
        <v>0</v>
      </c>
      <c r="AI1132" s="222">
        <v>0</v>
      </c>
      <c r="AJ1132" s="221">
        <v>0</v>
      </c>
      <c r="AK1132" s="222">
        <v>0</v>
      </c>
      <c r="AL1132" s="222">
        <v>0</v>
      </c>
      <c r="AM1132" s="222">
        <v>0</v>
      </c>
      <c r="AN1132" s="222"/>
      <c r="AO1132" s="222">
        <v>0</v>
      </c>
    </row>
    <row r="1133" spans="1:41" s="223" customFormat="1" ht="36" customHeight="1" x14ac:dyDescent="0.25">
      <c r="A1133" s="223">
        <v>1</v>
      </c>
      <c r="B1133" s="225">
        <f>SUBTOTAL(103,$A$1030:A1133)</f>
        <v>102</v>
      </c>
      <c r="C1133" s="215" t="s">
        <v>437</v>
      </c>
      <c r="D1133" s="217">
        <v>1917</v>
      </c>
      <c r="E1133" s="217"/>
      <c r="F1133" s="226" t="s">
        <v>330</v>
      </c>
      <c r="G1133" s="217">
        <v>2</v>
      </c>
      <c r="H1133" s="217" t="s">
        <v>303</v>
      </c>
      <c r="I1133" s="218">
        <v>643.4</v>
      </c>
      <c r="J1133" s="218">
        <v>615.9</v>
      </c>
      <c r="K1133" s="218">
        <v>423.09999999999997</v>
      </c>
      <c r="L1133" s="219">
        <v>21</v>
      </c>
      <c r="M1133" s="217" t="s">
        <v>265</v>
      </c>
      <c r="N1133" s="217" t="s">
        <v>269</v>
      </c>
      <c r="O1133" s="220" t="s">
        <v>321</v>
      </c>
      <c r="P1133" s="190">
        <v>1785415</v>
      </c>
      <c r="Q1133" s="190">
        <v>0</v>
      </c>
      <c r="R1133" s="190">
        <v>0</v>
      </c>
      <c r="S1133" s="190">
        <f t="shared" si="139"/>
        <v>1785415</v>
      </c>
      <c r="T1133" s="190">
        <f t="shared" si="138"/>
        <v>2774.9689151383277</v>
      </c>
      <c r="U1133" s="190">
        <v>3732.2681069319242</v>
      </c>
      <c r="V1133" s="221">
        <f t="shared" si="135"/>
        <v>957.29919179359649</v>
      </c>
      <c r="W1133" s="221">
        <f t="shared" si="140"/>
        <v>3578.1128225054399</v>
      </c>
      <c r="X1133" s="221">
        <v>0</v>
      </c>
      <c r="Y1133" s="222">
        <v>0</v>
      </c>
      <c r="Z1133" s="222">
        <v>0</v>
      </c>
      <c r="AA1133" s="222">
        <v>0</v>
      </c>
      <c r="AB1133" s="222">
        <v>0</v>
      </c>
      <c r="AC1133" s="222">
        <v>0</v>
      </c>
      <c r="AD1133" s="222">
        <v>0</v>
      </c>
      <c r="AE1133" s="222">
        <v>369</v>
      </c>
      <c r="AF1133" s="221">
        <f t="shared" si="141"/>
        <v>3578.1128225054399</v>
      </c>
      <c r="AG1133" s="222">
        <v>0</v>
      </c>
      <c r="AH1133" s="221">
        <v>0</v>
      </c>
      <c r="AI1133" s="222">
        <v>0</v>
      </c>
      <c r="AJ1133" s="221">
        <v>0</v>
      </c>
      <c r="AK1133" s="222">
        <v>0</v>
      </c>
      <c r="AL1133" s="222">
        <v>0</v>
      </c>
      <c r="AM1133" s="222">
        <v>0</v>
      </c>
      <c r="AN1133" s="222"/>
      <c r="AO1133" s="222">
        <v>0</v>
      </c>
    </row>
    <row r="1134" spans="1:41" s="223" customFormat="1" ht="36" customHeight="1" x14ac:dyDescent="0.25">
      <c r="A1134" s="223">
        <v>1</v>
      </c>
      <c r="B1134" s="225">
        <f>SUBTOTAL(103,$A$1030:A1134)</f>
        <v>103</v>
      </c>
      <c r="C1134" s="215" t="s">
        <v>209</v>
      </c>
      <c r="D1134" s="217">
        <v>1967</v>
      </c>
      <c r="E1134" s="217"/>
      <c r="F1134" s="226" t="s">
        <v>267</v>
      </c>
      <c r="G1134" s="217">
        <v>2</v>
      </c>
      <c r="H1134" s="217" t="s">
        <v>303</v>
      </c>
      <c r="I1134" s="218">
        <v>678.4</v>
      </c>
      <c r="J1134" s="218">
        <v>629.79999999999995</v>
      </c>
      <c r="K1134" s="218">
        <v>589.79999999999995</v>
      </c>
      <c r="L1134" s="219">
        <v>35</v>
      </c>
      <c r="M1134" s="217" t="s">
        <v>265</v>
      </c>
      <c r="N1134" s="217" t="s">
        <v>269</v>
      </c>
      <c r="O1134" s="220" t="s">
        <v>327</v>
      </c>
      <c r="P1134" s="190">
        <v>2534110.7700000005</v>
      </c>
      <c r="Q1134" s="190">
        <v>0</v>
      </c>
      <c r="R1134" s="190">
        <v>0</v>
      </c>
      <c r="S1134" s="190">
        <f t="shared" si="139"/>
        <v>2534110.7700000005</v>
      </c>
      <c r="T1134" s="190">
        <f t="shared" si="138"/>
        <v>3735.4227152122648</v>
      </c>
      <c r="U1134" s="190">
        <v>5036.1770341981137</v>
      </c>
      <c r="V1134" s="221">
        <f t="shared" si="135"/>
        <v>1300.7543189858488</v>
      </c>
      <c r="W1134" s="221">
        <f t="shared" si="140"/>
        <v>4828.1659050707549</v>
      </c>
      <c r="X1134" s="221">
        <v>0</v>
      </c>
      <c r="Y1134" s="222">
        <v>0</v>
      </c>
      <c r="Z1134" s="222">
        <v>0</v>
      </c>
      <c r="AA1134" s="222">
        <v>0</v>
      </c>
      <c r="AB1134" s="222">
        <v>0</v>
      </c>
      <c r="AC1134" s="222">
        <v>0</v>
      </c>
      <c r="AD1134" s="222">
        <v>0</v>
      </c>
      <c r="AE1134" s="222">
        <v>525</v>
      </c>
      <c r="AF1134" s="221">
        <f t="shared" si="141"/>
        <v>4828.1659050707549</v>
      </c>
      <c r="AG1134" s="222">
        <v>0</v>
      </c>
      <c r="AH1134" s="221">
        <v>0</v>
      </c>
      <c r="AI1134" s="222">
        <v>0</v>
      </c>
      <c r="AJ1134" s="221">
        <v>0</v>
      </c>
      <c r="AK1134" s="222">
        <v>0</v>
      </c>
      <c r="AL1134" s="222">
        <v>0</v>
      </c>
      <c r="AM1134" s="222">
        <v>0</v>
      </c>
      <c r="AN1134" s="222"/>
      <c r="AO1134" s="222">
        <v>0</v>
      </c>
    </row>
    <row r="1135" spans="1:41" s="223" customFormat="1" ht="36" customHeight="1" x14ac:dyDescent="0.25">
      <c r="A1135" s="223">
        <v>1</v>
      </c>
      <c r="B1135" s="225">
        <f>SUBTOTAL(103,$A$1030:A1135)</f>
        <v>104</v>
      </c>
      <c r="C1135" s="215" t="s">
        <v>208</v>
      </c>
      <c r="D1135" s="217">
        <v>1975</v>
      </c>
      <c r="E1135" s="217"/>
      <c r="F1135" s="226" t="s">
        <v>267</v>
      </c>
      <c r="G1135" s="217">
        <v>2</v>
      </c>
      <c r="H1135" s="217" t="s">
        <v>303</v>
      </c>
      <c r="I1135" s="218">
        <v>817.4</v>
      </c>
      <c r="J1135" s="218">
        <v>755.8</v>
      </c>
      <c r="K1135" s="218">
        <v>652</v>
      </c>
      <c r="L1135" s="219">
        <v>43</v>
      </c>
      <c r="M1135" s="217" t="s">
        <v>265</v>
      </c>
      <c r="N1135" s="217" t="s">
        <v>269</v>
      </c>
      <c r="O1135" s="220" t="s">
        <v>327</v>
      </c>
      <c r="P1135" s="190">
        <v>2967533.3499999996</v>
      </c>
      <c r="Q1135" s="190">
        <v>0</v>
      </c>
      <c r="R1135" s="190">
        <v>0</v>
      </c>
      <c r="S1135" s="190">
        <f t="shared" si="139"/>
        <v>2967533.3499999996</v>
      </c>
      <c r="T1135" s="190">
        <f t="shared" si="138"/>
        <v>3630.4543063371661</v>
      </c>
      <c r="U1135" s="190">
        <v>4888.3383900171275</v>
      </c>
      <c r="V1135" s="221">
        <f t="shared" si="135"/>
        <v>1257.8840836799613</v>
      </c>
      <c r="W1135" s="221">
        <f t="shared" si="140"/>
        <v>4686.4334964521649</v>
      </c>
      <c r="X1135" s="221">
        <v>0</v>
      </c>
      <c r="Y1135" s="222">
        <v>0</v>
      </c>
      <c r="Z1135" s="222">
        <v>0</v>
      </c>
      <c r="AA1135" s="222">
        <v>0</v>
      </c>
      <c r="AB1135" s="222">
        <v>0</v>
      </c>
      <c r="AC1135" s="222">
        <v>0</v>
      </c>
      <c r="AD1135" s="222">
        <v>0</v>
      </c>
      <c r="AE1135" s="222">
        <v>614</v>
      </c>
      <c r="AF1135" s="221">
        <f t="shared" si="141"/>
        <v>4686.4334964521649</v>
      </c>
      <c r="AG1135" s="222">
        <v>0</v>
      </c>
      <c r="AH1135" s="221">
        <v>0</v>
      </c>
      <c r="AI1135" s="222">
        <v>0</v>
      </c>
      <c r="AJ1135" s="221">
        <v>0</v>
      </c>
      <c r="AK1135" s="222">
        <v>0</v>
      </c>
      <c r="AL1135" s="222">
        <v>0</v>
      </c>
      <c r="AM1135" s="222">
        <v>0</v>
      </c>
      <c r="AN1135" s="222"/>
      <c r="AO1135" s="222">
        <v>0</v>
      </c>
    </row>
    <row r="1136" spans="1:41" s="223" customFormat="1" ht="36" customHeight="1" x14ac:dyDescent="0.25">
      <c r="A1136" s="223">
        <v>1</v>
      </c>
      <c r="B1136" s="225">
        <f>SUBTOTAL(103,$A$1030:A1136)</f>
        <v>105</v>
      </c>
      <c r="C1136" s="215" t="s">
        <v>439</v>
      </c>
      <c r="D1136" s="217">
        <v>1950</v>
      </c>
      <c r="E1136" s="217"/>
      <c r="F1136" s="226" t="s">
        <v>267</v>
      </c>
      <c r="G1136" s="217">
        <v>2</v>
      </c>
      <c r="H1136" s="217" t="s">
        <v>304</v>
      </c>
      <c r="I1136" s="218">
        <v>411.15</v>
      </c>
      <c r="J1136" s="218">
        <v>411.15</v>
      </c>
      <c r="K1136" s="218">
        <v>369.45</v>
      </c>
      <c r="L1136" s="219">
        <v>18</v>
      </c>
      <c r="M1136" s="217" t="s">
        <v>265</v>
      </c>
      <c r="N1136" s="217" t="s">
        <v>269</v>
      </c>
      <c r="O1136" s="220" t="s">
        <v>321</v>
      </c>
      <c r="P1136" s="190">
        <v>1780239.97</v>
      </c>
      <c r="Q1136" s="190">
        <v>0</v>
      </c>
      <c r="R1136" s="190">
        <v>0</v>
      </c>
      <c r="S1136" s="190">
        <f t="shared" si="139"/>
        <v>1780239.97</v>
      </c>
      <c r="T1136" s="190">
        <f t="shared" si="138"/>
        <v>4329.9038550407395</v>
      </c>
      <c r="U1136" s="190">
        <v>5856.3760184847379</v>
      </c>
      <c r="V1136" s="221">
        <f t="shared" si="135"/>
        <v>1526.4721634439984</v>
      </c>
      <c r="W1136" s="221">
        <f t="shared" si="140"/>
        <v>5614.4878997932628</v>
      </c>
      <c r="X1136" s="221">
        <v>0</v>
      </c>
      <c r="Y1136" s="222">
        <v>0</v>
      </c>
      <c r="Z1136" s="222">
        <v>0</v>
      </c>
      <c r="AA1136" s="222">
        <v>0</v>
      </c>
      <c r="AB1136" s="222">
        <v>0</v>
      </c>
      <c r="AC1136" s="222">
        <v>0</v>
      </c>
      <c r="AD1136" s="222">
        <v>0</v>
      </c>
      <c r="AE1136" s="222">
        <v>370</v>
      </c>
      <c r="AF1136" s="221">
        <f t="shared" si="141"/>
        <v>5614.4878997932628</v>
      </c>
      <c r="AG1136" s="222">
        <v>0</v>
      </c>
      <c r="AH1136" s="221">
        <v>0</v>
      </c>
      <c r="AI1136" s="222">
        <v>0</v>
      </c>
      <c r="AJ1136" s="221">
        <v>0</v>
      </c>
      <c r="AK1136" s="222">
        <v>0</v>
      </c>
      <c r="AL1136" s="222">
        <v>0</v>
      </c>
      <c r="AM1136" s="222">
        <v>0</v>
      </c>
      <c r="AN1136" s="222"/>
      <c r="AO1136" s="222">
        <v>0</v>
      </c>
    </row>
    <row r="1137" spans="1:41" s="223" customFormat="1" ht="36" customHeight="1" x14ac:dyDescent="0.25">
      <c r="A1137" s="223">
        <v>1</v>
      </c>
      <c r="B1137" s="225">
        <f>SUBTOTAL(103,$A$1030:A1137)</f>
        <v>106</v>
      </c>
      <c r="C1137" s="215" t="s">
        <v>440</v>
      </c>
      <c r="D1137" s="217">
        <v>1966</v>
      </c>
      <c r="E1137" s="217"/>
      <c r="F1137" s="226" t="s">
        <v>267</v>
      </c>
      <c r="G1137" s="217">
        <v>2</v>
      </c>
      <c r="H1137" s="217" t="s">
        <v>303</v>
      </c>
      <c r="I1137" s="218">
        <v>667.6</v>
      </c>
      <c r="J1137" s="218">
        <v>667.6</v>
      </c>
      <c r="K1137" s="218">
        <v>586.70000000000005</v>
      </c>
      <c r="L1137" s="219">
        <v>39</v>
      </c>
      <c r="M1137" s="217" t="s">
        <v>265</v>
      </c>
      <c r="N1137" s="217" t="s">
        <v>269</v>
      </c>
      <c r="O1137" s="220" t="s">
        <v>327</v>
      </c>
      <c r="P1137" s="190">
        <v>2557235.63</v>
      </c>
      <c r="Q1137" s="190">
        <v>0</v>
      </c>
      <c r="R1137" s="190">
        <v>0</v>
      </c>
      <c r="S1137" s="190">
        <f t="shared" si="139"/>
        <v>2557235.63</v>
      </c>
      <c r="T1137" s="190">
        <f t="shared" si="138"/>
        <v>3830.4907579388851</v>
      </c>
      <c r="U1137" s="190">
        <v>5166.3885560215695</v>
      </c>
      <c r="V1137" s="221">
        <f t="shared" si="135"/>
        <v>1335.8977980826844</v>
      </c>
      <c r="W1137" s="221">
        <f t="shared" si="140"/>
        <v>4952.9992510485317</v>
      </c>
      <c r="X1137" s="221">
        <v>0</v>
      </c>
      <c r="Y1137" s="222">
        <v>0</v>
      </c>
      <c r="Z1137" s="222">
        <v>0</v>
      </c>
      <c r="AA1137" s="222">
        <v>0</v>
      </c>
      <c r="AB1137" s="222">
        <v>0</v>
      </c>
      <c r="AC1137" s="222">
        <v>0</v>
      </c>
      <c r="AD1137" s="222">
        <v>0</v>
      </c>
      <c r="AE1137" s="222">
        <v>530</v>
      </c>
      <c r="AF1137" s="221">
        <f t="shared" si="141"/>
        <v>4952.9992510485317</v>
      </c>
      <c r="AG1137" s="222">
        <v>0</v>
      </c>
      <c r="AH1137" s="221">
        <v>0</v>
      </c>
      <c r="AI1137" s="222">
        <v>0</v>
      </c>
      <c r="AJ1137" s="221">
        <v>0</v>
      </c>
      <c r="AK1137" s="222">
        <v>0</v>
      </c>
      <c r="AL1137" s="222">
        <v>0</v>
      </c>
      <c r="AM1137" s="222">
        <v>0</v>
      </c>
      <c r="AN1137" s="222"/>
      <c r="AO1137" s="222">
        <v>0</v>
      </c>
    </row>
    <row r="1138" spans="1:41" s="223" customFormat="1" ht="36" customHeight="1" x14ac:dyDescent="0.25">
      <c r="A1138" s="223">
        <v>1</v>
      </c>
      <c r="B1138" s="225">
        <f>SUBTOTAL(103,$A$1030:A1138)</f>
        <v>107</v>
      </c>
      <c r="C1138" s="215" t="s">
        <v>441</v>
      </c>
      <c r="D1138" s="217">
        <v>1977</v>
      </c>
      <c r="E1138" s="217"/>
      <c r="F1138" s="226" t="s">
        <v>267</v>
      </c>
      <c r="G1138" s="217">
        <v>9</v>
      </c>
      <c r="H1138" s="217" t="s">
        <v>304</v>
      </c>
      <c r="I1138" s="218">
        <v>2576</v>
      </c>
      <c r="J1138" s="218">
        <v>2271.29</v>
      </c>
      <c r="K1138" s="218">
        <v>2123.6999999999998</v>
      </c>
      <c r="L1138" s="219">
        <v>119</v>
      </c>
      <c r="M1138" s="217" t="s">
        <v>265</v>
      </c>
      <c r="N1138" s="217" t="s">
        <v>269</v>
      </c>
      <c r="O1138" s="220" t="s">
        <v>327</v>
      </c>
      <c r="P1138" s="190">
        <v>1910689.27</v>
      </c>
      <c r="Q1138" s="190">
        <v>0</v>
      </c>
      <c r="R1138" s="190">
        <v>0</v>
      </c>
      <c r="S1138" s="190">
        <f t="shared" si="139"/>
        <v>1910689.27</v>
      </c>
      <c r="T1138" s="190">
        <f t="shared" si="138"/>
        <v>741.72720108695648</v>
      </c>
      <c r="U1138" s="190">
        <v>959.08709627329188</v>
      </c>
      <c r="V1138" s="221">
        <f t="shared" si="135"/>
        <v>217.35989518633539</v>
      </c>
      <c r="W1138" s="221">
        <f t="shared" si="140"/>
        <v>959.08709627329188</v>
      </c>
      <c r="X1138" s="221">
        <v>0</v>
      </c>
      <c r="Y1138" s="222">
        <v>0</v>
      </c>
      <c r="Z1138" s="222">
        <v>0</v>
      </c>
      <c r="AA1138" s="222">
        <v>0</v>
      </c>
      <c r="AB1138" s="222">
        <v>0</v>
      </c>
      <c r="AC1138" s="222">
        <v>0</v>
      </c>
      <c r="AD1138" s="222">
        <v>0</v>
      </c>
      <c r="AE1138" s="222">
        <v>396</v>
      </c>
      <c r="AF1138" s="221">
        <f t="shared" si="141"/>
        <v>959.08709627329188</v>
      </c>
      <c r="AG1138" s="222">
        <v>0</v>
      </c>
      <c r="AH1138" s="221">
        <v>0</v>
      </c>
      <c r="AI1138" s="222">
        <v>0</v>
      </c>
      <c r="AJ1138" s="221">
        <v>0</v>
      </c>
      <c r="AK1138" s="222">
        <v>0</v>
      </c>
      <c r="AL1138" s="222">
        <v>0</v>
      </c>
      <c r="AM1138" s="222">
        <v>0</v>
      </c>
      <c r="AN1138" s="222"/>
      <c r="AO1138" s="222">
        <v>0</v>
      </c>
    </row>
    <row r="1139" spans="1:41" s="223" customFormat="1" ht="36" customHeight="1" x14ac:dyDescent="0.25">
      <c r="A1139" s="223">
        <v>1</v>
      </c>
      <c r="B1139" s="225">
        <f>SUBTOTAL(103,$A$1030:A1139)</f>
        <v>108</v>
      </c>
      <c r="C1139" s="215" t="s">
        <v>814</v>
      </c>
      <c r="D1139" s="217">
        <v>1988</v>
      </c>
      <c r="E1139" s="217"/>
      <c r="F1139" s="226" t="s">
        <v>267</v>
      </c>
      <c r="G1139" s="217">
        <v>9</v>
      </c>
      <c r="H1139" s="217" t="s">
        <v>312</v>
      </c>
      <c r="I1139" s="218">
        <v>5795.4</v>
      </c>
      <c r="J1139" s="218">
        <v>5795.4</v>
      </c>
      <c r="K1139" s="218">
        <v>5264.2</v>
      </c>
      <c r="L1139" s="219">
        <v>304</v>
      </c>
      <c r="M1139" s="217" t="s">
        <v>265</v>
      </c>
      <c r="N1139" s="217" t="s">
        <v>269</v>
      </c>
      <c r="O1139" s="220" t="s">
        <v>987</v>
      </c>
      <c r="P1139" s="190">
        <v>6400000</v>
      </c>
      <c r="Q1139" s="190">
        <v>0</v>
      </c>
      <c r="R1139" s="190">
        <v>0</v>
      </c>
      <c r="S1139" s="190">
        <f t="shared" si="139"/>
        <v>6400000</v>
      </c>
      <c r="T1139" s="190">
        <f t="shared" si="138"/>
        <v>1104.3241191289644</v>
      </c>
      <c r="U1139" s="190">
        <v>1272.2849156227353</v>
      </c>
      <c r="V1139" s="221">
        <f t="shared" si="135"/>
        <v>167.96079649377089</v>
      </c>
      <c r="W1139" s="221">
        <f t="shared" si="140"/>
        <v>1272.2849156227353</v>
      </c>
      <c r="X1139" s="221">
        <v>0</v>
      </c>
      <c r="Y1139" s="222">
        <v>0</v>
      </c>
      <c r="Z1139" s="222">
        <v>0</v>
      </c>
      <c r="AA1139" s="222">
        <v>0</v>
      </c>
      <c r="AB1139" s="222">
        <v>0</v>
      </c>
      <c r="AC1139" s="222">
        <v>3</v>
      </c>
      <c r="AD1139" s="221">
        <f>2457800*AC1139/I1139</f>
        <v>1272.2849156227353</v>
      </c>
      <c r="AE1139" s="222">
        <v>0</v>
      </c>
      <c r="AF1139" s="221">
        <v>0</v>
      </c>
      <c r="AG1139" s="222">
        <v>0</v>
      </c>
      <c r="AH1139" s="221">
        <v>0</v>
      </c>
      <c r="AI1139" s="222">
        <v>0</v>
      </c>
      <c r="AJ1139" s="221">
        <v>0</v>
      </c>
      <c r="AK1139" s="222">
        <v>0</v>
      </c>
      <c r="AL1139" s="222">
        <v>0</v>
      </c>
      <c r="AM1139" s="222">
        <v>0</v>
      </c>
      <c r="AN1139" s="222"/>
      <c r="AO1139" s="222">
        <v>0</v>
      </c>
    </row>
    <row r="1140" spans="1:41" s="223" customFormat="1" ht="36" customHeight="1" x14ac:dyDescent="0.25">
      <c r="B1140" s="215" t="s">
        <v>781</v>
      </c>
      <c r="C1140" s="215"/>
      <c r="D1140" s="217" t="s">
        <v>890</v>
      </c>
      <c r="E1140" s="217" t="s">
        <v>890</v>
      </c>
      <c r="F1140" s="217" t="s">
        <v>890</v>
      </c>
      <c r="G1140" s="217" t="s">
        <v>890</v>
      </c>
      <c r="H1140" s="217" t="s">
        <v>890</v>
      </c>
      <c r="I1140" s="218">
        <f>SUM(I1141:I1153)</f>
        <v>31763.41</v>
      </c>
      <c r="J1140" s="218">
        <f>SUM(J1141:J1153)</f>
        <v>24770.099999999995</v>
      </c>
      <c r="K1140" s="218">
        <f>SUM(K1141:K1153)</f>
        <v>23532.199999999997</v>
      </c>
      <c r="L1140" s="219">
        <f>SUM(L1141:L1153)</f>
        <v>1018</v>
      </c>
      <c r="M1140" s="217" t="s">
        <v>890</v>
      </c>
      <c r="N1140" s="217" t="s">
        <v>890</v>
      </c>
      <c r="O1140" s="220" t="s">
        <v>890</v>
      </c>
      <c r="P1140" s="218">
        <v>50260646.789999992</v>
      </c>
      <c r="Q1140" s="218">
        <f>SUM(Q1141:Q1153)</f>
        <v>0</v>
      </c>
      <c r="R1140" s="218">
        <f>SUM(R1141:R1153)</f>
        <v>0</v>
      </c>
      <c r="S1140" s="218">
        <f>SUM(S1141:S1153)</f>
        <v>50260646.789999992</v>
      </c>
      <c r="T1140" s="190">
        <f t="shared" si="138"/>
        <v>1582.3441749484703</v>
      </c>
      <c r="U1140" s="190">
        <f>MAX(U1141:U1153)</f>
        <v>8661.3065976714097</v>
      </c>
      <c r="V1140" s="221">
        <f t="shared" si="135"/>
        <v>7078.9624227229397</v>
      </c>
      <c r="W1140" s="221"/>
      <c r="X1140" s="221"/>
      <c r="Y1140" s="222"/>
      <c r="Z1140" s="222"/>
      <c r="AA1140" s="222"/>
      <c r="AB1140" s="222"/>
      <c r="AC1140" s="222"/>
      <c r="AD1140" s="222"/>
      <c r="AE1140" s="222"/>
      <c r="AF1140" s="222"/>
      <c r="AG1140" s="222"/>
      <c r="AH1140" s="222"/>
      <c r="AI1140" s="222"/>
      <c r="AJ1140" s="222"/>
      <c r="AK1140" s="222"/>
      <c r="AL1140" s="222"/>
      <c r="AM1140" s="222"/>
      <c r="AN1140" s="222"/>
      <c r="AO1140" s="222"/>
    </row>
    <row r="1141" spans="1:41" s="223" customFormat="1" ht="36" customHeight="1" x14ac:dyDescent="0.25">
      <c r="A1141" s="223">
        <v>1</v>
      </c>
      <c r="B1141" s="225">
        <f>SUBTOTAL(103,$A$1030:A1141)</f>
        <v>109</v>
      </c>
      <c r="C1141" s="215" t="s">
        <v>782</v>
      </c>
      <c r="D1141" s="217">
        <v>1961</v>
      </c>
      <c r="E1141" s="217"/>
      <c r="F1141" s="226" t="s">
        <v>267</v>
      </c>
      <c r="G1141" s="217">
        <v>3</v>
      </c>
      <c r="H1141" s="217" t="s">
        <v>303</v>
      </c>
      <c r="I1141" s="218">
        <v>1044</v>
      </c>
      <c r="J1141" s="218">
        <v>968.1</v>
      </c>
      <c r="K1141" s="218">
        <v>968.1</v>
      </c>
      <c r="L1141" s="219">
        <v>40</v>
      </c>
      <c r="M1141" s="217" t="s">
        <v>265</v>
      </c>
      <c r="N1141" s="217" t="s">
        <v>269</v>
      </c>
      <c r="O1141" s="220" t="s">
        <v>801</v>
      </c>
      <c r="P1141" s="190">
        <v>2642230.7999999998</v>
      </c>
      <c r="Q1141" s="190">
        <v>0</v>
      </c>
      <c r="R1141" s="190">
        <v>0</v>
      </c>
      <c r="S1141" s="190">
        <f t="shared" ref="S1141:S1153" si="142">P1141-Q1141-R1141</f>
        <v>2642230.7999999998</v>
      </c>
      <c r="T1141" s="190">
        <f t="shared" si="138"/>
        <v>2530.8724137931031</v>
      </c>
      <c r="U1141" s="190">
        <v>3154.1151340996166</v>
      </c>
      <c r="V1141" s="221">
        <f t="shared" si="135"/>
        <v>623.24272030651355</v>
      </c>
      <c r="W1141" s="221">
        <f t="shared" ref="W1141:W1153" si="143">X1141+Y1141+Z1141+AA1141+AB1141+AD1141+AF1141+AH1141+AJ1141+AL1141+AN1141+AO1141</f>
        <v>3023.8395210727967</v>
      </c>
      <c r="X1141" s="221">
        <v>0</v>
      </c>
      <c r="Y1141" s="222">
        <v>0</v>
      </c>
      <c r="Z1141" s="222">
        <v>0</v>
      </c>
      <c r="AA1141" s="222">
        <v>0</v>
      </c>
      <c r="AB1141" s="222">
        <v>0</v>
      </c>
      <c r="AC1141" s="222">
        <v>0</v>
      </c>
      <c r="AD1141" s="222">
        <v>0</v>
      </c>
      <c r="AE1141" s="222">
        <v>506</v>
      </c>
      <c r="AF1141" s="221">
        <f t="shared" ref="AF1141:AF1151" si="144">6238.91*AE1141/I1141</f>
        <v>3023.8395210727967</v>
      </c>
      <c r="AG1141" s="222">
        <v>0</v>
      </c>
      <c r="AH1141" s="221">
        <v>0</v>
      </c>
      <c r="AI1141" s="222">
        <v>0</v>
      </c>
      <c r="AJ1141" s="221">
        <v>0</v>
      </c>
      <c r="AK1141" s="222">
        <v>0</v>
      </c>
      <c r="AL1141" s="222">
        <v>0</v>
      </c>
      <c r="AM1141" s="222">
        <v>0</v>
      </c>
      <c r="AN1141" s="222"/>
      <c r="AO1141" s="222">
        <v>0</v>
      </c>
    </row>
    <row r="1142" spans="1:41" s="223" customFormat="1" ht="36" customHeight="1" x14ac:dyDescent="0.25">
      <c r="A1142" s="223">
        <v>1</v>
      </c>
      <c r="B1142" s="225">
        <f>SUBTOTAL(103,$A$1030:A1142)</f>
        <v>110</v>
      </c>
      <c r="C1142" s="215" t="s">
        <v>783</v>
      </c>
      <c r="D1142" s="217">
        <v>1960</v>
      </c>
      <c r="E1142" s="217"/>
      <c r="F1142" s="226" t="s">
        <v>267</v>
      </c>
      <c r="G1142" s="217">
        <v>2</v>
      </c>
      <c r="H1142" s="217" t="s">
        <v>303</v>
      </c>
      <c r="I1142" s="218">
        <v>711.5</v>
      </c>
      <c r="J1142" s="218">
        <v>515.1</v>
      </c>
      <c r="K1142" s="218">
        <v>515.1</v>
      </c>
      <c r="L1142" s="219">
        <v>13</v>
      </c>
      <c r="M1142" s="217" t="s">
        <v>265</v>
      </c>
      <c r="N1142" s="217" t="s">
        <v>266</v>
      </c>
      <c r="O1142" s="220" t="s">
        <v>268</v>
      </c>
      <c r="P1142" s="190">
        <v>2496020.4</v>
      </c>
      <c r="Q1142" s="190">
        <v>0</v>
      </c>
      <c r="R1142" s="190">
        <v>0</v>
      </c>
      <c r="S1142" s="190">
        <f t="shared" si="142"/>
        <v>2496020.4</v>
      </c>
      <c r="T1142" s="190">
        <f t="shared" si="138"/>
        <v>3508.1101897399858</v>
      </c>
      <c r="U1142" s="190">
        <v>4372.0036542515809</v>
      </c>
      <c r="V1142" s="221">
        <f t="shared" si="135"/>
        <v>863.89346451159508</v>
      </c>
      <c r="W1142" s="221">
        <f t="shared" si="143"/>
        <v>4191.4251300070273</v>
      </c>
      <c r="X1142" s="221">
        <v>0</v>
      </c>
      <c r="Y1142" s="222">
        <v>0</v>
      </c>
      <c r="Z1142" s="222">
        <v>0</v>
      </c>
      <c r="AA1142" s="222">
        <v>0</v>
      </c>
      <c r="AB1142" s="222">
        <v>0</v>
      </c>
      <c r="AC1142" s="222">
        <v>0</v>
      </c>
      <c r="AD1142" s="222">
        <v>0</v>
      </c>
      <c r="AE1142" s="222">
        <v>478</v>
      </c>
      <c r="AF1142" s="221">
        <f t="shared" si="144"/>
        <v>4191.4251300070273</v>
      </c>
      <c r="AG1142" s="222">
        <v>0</v>
      </c>
      <c r="AH1142" s="221">
        <v>0</v>
      </c>
      <c r="AI1142" s="222">
        <v>0</v>
      </c>
      <c r="AJ1142" s="221">
        <v>0</v>
      </c>
      <c r="AK1142" s="222">
        <v>0</v>
      </c>
      <c r="AL1142" s="222">
        <v>0</v>
      </c>
      <c r="AM1142" s="222">
        <v>0</v>
      </c>
      <c r="AN1142" s="222"/>
      <c r="AO1142" s="222">
        <v>0</v>
      </c>
    </row>
    <row r="1143" spans="1:41" s="223" customFormat="1" ht="36" customHeight="1" x14ac:dyDescent="0.25">
      <c r="A1143" s="223">
        <v>1</v>
      </c>
      <c r="B1143" s="225">
        <f>SUBTOTAL(103,$A$1030:A1143)</f>
        <v>111</v>
      </c>
      <c r="C1143" s="215" t="s">
        <v>2274</v>
      </c>
      <c r="D1143" s="217">
        <v>1962</v>
      </c>
      <c r="E1143" s="217"/>
      <c r="F1143" s="226" t="s">
        <v>267</v>
      </c>
      <c r="G1143" s="217">
        <v>4</v>
      </c>
      <c r="H1143" s="217" t="s">
        <v>303</v>
      </c>
      <c r="I1143" s="218">
        <v>1599.4</v>
      </c>
      <c r="J1143" s="218">
        <v>1280.9000000000001</v>
      </c>
      <c r="K1143" s="218">
        <v>975</v>
      </c>
      <c r="L1143" s="219">
        <v>60</v>
      </c>
      <c r="M1143" s="217" t="s">
        <v>265</v>
      </c>
      <c r="N1143" s="217" t="s">
        <v>269</v>
      </c>
      <c r="O1143" s="220" t="s">
        <v>805</v>
      </c>
      <c r="P1143" s="190">
        <v>3119600</v>
      </c>
      <c r="Q1143" s="190">
        <v>0</v>
      </c>
      <c r="R1143" s="190">
        <v>0</v>
      </c>
      <c r="S1143" s="190">
        <f t="shared" si="142"/>
        <v>3119600</v>
      </c>
      <c r="T1143" s="190">
        <f t="shared" si="138"/>
        <v>1950.4814305364512</v>
      </c>
      <c r="U1143" s="190">
        <v>2551.1616231086655</v>
      </c>
      <c r="V1143" s="221">
        <f t="shared" si="135"/>
        <v>600.68019257221431</v>
      </c>
      <c r="W1143" s="221">
        <f t="shared" si="143"/>
        <v>2445.7900275103161</v>
      </c>
      <c r="X1143" s="221">
        <v>0</v>
      </c>
      <c r="Y1143" s="222">
        <v>0</v>
      </c>
      <c r="Z1143" s="222">
        <v>0</v>
      </c>
      <c r="AA1143" s="222">
        <v>0</v>
      </c>
      <c r="AB1143" s="222">
        <v>0</v>
      </c>
      <c r="AC1143" s="222">
        <v>0</v>
      </c>
      <c r="AD1143" s="222">
        <v>0</v>
      </c>
      <c r="AE1143" s="222">
        <v>627</v>
      </c>
      <c r="AF1143" s="221">
        <f t="shared" si="144"/>
        <v>2445.7900275103161</v>
      </c>
      <c r="AG1143" s="222">
        <v>0</v>
      </c>
      <c r="AH1143" s="221">
        <v>0</v>
      </c>
      <c r="AI1143" s="222">
        <v>0</v>
      </c>
      <c r="AJ1143" s="221">
        <v>0</v>
      </c>
      <c r="AK1143" s="222">
        <v>0</v>
      </c>
      <c r="AL1143" s="222">
        <v>0</v>
      </c>
      <c r="AM1143" s="222">
        <v>0</v>
      </c>
      <c r="AN1143" s="222"/>
      <c r="AO1143" s="222">
        <v>0</v>
      </c>
    </row>
    <row r="1144" spans="1:41" s="223" customFormat="1" ht="36" customHeight="1" x14ac:dyDescent="0.25">
      <c r="A1144" s="223">
        <v>1</v>
      </c>
      <c r="B1144" s="225">
        <f>SUBTOTAL(103,$A$1030:A1144)</f>
        <v>112</v>
      </c>
      <c r="C1144" s="215" t="s">
        <v>787</v>
      </c>
      <c r="D1144" s="217">
        <v>1937</v>
      </c>
      <c r="E1144" s="217"/>
      <c r="F1144" s="226" t="s">
        <v>267</v>
      </c>
      <c r="G1144" s="217">
        <v>3</v>
      </c>
      <c r="H1144" s="217" t="s">
        <v>308</v>
      </c>
      <c r="I1144" s="218">
        <v>2758</v>
      </c>
      <c r="J1144" s="218">
        <v>1462.7</v>
      </c>
      <c r="K1144" s="218">
        <v>1347.2</v>
      </c>
      <c r="L1144" s="219">
        <v>62</v>
      </c>
      <c r="M1144" s="217" t="s">
        <v>265</v>
      </c>
      <c r="N1144" s="217" t="s">
        <v>269</v>
      </c>
      <c r="O1144" s="220" t="s">
        <v>805</v>
      </c>
      <c r="P1144" s="190">
        <v>7101648</v>
      </c>
      <c r="Q1144" s="190">
        <v>0</v>
      </c>
      <c r="R1144" s="190">
        <v>0</v>
      </c>
      <c r="S1144" s="190">
        <f t="shared" si="142"/>
        <v>7101648</v>
      </c>
      <c r="T1144" s="190">
        <f t="shared" si="138"/>
        <v>2574.9267585206671</v>
      </c>
      <c r="U1144" s="190">
        <v>3209.0181290790429</v>
      </c>
      <c r="V1144" s="221">
        <f t="shared" si="135"/>
        <v>634.09137055837573</v>
      </c>
      <c r="W1144" s="221">
        <f t="shared" si="143"/>
        <v>3076.4748368382884</v>
      </c>
      <c r="X1144" s="221">
        <v>0</v>
      </c>
      <c r="Y1144" s="222">
        <v>0</v>
      </c>
      <c r="Z1144" s="222">
        <v>0</v>
      </c>
      <c r="AA1144" s="222">
        <v>0</v>
      </c>
      <c r="AB1144" s="222">
        <v>0</v>
      </c>
      <c r="AC1144" s="222">
        <v>0</v>
      </c>
      <c r="AD1144" s="222">
        <v>0</v>
      </c>
      <c r="AE1144" s="222">
        <v>1360</v>
      </c>
      <c r="AF1144" s="221">
        <f t="shared" si="144"/>
        <v>3076.4748368382884</v>
      </c>
      <c r="AG1144" s="222">
        <v>0</v>
      </c>
      <c r="AH1144" s="221">
        <v>0</v>
      </c>
      <c r="AI1144" s="222">
        <v>0</v>
      </c>
      <c r="AJ1144" s="221">
        <v>0</v>
      </c>
      <c r="AK1144" s="222">
        <v>0</v>
      </c>
      <c r="AL1144" s="222">
        <v>0</v>
      </c>
      <c r="AM1144" s="222">
        <v>0</v>
      </c>
      <c r="AN1144" s="222"/>
      <c r="AO1144" s="222">
        <v>0</v>
      </c>
    </row>
    <row r="1145" spans="1:41" s="223" customFormat="1" ht="36" customHeight="1" x14ac:dyDescent="0.25">
      <c r="A1145" s="223">
        <v>1</v>
      </c>
      <c r="B1145" s="225">
        <f>SUBTOTAL(103,$A$1030:A1145)</f>
        <v>113</v>
      </c>
      <c r="C1145" s="215" t="s">
        <v>788</v>
      </c>
      <c r="D1145" s="217">
        <v>1959</v>
      </c>
      <c r="E1145" s="217"/>
      <c r="F1145" s="226" t="s">
        <v>267</v>
      </c>
      <c r="G1145" s="217">
        <v>4</v>
      </c>
      <c r="H1145" s="217" t="s">
        <v>303</v>
      </c>
      <c r="I1145" s="218">
        <v>1406.5</v>
      </c>
      <c r="J1145" s="218">
        <v>1307.5</v>
      </c>
      <c r="K1145" s="218">
        <v>809</v>
      </c>
      <c r="L1145" s="219">
        <v>67</v>
      </c>
      <c r="M1145" s="217" t="s">
        <v>265</v>
      </c>
      <c r="N1145" s="217" t="s">
        <v>269</v>
      </c>
      <c r="O1145" s="220" t="s">
        <v>805</v>
      </c>
      <c r="P1145" s="190">
        <v>3388948.1999999997</v>
      </c>
      <c r="Q1145" s="190">
        <v>0</v>
      </c>
      <c r="R1145" s="190">
        <v>0</v>
      </c>
      <c r="S1145" s="190">
        <f t="shared" si="142"/>
        <v>3388948.1999999997</v>
      </c>
      <c r="T1145" s="190">
        <f t="shared" si="138"/>
        <v>2409.4903661571275</v>
      </c>
      <c r="U1145" s="190">
        <v>3002.842019196587</v>
      </c>
      <c r="V1145" s="221">
        <f t="shared" si="135"/>
        <v>593.35165303945951</v>
      </c>
      <c r="W1145" s="221">
        <f t="shared" si="143"/>
        <v>2878.8144969783148</v>
      </c>
      <c r="X1145" s="221">
        <v>0</v>
      </c>
      <c r="Y1145" s="222">
        <v>0</v>
      </c>
      <c r="Z1145" s="222">
        <v>0</v>
      </c>
      <c r="AA1145" s="222">
        <v>0</v>
      </c>
      <c r="AB1145" s="222">
        <v>0</v>
      </c>
      <c r="AC1145" s="222">
        <v>0</v>
      </c>
      <c r="AD1145" s="222">
        <v>0</v>
      </c>
      <c r="AE1145" s="222">
        <v>649</v>
      </c>
      <c r="AF1145" s="221">
        <f t="shared" si="144"/>
        <v>2878.8144969783148</v>
      </c>
      <c r="AG1145" s="222">
        <v>0</v>
      </c>
      <c r="AH1145" s="221">
        <v>0</v>
      </c>
      <c r="AI1145" s="222">
        <v>0</v>
      </c>
      <c r="AJ1145" s="221">
        <v>0</v>
      </c>
      <c r="AK1145" s="222">
        <v>0</v>
      </c>
      <c r="AL1145" s="222">
        <v>0</v>
      </c>
      <c r="AM1145" s="222">
        <v>0</v>
      </c>
      <c r="AN1145" s="222"/>
      <c r="AO1145" s="222">
        <v>0</v>
      </c>
    </row>
    <row r="1146" spans="1:41" s="223" customFormat="1" ht="36" customHeight="1" x14ac:dyDescent="0.25">
      <c r="A1146" s="223">
        <v>1</v>
      </c>
      <c r="B1146" s="225">
        <f>SUBTOTAL(103,$A$1030:A1146)</f>
        <v>114</v>
      </c>
      <c r="C1146" s="215" t="s">
        <v>789</v>
      </c>
      <c r="D1146" s="217">
        <v>1965</v>
      </c>
      <c r="E1146" s="217"/>
      <c r="F1146" s="226" t="s">
        <v>267</v>
      </c>
      <c r="G1146" s="217">
        <v>5</v>
      </c>
      <c r="H1146" s="217" t="s">
        <v>303</v>
      </c>
      <c r="I1146" s="218">
        <v>2042.45</v>
      </c>
      <c r="J1146" s="218">
        <v>1565</v>
      </c>
      <c r="K1146" s="218">
        <v>1565</v>
      </c>
      <c r="L1146" s="219">
        <v>65</v>
      </c>
      <c r="M1146" s="217" t="s">
        <v>265</v>
      </c>
      <c r="N1146" s="217" t="s">
        <v>269</v>
      </c>
      <c r="O1146" s="220" t="s">
        <v>803</v>
      </c>
      <c r="P1146" s="190">
        <v>3446388</v>
      </c>
      <c r="Q1146" s="190">
        <v>0</v>
      </c>
      <c r="R1146" s="190">
        <v>0</v>
      </c>
      <c r="S1146" s="190">
        <f t="shared" si="142"/>
        <v>3446388</v>
      </c>
      <c r="T1146" s="190">
        <f t="shared" si="138"/>
        <v>1687.3793728120638</v>
      </c>
      <c r="U1146" s="190">
        <v>2102.9068031041152</v>
      </c>
      <c r="V1146" s="221">
        <f t="shared" si="135"/>
        <v>415.52743029205135</v>
      </c>
      <c r="W1146" s="221">
        <f t="shared" si="143"/>
        <v>2016.0496462581702</v>
      </c>
      <c r="X1146" s="221">
        <v>0</v>
      </c>
      <c r="Y1146" s="222">
        <v>0</v>
      </c>
      <c r="Z1146" s="222">
        <v>0</v>
      </c>
      <c r="AA1146" s="222">
        <v>0</v>
      </c>
      <c r="AB1146" s="222">
        <v>0</v>
      </c>
      <c r="AC1146" s="222">
        <v>0</v>
      </c>
      <c r="AD1146" s="222">
        <v>0</v>
      </c>
      <c r="AE1146" s="222">
        <v>660</v>
      </c>
      <c r="AF1146" s="221">
        <f t="shared" si="144"/>
        <v>2016.0496462581702</v>
      </c>
      <c r="AG1146" s="222">
        <v>0</v>
      </c>
      <c r="AH1146" s="221">
        <v>0</v>
      </c>
      <c r="AI1146" s="222">
        <v>0</v>
      </c>
      <c r="AJ1146" s="221">
        <v>0</v>
      </c>
      <c r="AK1146" s="222">
        <v>0</v>
      </c>
      <c r="AL1146" s="222">
        <v>0</v>
      </c>
      <c r="AM1146" s="222">
        <v>0</v>
      </c>
      <c r="AN1146" s="222"/>
      <c r="AO1146" s="222">
        <v>0</v>
      </c>
    </row>
    <row r="1147" spans="1:41" s="223" customFormat="1" ht="36" customHeight="1" x14ac:dyDescent="0.25">
      <c r="A1147" s="223">
        <v>1</v>
      </c>
      <c r="B1147" s="225">
        <f>SUBTOTAL(103,$A$1030:A1147)</f>
        <v>115</v>
      </c>
      <c r="C1147" s="215" t="s">
        <v>790</v>
      </c>
      <c r="D1147" s="217">
        <v>1955</v>
      </c>
      <c r="E1147" s="217"/>
      <c r="F1147" s="226" t="s">
        <v>336</v>
      </c>
      <c r="G1147" s="217">
        <v>2</v>
      </c>
      <c r="H1147" s="217" t="s">
        <v>303</v>
      </c>
      <c r="I1147" s="218">
        <v>685.7</v>
      </c>
      <c r="J1147" s="218">
        <v>629.20000000000005</v>
      </c>
      <c r="K1147" s="218">
        <v>629.20000000000005</v>
      </c>
      <c r="L1147" s="219">
        <v>28</v>
      </c>
      <c r="M1147" s="217" t="s">
        <v>265</v>
      </c>
      <c r="N1147" s="217" t="s">
        <v>266</v>
      </c>
      <c r="O1147" s="220" t="s">
        <v>268</v>
      </c>
      <c r="P1147" s="190">
        <v>2827058</v>
      </c>
      <c r="Q1147" s="190">
        <v>0</v>
      </c>
      <c r="R1147" s="190">
        <v>0</v>
      </c>
      <c r="S1147" s="190">
        <f t="shared" si="142"/>
        <v>2827058</v>
      </c>
      <c r="T1147" s="190">
        <f t="shared" si="138"/>
        <v>4122.8788099752073</v>
      </c>
      <c r="U1147" s="190">
        <v>4849.6933061105428</v>
      </c>
      <c r="V1147" s="221">
        <f t="shared" si="135"/>
        <v>726.8144961353355</v>
      </c>
      <c r="W1147" s="221">
        <f t="shared" si="143"/>
        <v>4649.3845850955222</v>
      </c>
      <c r="X1147" s="221">
        <v>0</v>
      </c>
      <c r="Y1147" s="222">
        <v>0</v>
      </c>
      <c r="Z1147" s="222">
        <v>0</v>
      </c>
      <c r="AA1147" s="222">
        <v>0</v>
      </c>
      <c r="AB1147" s="222">
        <v>0</v>
      </c>
      <c r="AC1147" s="222">
        <v>0</v>
      </c>
      <c r="AD1147" s="222">
        <v>0</v>
      </c>
      <c r="AE1147" s="222">
        <v>511</v>
      </c>
      <c r="AF1147" s="221">
        <f t="shared" si="144"/>
        <v>4649.3845850955222</v>
      </c>
      <c r="AG1147" s="222">
        <v>0</v>
      </c>
      <c r="AH1147" s="221">
        <v>0</v>
      </c>
      <c r="AI1147" s="222">
        <v>0</v>
      </c>
      <c r="AJ1147" s="221">
        <v>0</v>
      </c>
      <c r="AK1147" s="222">
        <v>0</v>
      </c>
      <c r="AL1147" s="222">
        <v>0</v>
      </c>
      <c r="AM1147" s="222">
        <v>0</v>
      </c>
      <c r="AN1147" s="222"/>
      <c r="AO1147" s="222">
        <v>0</v>
      </c>
    </row>
    <row r="1148" spans="1:41" s="223" customFormat="1" ht="36" customHeight="1" x14ac:dyDescent="0.25">
      <c r="A1148" s="223">
        <v>1</v>
      </c>
      <c r="B1148" s="225">
        <f>SUBTOTAL(103,$A$1030:A1148)</f>
        <v>116</v>
      </c>
      <c r="C1148" s="215" t="s">
        <v>791</v>
      </c>
      <c r="D1148" s="217">
        <v>1975</v>
      </c>
      <c r="E1148" s="217"/>
      <c r="F1148" s="226" t="s">
        <v>267</v>
      </c>
      <c r="G1148" s="217">
        <v>5</v>
      </c>
      <c r="H1148" s="217" t="s">
        <v>371</v>
      </c>
      <c r="I1148" s="218">
        <v>6824.86</v>
      </c>
      <c r="J1148" s="218">
        <v>4475.3999999999996</v>
      </c>
      <c r="K1148" s="218">
        <v>4306.8999999999996</v>
      </c>
      <c r="L1148" s="219">
        <v>160</v>
      </c>
      <c r="M1148" s="217" t="s">
        <v>265</v>
      </c>
      <c r="N1148" s="217" t="s">
        <v>269</v>
      </c>
      <c r="O1148" s="220" t="s">
        <v>810</v>
      </c>
      <c r="P1148" s="190">
        <v>8660275.6699999981</v>
      </c>
      <c r="Q1148" s="190">
        <v>0</v>
      </c>
      <c r="R1148" s="190">
        <v>0</v>
      </c>
      <c r="S1148" s="190">
        <f t="shared" ref="S1148:S1150" si="145">P1148-Q1148-R1148</f>
        <v>8660275.6699999981</v>
      </c>
      <c r="T1148" s="190">
        <f t="shared" si="138"/>
        <v>1268.9308894248377</v>
      </c>
      <c r="U1148" s="190">
        <v>1952.3500482061172</v>
      </c>
      <c r="V1148" s="221">
        <f t="shared" ref="V1148:V1150" si="146">U1148-T1148</f>
        <v>683.41915878127952</v>
      </c>
      <c r="W1148" s="221">
        <f t="shared" ref="W1148:W1150" si="147">X1148+Y1148+Z1148+AA1148+AB1148+AD1148+AF1148+AH1148+AJ1148+AL1148+AN1148+AO1148</f>
        <v>1871.7113940798786</v>
      </c>
      <c r="X1148" s="221">
        <v>0</v>
      </c>
      <c r="Y1148" s="222">
        <v>0</v>
      </c>
      <c r="Z1148" s="222">
        <v>0</v>
      </c>
      <c r="AA1148" s="222">
        <v>0</v>
      </c>
      <c r="AB1148" s="222">
        <v>0</v>
      </c>
      <c r="AC1148" s="222">
        <v>0</v>
      </c>
      <c r="AD1148" s="222">
        <v>0</v>
      </c>
      <c r="AE1148" s="222">
        <v>2047.5</v>
      </c>
      <c r="AF1148" s="221">
        <f t="shared" ref="AF1148" si="148">6238.91*AE1148/I1148</f>
        <v>1871.7113940798786</v>
      </c>
      <c r="AG1148" s="222">
        <v>0</v>
      </c>
      <c r="AH1148" s="221">
        <v>0</v>
      </c>
      <c r="AI1148" s="222">
        <v>0</v>
      </c>
      <c r="AJ1148" s="221">
        <v>0</v>
      </c>
      <c r="AK1148" s="222">
        <v>0</v>
      </c>
      <c r="AL1148" s="222">
        <v>0</v>
      </c>
      <c r="AM1148" s="222">
        <v>0</v>
      </c>
      <c r="AN1148" s="222"/>
      <c r="AO1148" s="222">
        <v>0</v>
      </c>
    </row>
    <row r="1149" spans="1:41" s="223" customFormat="1" ht="36" customHeight="1" x14ac:dyDescent="0.25">
      <c r="A1149" s="223">
        <v>1</v>
      </c>
      <c r="B1149" s="225">
        <f>SUBTOTAL(103,$A$1030:A1149)</f>
        <v>117</v>
      </c>
      <c r="C1149" s="215" t="s">
        <v>813</v>
      </c>
      <c r="D1149" s="217">
        <v>1959</v>
      </c>
      <c r="E1149" s="217"/>
      <c r="F1149" s="226" t="s">
        <v>267</v>
      </c>
      <c r="G1149" s="217">
        <v>2</v>
      </c>
      <c r="H1149" s="217" t="s">
        <v>304</v>
      </c>
      <c r="I1149" s="218">
        <v>309.2</v>
      </c>
      <c r="J1149" s="218">
        <v>287.5</v>
      </c>
      <c r="K1149" s="218">
        <v>287.5</v>
      </c>
      <c r="L1149" s="219">
        <v>14</v>
      </c>
      <c r="M1149" s="217" t="s">
        <v>265</v>
      </c>
      <c r="N1149" s="217" t="s">
        <v>269</v>
      </c>
      <c r="O1149" s="220" t="s">
        <v>986</v>
      </c>
      <c r="P1149" s="190">
        <v>1991891.6</v>
      </c>
      <c r="Q1149" s="190">
        <v>0</v>
      </c>
      <c r="R1149" s="190">
        <v>0</v>
      </c>
      <c r="S1149" s="190">
        <f t="shared" si="145"/>
        <v>1991891.6</v>
      </c>
      <c r="T1149" s="190">
        <f t="shared" si="138"/>
        <v>6442.081500646831</v>
      </c>
      <c r="U1149" s="190">
        <v>8661.3065976714097</v>
      </c>
      <c r="V1149" s="221">
        <f t="shared" si="146"/>
        <v>2219.2250970245786</v>
      </c>
      <c r="W1149" s="221">
        <f t="shared" si="147"/>
        <v>8661.3065976714097</v>
      </c>
      <c r="X1149" s="221">
        <v>0</v>
      </c>
      <c r="Y1149" s="222">
        <v>0</v>
      </c>
      <c r="Z1149" s="222">
        <v>0</v>
      </c>
      <c r="AA1149" s="222">
        <v>0</v>
      </c>
      <c r="AB1149" s="222">
        <v>0</v>
      </c>
      <c r="AC1149" s="222">
        <v>0</v>
      </c>
      <c r="AD1149" s="222">
        <v>0</v>
      </c>
      <c r="AE1149" s="222">
        <v>0</v>
      </c>
      <c r="AF1149" s="221">
        <v>0</v>
      </c>
      <c r="AG1149" s="222">
        <v>0</v>
      </c>
      <c r="AH1149" s="221">
        <v>0</v>
      </c>
      <c r="AI1149" s="222">
        <v>360</v>
      </c>
      <c r="AJ1149" s="221">
        <f>7439.1*AI1149/I1149</f>
        <v>8661.3065976714097</v>
      </c>
      <c r="AK1149" s="222">
        <v>0</v>
      </c>
      <c r="AL1149" s="222">
        <v>0</v>
      </c>
      <c r="AM1149" s="222">
        <v>0</v>
      </c>
      <c r="AN1149" s="222"/>
      <c r="AO1149" s="222">
        <v>0</v>
      </c>
    </row>
    <row r="1150" spans="1:41" s="223" customFormat="1" ht="36" customHeight="1" x14ac:dyDescent="0.25">
      <c r="A1150" s="223">
        <v>1</v>
      </c>
      <c r="B1150" s="225">
        <f>SUBTOTAL(103,$A$1030:A1150)</f>
        <v>118</v>
      </c>
      <c r="C1150" s="215" t="s">
        <v>1600</v>
      </c>
      <c r="D1150" s="217">
        <v>1958</v>
      </c>
      <c r="E1150" s="217"/>
      <c r="F1150" s="226" t="s">
        <v>267</v>
      </c>
      <c r="G1150" s="217">
        <v>2</v>
      </c>
      <c r="H1150" s="217" t="s">
        <v>303</v>
      </c>
      <c r="I1150" s="218">
        <v>446.8</v>
      </c>
      <c r="J1150" s="218">
        <v>446.8</v>
      </c>
      <c r="K1150" s="218">
        <v>297.3</v>
      </c>
      <c r="L1150" s="219">
        <v>17</v>
      </c>
      <c r="M1150" s="217" t="s">
        <v>265</v>
      </c>
      <c r="N1150" s="217" t="s">
        <v>266</v>
      </c>
      <c r="O1150" s="220" t="s">
        <v>268</v>
      </c>
      <c r="P1150" s="190">
        <v>2084284</v>
      </c>
      <c r="Q1150" s="190">
        <v>0</v>
      </c>
      <c r="R1150" s="190">
        <v>0</v>
      </c>
      <c r="S1150" s="190">
        <f t="shared" si="145"/>
        <v>2084284</v>
      </c>
      <c r="T1150" s="190">
        <f t="shared" si="138"/>
        <v>4664.9149507609663</v>
      </c>
      <c r="U1150" s="190">
        <v>5534.7493285586388</v>
      </c>
      <c r="V1150" s="221">
        <f t="shared" si="146"/>
        <v>869.83437779767246</v>
      </c>
      <c r="W1150" s="221">
        <f t="shared" si="147"/>
        <v>5306.1454789615036</v>
      </c>
      <c r="X1150" s="221">
        <v>0</v>
      </c>
      <c r="Y1150" s="222">
        <v>0</v>
      </c>
      <c r="Z1150" s="222">
        <v>0</v>
      </c>
      <c r="AA1150" s="222">
        <v>0</v>
      </c>
      <c r="AB1150" s="222">
        <v>0</v>
      </c>
      <c r="AC1150" s="222">
        <v>0</v>
      </c>
      <c r="AD1150" s="222">
        <v>0</v>
      </c>
      <c r="AE1150" s="222">
        <v>380</v>
      </c>
      <c r="AF1150" s="221">
        <f>6238.91*AE1150/I1150</f>
        <v>5306.1454789615036</v>
      </c>
      <c r="AG1150" s="222">
        <v>0</v>
      </c>
      <c r="AH1150" s="221">
        <v>0</v>
      </c>
      <c r="AI1150" s="222">
        <v>0</v>
      </c>
      <c r="AJ1150" s="221">
        <v>0</v>
      </c>
      <c r="AK1150" s="222">
        <v>0</v>
      </c>
      <c r="AL1150" s="222">
        <v>0</v>
      </c>
      <c r="AM1150" s="222">
        <v>0</v>
      </c>
      <c r="AN1150" s="222"/>
      <c r="AO1150" s="222">
        <v>0</v>
      </c>
    </row>
    <row r="1151" spans="1:41" s="238" customFormat="1" ht="36" customHeight="1" x14ac:dyDescent="0.25">
      <c r="A1151" s="238">
        <v>1</v>
      </c>
      <c r="B1151" s="225">
        <f>SUBTOTAL(103,$A$1030:A1151)</f>
        <v>119</v>
      </c>
      <c r="C1151" s="239" t="s">
        <v>2440</v>
      </c>
      <c r="D1151" s="240">
        <v>1988</v>
      </c>
      <c r="E1151" s="240"/>
      <c r="F1151" s="226" t="s">
        <v>318</v>
      </c>
      <c r="G1151" s="240">
        <v>9</v>
      </c>
      <c r="H1151" s="240">
        <v>2</v>
      </c>
      <c r="I1151" s="241">
        <v>4409.1000000000004</v>
      </c>
      <c r="J1151" s="241">
        <v>3904.2</v>
      </c>
      <c r="K1151" s="241">
        <v>3904.2</v>
      </c>
      <c r="L1151" s="242">
        <v>164</v>
      </c>
      <c r="M1151" s="240" t="s">
        <v>265</v>
      </c>
      <c r="N1151" s="240" t="s">
        <v>269</v>
      </c>
      <c r="O1151" s="243" t="s">
        <v>1899</v>
      </c>
      <c r="P1151" s="244">
        <v>4167434.04</v>
      </c>
      <c r="Q1151" s="244">
        <v>0</v>
      </c>
      <c r="R1151" s="244">
        <v>0</v>
      </c>
      <c r="S1151" s="244">
        <f t="shared" si="142"/>
        <v>4167434.04</v>
      </c>
      <c r="T1151" s="244">
        <f t="shared" si="138"/>
        <v>945.18927672314067</v>
      </c>
      <c r="U1151" s="190">
        <v>1114.8760518019549</v>
      </c>
      <c r="V1151" s="245">
        <f t="shared" si="135"/>
        <v>169.68677507881421</v>
      </c>
      <c r="W1151" s="245">
        <f t="shared" si="143"/>
        <v>2897.2280567462744</v>
      </c>
      <c r="X1151" s="245">
        <v>0</v>
      </c>
      <c r="Y1151" s="246">
        <v>0</v>
      </c>
      <c r="Z1151" s="246">
        <v>0</v>
      </c>
      <c r="AA1151" s="246">
        <v>0</v>
      </c>
      <c r="AB1151" s="246">
        <v>0</v>
      </c>
      <c r="AC1151" s="246">
        <v>0</v>
      </c>
      <c r="AD1151" s="246">
        <v>0</v>
      </c>
      <c r="AE1151" s="246">
        <v>2047.5</v>
      </c>
      <c r="AF1151" s="245">
        <f t="shared" si="144"/>
        <v>2897.2280567462744</v>
      </c>
      <c r="AG1151" s="246">
        <v>0</v>
      </c>
      <c r="AH1151" s="245">
        <v>0</v>
      </c>
      <c r="AI1151" s="246">
        <v>0</v>
      </c>
      <c r="AJ1151" s="245">
        <v>0</v>
      </c>
      <c r="AK1151" s="246">
        <v>0</v>
      </c>
      <c r="AL1151" s="246">
        <v>0</v>
      </c>
      <c r="AM1151" s="246">
        <v>0</v>
      </c>
      <c r="AN1151" s="246"/>
      <c r="AO1151" s="246">
        <v>0</v>
      </c>
    </row>
    <row r="1152" spans="1:41" s="238" customFormat="1" ht="36" customHeight="1" x14ac:dyDescent="0.25">
      <c r="A1152" s="238">
        <v>1</v>
      </c>
      <c r="B1152" s="225">
        <f>SUBTOTAL(103,$A$1030:A1152)</f>
        <v>120</v>
      </c>
      <c r="C1152" s="239" t="s">
        <v>2155</v>
      </c>
      <c r="D1152" s="240">
        <v>1989</v>
      </c>
      <c r="E1152" s="240"/>
      <c r="F1152" s="226" t="s">
        <v>318</v>
      </c>
      <c r="G1152" s="240">
        <v>9</v>
      </c>
      <c r="H1152" s="240">
        <v>2</v>
      </c>
      <c r="I1152" s="241">
        <v>4433.1000000000004</v>
      </c>
      <c r="J1152" s="241">
        <v>3943.6</v>
      </c>
      <c r="K1152" s="241">
        <v>3943.6</v>
      </c>
      <c r="L1152" s="242">
        <v>173</v>
      </c>
      <c r="M1152" s="240" t="s">
        <v>265</v>
      </c>
      <c r="N1152" s="240" t="s">
        <v>269</v>
      </c>
      <c r="O1152" s="243" t="s">
        <v>2435</v>
      </c>
      <c r="P1152" s="244">
        <v>4167434.04</v>
      </c>
      <c r="Q1152" s="244">
        <v>0</v>
      </c>
      <c r="R1152" s="244">
        <v>0</v>
      </c>
      <c r="S1152" s="244">
        <f t="shared" si="142"/>
        <v>4167434.04</v>
      </c>
      <c r="T1152" s="244">
        <f t="shared" si="138"/>
        <v>940.07219327333007</v>
      </c>
      <c r="U1152" s="190">
        <v>1108.8403149037918</v>
      </c>
      <c r="V1152" s="245">
        <f t="shared" si="135"/>
        <v>168.76812163046168</v>
      </c>
      <c r="W1152" s="245">
        <f t="shared" si="143"/>
        <v>604.10908844826417</v>
      </c>
      <c r="X1152" s="245">
        <v>0</v>
      </c>
      <c r="Y1152" s="246">
        <v>0</v>
      </c>
      <c r="Z1152" s="246">
        <v>0</v>
      </c>
      <c r="AA1152" s="246">
        <v>0</v>
      </c>
      <c r="AB1152" s="246">
        <v>0</v>
      </c>
      <c r="AC1152" s="246">
        <v>0</v>
      </c>
      <c r="AD1152" s="246">
        <v>0</v>
      </c>
      <c r="AE1152" s="246">
        <v>0</v>
      </c>
      <c r="AF1152" s="245">
        <v>0</v>
      </c>
      <c r="AG1152" s="246">
        <v>0</v>
      </c>
      <c r="AH1152" s="245">
        <v>0</v>
      </c>
      <c r="AI1152" s="246">
        <v>360</v>
      </c>
      <c r="AJ1152" s="245">
        <f>7439.1*AI1152/I1152</f>
        <v>604.10908844826417</v>
      </c>
      <c r="AK1152" s="246">
        <v>0</v>
      </c>
      <c r="AL1152" s="246">
        <v>0</v>
      </c>
      <c r="AM1152" s="246">
        <v>0</v>
      </c>
      <c r="AN1152" s="246"/>
      <c r="AO1152" s="246">
        <v>0</v>
      </c>
    </row>
    <row r="1153" spans="1:41" s="238" customFormat="1" ht="36" customHeight="1" x14ac:dyDescent="0.25">
      <c r="A1153" s="238">
        <v>1</v>
      </c>
      <c r="B1153" s="225">
        <f>SUBTOTAL(103,$A$1030:A1153)</f>
        <v>121</v>
      </c>
      <c r="C1153" s="239" t="s">
        <v>2441</v>
      </c>
      <c r="D1153" s="240">
        <v>1989</v>
      </c>
      <c r="E1153" s="240"/>
      <c r="F1153" s="226" t="s">
        <v>267</v>
      </c>
      <c r="G1153" s="240">
        <v>9</v>
      </c>
      <c r="H1153" s="240">
        <v>2</v>
      </c>
      <c r="I1153" s="241">
        <v>5092.8</v>
      </c>
      <c r="J1153" s="241">
        <v>3984.1</v>
      </c>
      <c r="K1153" s="241">
        <v>3984.1</v>
      </c>
      <c r="L1153" s="242">
        <v>155</v>
      </c>
      <c r="M1153" s="240" t="s">
        <v>265</v>
      </c>
      <c r="N1153" s="240" t="s">
        <v>269</v>
      </c>
      <c r="O1153" s="243" t="s">
        <v>2442</v>
      </c>
      <c r="P1153" s="244">
        <v>4167434.04</v>
      </c>
      <c r="Q1153" s="244">
        <v>0</v>
      </c>
      <c r="R1153" s="244">
        <v>0</v>
      </c>
      <c r="S1153" s="244">
        <f t="shared" si="142"/>
        <v>4167434.04</v>
      </c>
      <c r="T1153" s="244">
        <f t="shared" si="138"/>
        <v>818.29917530631474</v>
      </c>
      <c r="U1153" s="190">
        <v>965.20578071002194</v>
      </c>
      <c r="V1153" s="245">
        <f t="shared" si="135"/>
        <v>146.9066054037072</v>
      </c>
      <c r="W1153" s="245">
        <f t="shared" si="143"/>
        <v>465.51716148287773</v>
      </c>
      <c r="X1153" s="245">
        <v>0</v>
      </c>
      <c r="Y1153" s="246">
        <v>0</v>
      </c>
      <c r="Z1153" s="246">
        <v>0</v>
      </c>
      <c r="AA1153" s="246">
        <v>0</v>
      </c>
      <c r="AB1153" s="246">
        <v>0</v>
      </c>
      <c r="AC1153" s="246">
        <v>0</v>
      </c>
      <c r="AD1153" s="246">
        <v>0</v>
      </c>
      <c r="AE1153" s="246">
        <v>380</v>
      </c>
      <c r="AF1153" s="245">
        <f>6238.91*AE1153/I1153</f>
        <v>465.51716148287773</v>
      </c>
      <c r="AG1153" s="246">
        <v>0</v>
      </c>
      <c r="AH1153" s="245">
        <v>0</v>
      </c>
      <c r="AI1153" s="246">
        <v>0</v>
      </c>
      <c r="AJ1153" s="245">
        <v>0</v>
      </c>
      <c r="AK1153" s="246">
        <v>0</v>
      </c>
      <c r="AL1153" s="246">
        <v>0</v>
      </c>
      <c r="AM1153" s="246">
        <v>0</v>
      </c>
      <c r="AN1153" s="246"/>
      <c r="AO1153" s="246">
        <v>0</v>
      </c>
    </row>
    <row r="1154" spans="1:41" s="223" customFormat="1" ht="36" customHeight="1" x14ac:dyDescent="0.25">
      <c r="B1154" s="215" t="s">
        <v>758</v>
      </c>
      <c r="C1154" s="227"/>
      <c r="D1154" s="217" t="s">
        <v>890</v>
      </c>
      <c r="E1154" s="217" t="s">
        <v>890</v>
      </c>
      <c r="F1154" s="217" t="s">
        <v>890</v>
      </c>
      <c r="G1154" s="217" t="s">
        <v>890</v>
      </c>
      <c r="H1154" s="217" t="s">
        <v>890</v>
      </c>
      <c r="I1154" s="218">
        <f>I1155+I1156</f>
        <v>13712.699999999999</v>
      </c>
      <c r="J1154" s="218">
        <f>J1155+J1156</f>
        <v>12166.6</v>
      </c>
      <c r="K1154" s="218">
        <f>K1155+K1156</f>
        <v>11718.300000000001</v>
      </c>
      <c r="L1154" s="219">
        <f>L1155+L1156</f>
        <v>547</v>
      </c>
      <c r="M1154" s="217" t="s">
        <v>890</v>
      </c>
      <c r="N1154" s="217" t="s">
        <v>890</v>
      </c>
      <c r="O1154" s="220" t="s">
        <v>890</v>
      </c>
      <c r="P1154" s="218">
        <v>21856214.649999999</v>
      </c>
      <c r="Q1154" s="218">
        <f>Q1155+Q1156</f>
        <v>0</v>
      </c>
      <c r="R1154" s="218">
        <f>R1155+R1156</f>
        <v>0</v>
      </c>
      <c r="S1154" s="218">
        <f>S1155+S1156</f>
        <v>21856214.649999999</v>
      </c>
      <c r="T1154" s="190">
        <f t="shared" si="138"/>
        <v>1593.8666090558388</v>
      </c>
      <c r="U1154" s="190">
        <f>MAX(U1155:U1156)</f>
        <v>5633.9843169275355</v>
      </c>
      <c r="V1154" s="221">
        <f t="shared" si="135"/>
        <v>4040.1177078716964</v>
      </c>
      <c r="W1154" s="221"/>
      <c r="X1154" s="221"/>
      <c r="Y1154" s="222"/>
      <c r="Z1154" s="222"/>
      <c r="AA1154" s="222"/>
      <c r="AB1154" s="222"/>
      <c r="AC1154" s="222"/>
      <c r="AD1154" s="222"/>
      <c r="AE1154" s="222"/>
      <c r="AF1154" s="222"/>
      <c r="AG1154" s="222"/>
      <c r="AH1154" s="222"/>
      <c r="AI1154" s="222"/>
      <c r="AJ1154" s="222"/>
      <c r="AK1154" s="222"/>
      <c r="AL1154" s="222"/>
      <c r="AM1154" s="222"/>
      <c r="AN1154" s="222"/>
      <c r="AO1154" s="222"/>
    </row>
    <row r="1155" spans="1:41" s="223" customFormat="1" ht="36" customHeight="1" x14ac:dyDescent="0.25">
      <c r="A1155" s="223">
        <v>1</v>
      </c>
      <c r="B1155" s="225">
        <f>SUBTOTAL(103,$A$1030:A1155)</f>
        <v>122</v>
      </c>
      <c r="C1155" s="215" t="s">
        <v>384</v>
      </c>
      <c r="D1155" s="217">
        <v>1981</v>
      </c>
      <c r="E1155" s="217">
        <v>2016</v>
      </c>
      <c r="F1155" s="226" t="s">
        <v>311</v>
      </c>
      <c r="G1155" s="217">
        <v>5</v>
      </c>
      <c r="H1155" s="217" t="s">
        <v>351</v>
      </c>
      <c r="I1155" s="218">
        <v>3982.4</v>
      </c>
      <c r="J1155" s="218">
        <v>3501.5</v>
      </c>
      <c r="K1155" s="218">
        <v>3375.6</v>
      </c>
      <c r="L1155" s="219">
        <v>165</v>
      </c>
      <c r="M1155" s="217" t="s">
        <v>265</v>
      </c>
      <c r="N1155" s="217" t="s">
        <v>269</v>
      </c>
      <c r="O1155" s="220" t="s">
        <v>319</v>
      </c>
      <c r="P1155" s="190">
        <v>7550257.2599999998</v>
      </c>
      <c r="Q1155" s="190">
        <v>0</v>
      </c>
      <c r="R1155" s="190">
        <v>0</v>
      </c>
      <c r="S1155" s="190">
        <f>P1155-Q1155-R1155</f>
        <v>7550257.2599999998</v>
      </c>
      <c r="T1155" s="190">
        <f t="shared" si="138"/>
        <v>1895.9063027320208</v>
      </c>
      <c r="U1155" s="190">
        <v>4998.25</v>
      </c>
      <c r="V1155" s="221">
        <f t="shared" si="135"/>
        <v>3102.3436972679792</v>
      </c>
      <c r="W1155" s="221">
        <f>X1155+Y1155+Z1155+AA1155+AB1155+AD1155+AF1155+AH1155+AJ1155+AL1155+AN1155+AO1155</f>
        <v>4586.9399999999996</v>
      </c>
      <c r="X1155" s="221">
        <v>101.55</v>
      </c>
      <c r="Y1155" s="222">
        <v>245.44</v>
      </c>
      <c r="Z1155" s="222">
        <v>3259.66</v>
      </c>
      <c r="AA1155" s="222">
        <v>184.98</v>
      </c>
      <c r="AB1155" s="222">
        <v>795.31</v>
      </c>
      <c r="AC1155" s="222">
        <v>0</v>
      </c>
      <c r="AD1155" s="222">
        <v>0</v>
      </c>
      <c r="AE1155" s="222">
        <v>0</v>
      </c>
      <c r="AF1155" s="221">
        <v>0</v>
      </c>
      <c r="AG1155" s="222">
        <v>0</v>
      </c>
      <c r="AH1155" s="221">
        <v>0</v>
      </c>
      <c r="AI1155" s="222">
        <v>0</v>
      </c>
      <c r="AJ1155" s="221">
        <v>0</v>
      </c>
      <c r="AK1155" s="222">
        <v>0</v>
      </c>
      <c r="AL1155" s="222">
        <v>0</v>
      </c>
      <c r="AM1155" s="222">
        <v>0</v>
      </c>
      <c r="AN1155" s="222"/>
      <c r="AO1155" s="222">
        <v>0</v>
      </c>
    </row>
    <row r="1156" spans="1:41" s="223" customFormat="1" ht="36" customHeight="1" x14ac:dyDescent="0.25">
      <c r="A1156" s="223">
        <v>1</v>
      </c>
      <c r="B1156" s="225">
        <f>SUBTOTAL(103,$A$1030:A1156)</f>
        <v>123</v>
      </c>
      <c r="C1156" s="215" t="s">
        <v>385</v>
      </c>
      <c r="D1156" s="217">
        <v>1999</v>
      </c>
      <c r="E1156" s="217">
        <v>2016</v>
      </c>
      <c r="F1156" s="226" t="s">
        <v>311</v>
      </c>
      <c r="G1156" s="217">
        <v>9</v>
      </c>
      <c r="H1156" s="217" t="s">
        <v>308</v>
      </c>
      <c r="I1156" s="218">
        <v>9730.2999999999993</v>
      </c>
      <c r="J1156" s="218">
        <v>8665.1</v>
      </c>
      <c r="K1156" s="218">
        <v>8342.7000000000007</v>
      </c>
      <c r="L1156" s="219">
        <v>382</v>
      </c>
      <c r="M1156" s="217" t="s">
        <v>265</v>
      </c>
      <c r="N1156" s="217" t="s">
        <v>269</v>
      </c>
      <c r="O1156" s="220" t="s">
        <v>319</v>
      </c>
      <c r="P1156" s="190">
        <v>14305957.390000001</v>
      </c>
      <c r="Q1156" s="190">
        <v>0</v>
      </c>
      <c r="R1156" s="190">
        <v>0</v>
      </c>
      <c r="S1156" s="190">
        <f>P1156-Q1156-R1156</f>
        <v>14305957.390000001</v>
      </c>
      <c r="T1156" s="190">
        <f t="shared" si="138"/>
        <v>1470.2483366391582</v>
      </c>
      <c r="U1156" s="190">
        <v>5633.9843169275355</v>
      </c>
      <c r="V1156" s="221">
        <f t="shared" si="135"/>
        <v>4163.7359802883775</v>
      </c>
      <c r="W1156" s="221">
        <f>X1156+Y1156+Z1156+AA1156+AB1156+AD1156+AF1156+AH1156+AJ1156+AL1156+AN1156+AO1156</f>
        <v>5633.9843169275355</v>
      </c>
      <c r="X1156" s="221">
        <v>0</v>
      </c>
      <c r="Y1156" s="222">
        <v>0</v>
      </c>
      <c r="Z1156" s="222">
        <v>0</v>
      </c>
      <c r="AA1156" s="222">
        <v>0</v>
      </c>
      <c r="AB1156" s="222">
        <v>0</v>
      </c>
      <c r="AC1156" s="222">
        <v>0</v>
      </c>
      <c r="AD1156" s="222">
        <v>0</v>
      </c>
      <c r="AE1156" s="222">
        <v>0</v>
      </c>
      <c r="AF1156" s="221">
        <v>0</v>
      </c>
      <c r="AG1156" s="222">
        <v>0</v>
      </c>
      <c r="AH1156" s="221">
        <v>0</v>
      </c>
      <c r="AI1156" s="222">
        <v>7025.9</v>
      </c>
      <c r="AJ1156" s="221">
        <f>7802.61*AI1156/I1156</f>
        <v>5633.9843169275355</v>
      </c>
      <c r="AK1156" s="222">
        <v>0</v>
      </c>
      <c r="AL1156" s="222">
        <v>0</v>
      </c>
      <c r="AM1156" s="222">
        <v>0</v>
      </c>
      <c r="AN1156" s="222"/>
      <c r="AO1156" s="222">
        <v>0</v>
      </c>
    </row>
    <row r="1157" spans="1:41" s="223" customFormat="1" ht="36" customHeight="1" x14ac:dyDescent="0.25">
      <c r="B1157" s="215" t="s">
        <v>815</v>
      </c>
      <c r="C1157" s="227"/>
      <c r="D1157" s="217" t="s">
        <v>890</v>
      </c>
      <c r="E1157" s="217" t="s">
        <v>890</v>
      </c>
      <c r="F1157" s="217" t="s">
        <v>890</v>
      </c>
      <c r="G1157" s="217" t="s">
        <v>890</v>
      </c>
      <c r="H1157" s="217" t="s">
        <v>890</v>
      </c>
      <c r="I1157" s="218">
        <f>SUM(I1158:I1165)</f>
        <v>44403.5</v>
      </c>
      <c r="J1157" s="218">
        <f>SUM(J1158:J1165)</f>
        <v>37098.74</v>
      </c>
      <c r="K1157" s="218">
        <f>SUM(K1158:K1165)</f>
        <v>31970.329999999998</v>
      </c>
      <c r="L1157" s="219">
        <f>SUM(L1158:L1165)</f>
        <v>1743</v>
      </c>
      <c r="M1157" s="217" t="s">
        <v>890</v>
      </c>
      <c r="N1157" s="217" t="s">
        <v>890</v>
      </c>
      <c r="O1157" s="220" t="s">
        <v>890</v>
      </c>
      <c r="P1157" s="218">
        <v>51599396.32</v>
      </c>
      <c r="Q1157" s="218">
        <f>SUM(Q1158:Q1165)</f>
        <v>0</v>
      </c>
      <c r="R1157" s="218">
        <f>SUM(R1158:R1165)</f>
        <v>0</v>
      </c>
      <c r="S1157" s="218">
        <f>SUM(S1158:S1165)</f>
        <v>51599396.32</v>
      </c>
      <c r="T1157" s="190">
        <f t="shared" si="138"/>
        <v>1162.056962176405</v>
      </c>
      <c r="U1157" s="190">
        <f>MAX(U1158:U1165)</f>
        <v>7396.5430112644772</v>
      </c>
      <c r="V1157" s="221">
        <f t="shared" si="135"/>
        <v>6234.4860490880719</v>
      </c>
      <c r="W1157" s="221"/>
      <c r="X1157" s="221"/>
      <c r="Y1157" s="222"/>
      <c r="Z1157" s="222"/>
      <c r="AA1157" s="222"/>
      <c r="AB1157" s="222"/>
      <c r="AC1157" s="222"/>
      <c r="AD1157" s="222"/>
      <c r="AE1157" s="222"/>
      <c r="AF1157" s="222"/>
      <c r="AG1157" s="222"/>
      <c r="AH1157" s="222"/>
      <c r="AI1157" s="222"/>
      <c r="AJ1157" s="222"/>
      <c r="AK1157" s="222"/>
      <c r="AL1157" s="222"/>
      <c r="AM1157" s="222"/>
      <c r="AN1157" s="222"/>
      <c r="AO1157" s="222"/>
    </row>
    <row r="1158" spans="1:41" s="223" customFormat="1" ht="36" customHeight="1" x14ac:dyDescent="0.25">
      <c r="A1158" s="223">
        <v>1</v>
      </c>
      <c r="B1158" s="225">
        <f>SUBTOTAL(103,$A$1030:A1158)</f>
        <v>124</v>
      </c>
      <c r="C1158" s="215" t="s">
        <v>608</v>
      </c>
      <c r="D1158" s="217">
        <v>1967</v>
      </c>
      <c r="E1158" s="217"/>
      <c r="F1158" s="226" t="s">
        <v>267</v>
      </c>
      <c r="G1158" s="217">
        <v>5</v>
      </c>
      <c r="H1158" s="217" t="s">
        <v>308</v>
      </c>
      <c r="I1158" s="218">
        <v>5264.54</v>
      </c>
      <c r="J1158" s="218">
        <v>3236.74</v>
      </c>
      <c r="K1158" s="218">
        <v>2547.17</v>
      </c>
      <c r="L1158" s="219">
        <v>119</v>
      </c>
      <c r="M1158" s="217" t="s">
        <v>265</v>
      </c>
      <c r="N1158" s="217" t="s">
        <v>269</v>
      </c>
      <c r="O1158" s="220" t="s">
        <v>705</v>
      </c>
      <c r="P1158" s="190">
        <v>5121801</v>
      </c>
      <c r="Q1158" s="190">
        <v>0</v>
      </c>
      <c r="R1158" s="190">
        <v>0</v>
      </c>
      <c r="S1158" s="190">
        <f t="shared" ref="S1158:S1165" si="149">P1158-Q1158-R1158</f>
        <v>5121801</v>
      </c>
      <c r="T1158" s="190">
        <f t="shared" si="138"/>
        <v>972.8867099499671</v>
      </c>
      <c r="U1158" s="190">
        <v>1212.6517606476539</v>
      </c>
      <c r="V1158" s="221">
        <f t="shared" si="135"/>
        <v>239.76505069768677</v>
      </c>
      <c r="W1158" s="221">
        <f t="shared" ref="W1158:W1165" si="150">X1158+Y1158+Z1158+AA1158+AB1158+AD1158+AF1158+AH1158+AJ1158+AL1158+AN1158+AO1158</f>
        <v>1162.5651452928462</v>
      </c>
      <c r="X1158" s="221">
        <v>0</v>
      </c>
      <c r="Y1158" s="222">
        <v>0</v>
      </c>
      <c r="Z1158" s="222">
        <v>0</v>
      </c>
      <c r="AA1158" s="222">
        <v>0</v>
      </c>
      <c r="AB1158" s="222">
        <v>0</v>
      </c>
      <c r="AC1158" s="222">
        <v>0</v>
      </c>
      <c r="AD1158" s="222">
        <v>0</v>
      </c>
      <c r="AE1158" s="222">
        <v>981</v>
      </c>
      <c r="AF1158" s="221">
        <f>6238.91*AE1158/I1158</f>
        <v>1162.5651452928462</v>
      </c>
      <c r="AG1158" s="222">
        <v>0</v>
      </c>
      <c r="AH1158" s="221">
        <v>0</v>
      </c>
      <c r="AI1158" s="222">
        <v>0</v>
      </c>
      <c r="AJ1158" s="221">
        <v>0</v>
      </c>
      <c r="AK1158" s="222">
        <v>0</v>
      </c>
      <c r="AL1158" s="222">
        <v>0</v>
      </c>
      <c r="AM1158" s="222">
        <v>0</v>
      </c>
      <c r="AN1158" s="222"/>
      <c r="AO1158" s="222">
        <v>0</v>
      </c>
    </row>
    <row r="1159" spans="1:41" s="223" customFormat="1" ht="36" customHeight="1" x14ac:dyDescent="0.25">
      <c r="A1159" s="223">
        <v>1</v>
      </c>
      <c r="B1159" s="225">
        <f>SUBTOTAL(103,$A$1030:A1159)</f>
        <v>125</v>
      </c>
      <c r="C1159" s="215" t="s">
        <v>609</v>
      </c>
      <c r="D1159" s="217">
        <v>1969</v>
      </c>
      <c r="E1159" s="217"/>
      <c r="F1159" s="226" t="s">
        <v>267</v>
      </c>
      <c r="G1159" s="217">
        <v>5</v>
      </c>
      <c r="H1159" s="217" t="s">
        <v>2266</v>
      </c>
      <c r="I1159" s="218">
        <v>8212.5400000000009</v>
      </c>
      <c r="J1159" s="218">
        <v>5998.64</v>
      </c>
      <c r="K1159" s="218">
        <v>5998.64</v>
      </c>
      <c r="L1159" s="219">
        <v>252</v>
      </c>
      <c r="M1159" s="217" t="s">
        <v>265</v>
      </c>
      <c r="N1159" s="217" t="s">
        <v>269</v>
      </c>
      <c r="O1159" s="220" t="s">
        <v>705</v>
      </c>
      <c r="P1159" s="190">
        <v>8124000</v>
      </c>
      <c r="Q1159" s="190">
        <v>0</v>
      </c>
      <c r="R1159" s="190">
        <v>0</v>
      </c>
      <c r="S1159" s="190">
        <f t="shared" si="149"/>
        <v>8124000</v>
      </c>
      <c r="T1159" s="190">
        <f t="shared" si="138"/>
        <v>989.21892617874607</v>
      </c>
      <c r="U1159" s="190">
        <v>1341.1541678944636</v>
      </c>
      <c r="V1159" s="221">
        <f t="shared" si="135"/>
        <v>351.93524171571755</v>
      </c>
      <c r="W1159" s="221">
        <f t="shared" si="150"/>
        <v>1285.7599689012166</v>
      </c>
      <c r="X1159" s="221">
        <v>0</v>
      </c>
      <c r="Y1159" s="222">
        <v>0</v>
      </c>
      <c r="Z1159" s="222">
        <v>0</v>
      </c>
      <c r="AA1159" s="222">
        <v>0</v>
      </c>
      <c r="AB1159" s="222">
        <v>0</v>
      </c>
      <c r="AC1159" s="222">
        <v>0</v>
      </c>
      <c r="AD1159" s="222">
        <v>0</v>
      </c>
      <c r="AE1159" s="222">
        <v>1692.5</v>
      </c>
      <c r="AF1159" s="221">
        <f>6238.91*AE1159/I1159</f>
        <v>1285.7599689012166</v>
      </c>
      <c r="AG1159" s="222">
        <v>0</v>
      </c>
      <c r="AH1159" s="221">
        <v>0</v>
      </c>
      <c r="AI1159" s="222">
        <v>0</v>
      </c>
      <c r="AJ1159" s="221">
        <v>0</v>
      </c>
      <c r="AK1159" s="222">
        <v>0</v>
      </c>
      <c r="AL1159" s="222">
        <v>0</v>
      </c>
      <c r="AM1159" s="222">
        <v>0</v>
      </c>
      <c r="AN1159" s="222"/>
      <c r="AO1159" s="222">
        <v>0</v>
      </c>
    </row>
    <row r="1160" spans="1:41" s="223" customFormat="1" ht="36" customHeight="1" x14ac:dyDescent="0.25">
      <c r="A1160" s="223">
        <v>1</v>
      </c>
      <c r="B1160" s="225">
        <f>SUBTOTAL(103,$A$1030:A1160)</f>
        <v>126</v>
      </c>
      <c r="C1160" s="215" t="s">
        <v>1681</v>
      </c>
      <c r="D1160" s="217">
        <v>1990</v>
      </c>
      <c r="E1160" s="217"/>
      <c r="F1160" s="226" t="s">
        <v>318</v>
      </c>
      <c r="G1160" s="217">
        <v>2</v>
      </c>
      <c r="H1160" s="217" t="s">
        <v>303</v>
      </c>
      <c r="I1160" s="218">
        <v>630.29999999999995</v>
      </c>
      <c r="J1160" s="218">
        <v>568.70000000000005</v>
      </c>
      <c r="K1160" s="218">
        <v>568.70000000000005</v>
      </c>
      <c r="L1160" s="219">
        <v>25</v>
      </c>
      <c r="M1160" s="217" t="s">
        <v>265</v>
      </c>
      <c r="N1160" s="217" t="s">
        <v>269</v>
      </c>
      <c r="O1160" s="220" t="s">
        <v>707</v>
      </c>
      <c r="P1160" s="190">
        <v>4662041.0599999996</v>
      </c>
      <c r="Q1160" s="190">
        <v>0</v>
      </c>
      <c r="R1160" s="190">
        <v>0</v>
      </c>
      <c r="S1160" s="190">
        <f t="shared" si="149"/>
        <v>4662041.0599999996</v>
      </c>
      <c r="T1160" s="190">
        <f t="shared" si="138"/>
        <v>7396.5430112644772</v>
      </c>
      <c r="U1160" s="190">
        <v>7396.5430112644772</v>
      </c>
      <c r="V1160" s="221">
        <f t="shared" si="135"/>
        <v>0</v>
      </c>
      <c r="W1160" s="221">
        <f>T1160</f>
        <v>7396.5430112644772</v>
      </c>
      <c r="X1160" s="221">
        <v>0</v>
      </c>
      <c r="Y1160" s="222">
        <v>0</v>
      </c>
      <c r="Z1160" s="222">
        <v>0</v>
      </c>
      <c r="AA1160" s="222">
        <v>0</v>
      </c>
      <c r="AB1160" s="222">
        <v>0</v>
      </c>
      <c r="AC1160" s="222">
        <v>0</v>
      </c>
      <c r="AD1160" s="222">
        <v>0</v>
      </c>
      <c r="AE1160" s="222">
        <v>650</v>
      </c>
      <c r="AF1160" s="221">
        <f>6436.53*AE1160/I1160</f>
        <v>6637.703474535936</v>
      </c>
      <c r="AG1160" s="222">
        <v>0</v>
      </c>
      <c r="AH1160" s="221">
        <v>0</v>
      </c>
      <c r="AI1160" s="222">
        <v>0</v>
      </c>
      <c r="AJ1160" s="221">
        <v>0</v>
      </c>
      <c r="AK1160" s="222">
        <v>0</v>
      </c>
      <c r="AL1160" s="222">
        <v>0</v>
      </c>
      <c r="AM1160" s="222">
        <v>0</v>
      </c>
      <c r="AN1160" s="222"/>
      <c r="AO1160" s="222">
        <v>0</v>
      </c>
    </row>
    <row r="1161" spans="1:41" s="223" customFormat="1" ht="36" customHeight="1" x14ac:dyDescent="0.25">
      <c r="A1161" s="223">
        <v>1</v>
      </c>
      <c r="B1161" s="225">
        <f>SUBTOTAL(103,$A$1030:A1161)</f>
        <v>127</v>
      </c>
      <c r="C1161" s="215" t="s">
        <v>613</v>
      </c>
      <c r="D1161" s="217">
        <v>1982</v>
      </c>
      <c r="E1161" s="217"/>
      <c r="F1161" s="226" t="s">
        <v>267</v>
      </c>
      <c r="G1161" s="217">
        <v>9</v>
      </c>
      <c r="H1161" s="217" t="s">
        <v>371</v>
      </c>
      <c r="I1161" s="218">
        <v>12113.01</v>
      </c>
      <c r="J1161" s="218">
        <v>10694</v>
      </c>
      <c r="K1161" s="218">
        <v>10692.21</v>
      </c>
      <c r="L1161" s="219">
        <v>559</v>
      </c>
      <c r="M1161" s="217" t="s">
        <v>265</v>
      </c>
      <c r="N1161" s="217" t="s">
        <v>269</v>
      </c>
      <c r="O1161" s="220" t="s">
        <v>707</v>
      </c>
      <c r="P1161" s="190">
        <v>9052752</v>
      </c>
      <c r="Q1161" s="190">
        <v>0</v>
      </c>
      <c r="R1161" s="190">
        <v>0</v>
      </c>
      <c r="S1161" s="190">
        <f t="shared" si="149"/>
        <v>9052752</v>
      </c>
      <c r="T1161" s="190">
        <f t="shared" si="138"/>
        <v>747.35775831110516</v>
      </c>
      <c r="U1161" s="190">
        <v>933.28618733081203</v>
      </c>
      <c r="V1161" s="221">
        <f t="shared" si="135"/>
        <v>185.92842901970687</v>
      </c>
      <c r="W1161" s="221">
        <f t="shared" si="150"/>
        <v>933.28618733081203</v>
      </c>
      <c r="X1161" s="221">
        <v>0</v>
      </c>
      <c r="Y1161" s="222">
        <v>0</v>
      </c>
      <c r="Z1161" s="222">
        <v>0</v>
      </c>
      <c r="AA1161" s="222">
        <v>0</v>
      </c>
      <c r="AB1161" s="222">
        <v>0</v>
      </c>
      <c r="AC1161" s="222">
        <v>0</v>
      </c>
      <c r="AD1161" s="222">
        <v>0</v>
      </c>
      <c r="AE1161" s="222">
        <v>1812</v>
      </c>
      <c r="AF1161" s="221">
        <f>6238.91*AE1161/I1161</f>
        <v>933.28618733081203</v>
      </c>
      <c r="AG1161" s="222">
        <v>0</v>
      </c>
      <c r="AH1161" s="221">
        <v>0</v>
      </c>
      <c r="AI1161" s="222">
        <v>0</v>
      </c>
      <c r="AJ1161" s="221">
        <v>0</v>
      </c>
      <c r="AK1161" s="222">
        <v>0</v>
      </c>
      <c r="AL1161" s="222">
        <v>0</v>
      </c>
      <c r="AM1161" s="222">
        <v>0</v>
      </c>
      <c r="AN1161" s="222"/>
      <c r="AO1161" s="222">
        <v>0</v>
      </c>
    </row>
    <row r="1162" spans="1:41" s="223" customFormat="1" ht="36" customHeight="1" x14ac:dyDescent="0.25">
      <c r="A1162" s="223">
        <v>1</v>
      </c>
      <c r="B1162" s="225">
        <f>SUBTOTAL(103,$A$1030:A1162)</f>
        <v>128</v>
      </c>
      <c r="C1162" s="215" t="s">
        <v>626</v>
      </c>
      <c r="D1162" s="217">
        <v>1975</v>
      </c>
      <c r="E1162" s="217"/>
      <c r="F1162" s="226" t="s">
        <v>267</v>
      </c>
      <c r="G1162" s="217">
        <v>5</v>
      </c>
      <c r="H1162" s="217" t="s">
        <v>304</v>
      </c>
      <c r="I1162" s="218">
        <v>2310.5</v>
      </c>
      <c r="J1162" s="218">
        <v>1287.55</v>
      </c>
      <c r="K1162" s="218">
        <v>830.8</v>
      </c>
      <c r="L1162" s="219">
        <v>86</v>
      </c>
      <c r="M1162" s="217" t="s">
        <v>265</v>
      </c>
      <c r="N1162" s="217" t="s">
        <v>269</v>
      </c>
      <c r="O1162" s="220" t="s">
        <v>704</v>
      </c>
      <c r="P1162" s="190">
        <v>6820409.8600000003</v>
      </c>
      <c r="Q1162" s="190">
        <v>0</v>
      </c>
      <c r="R1162" s="190">
        <v>0</v>
      </c>
      <c r="S1162" s="190">
        <f t="shared" si="149"/>
        <v>6820409.8600000003</v>
      </c>
      <c r="T1162" s="190">
        <f t="shared" si="138"/>
        <v>2951.9194373512228</v>
      </c>
      <c r="U1162" s="190">
        <v>3055.0001731227003</v>
      </c>
      <c r="V1162" s="221">
        <f t="shared" si="135"/>
        <v>103.08073577147752</v>
      </c>
      <c r="W1162" s="221">
        <f t="shared" si="150"/>
        <v>6944.6272148885528</v>
      </c>
      <c r="X1162" s="221">
        <v>0</v>
      </c>
      <c r="Y1162" s="222">
        <v>0</v>
      </c>
      <c r="Z1162" s="222">
        <v>0</v>
      </c>
      <c r="AA1162" s="222">
        <v>0</v>
      </c>
      <c r="AB1162" s="222">
        <v>0</v>
      </c>
      <c r="AC1162" s="222">
        <v>0</v>
      </c>
      <c r="AD1162" s="222">
        <v>0</v>
      </c>
      <c r="AE1162" s="222">
        <v>0</v>
      </c>
      <c r="AF1162" s="221">
        <v>0</v>
      </c>
      <c r="AG1162" s="222">
        <v>0</v>
      </c>
      <c r="AH1162" s="221">
        <v>0</v>
      </c>
      <c r="AI1162" s="222">
        <v>0</v>
      </c>
      <c r="AJ1162" s="221">
        <v>0</v>
      </c>
      <c r="AK1162" s="222">
        <v>209</v>
      </c>
      <c r="AL1162" s="221">
        <f>76773.02*AK1162/I1162</f>
        <v>6944.6272148885528</v>
      </c>
      <c r="AM1162" s="222">
        <v>0</v>
      </c>
      <c r="AN1162" s="222"/>
      <c r="AO1162" s="222">
        <v>0</v>
      </c>
    </row>
    <row r="1163" spans="1:41" s="223" customFormat="1" ht="36" customHeight="1" x14ac:dyDescent="0.25">
      <c r="A1163" s="223">
        <v>1</v>
      </c>
      <c r="B1163" s="225">
        <f>SUBTOTAL(103,$A$1030:A1163)</f>
        <v>129</v>
      </c>
      <c r="C1163" s="215" t="s">
        <v>630</v>
      </c>
      <c r="D1163" s="217">
        <v>1982</v>
      </c>
      <c r="E1163" s="217"/>
      <c r="F1163" s="226" t="s">
        <v>267</v>
      </c>
      <c r="G1163" s="217">
        <v>9</v>
      </c>
      <c r="H1163" s="217" t="s">
        <v>308</v>
      </c>
      <c r="I1163" s="218">
        <v>9363</v>
      </c>
      <c r="J1163" s="218">
        <v>9363</v>
      </c>
      <c r="K1163" s="218">
        <v>5631</v>
      </c>
      <c r="L1163" s="219">
        <v>419</v>
      </c>
      <c r="M1163" s="217" t="s">
        <v>265</v>
      </c>
      <c r="N1163" s="217" t="s">
        <v>269</v>
      </c>
      <c r="O1163" s="220" t="s">
        <v>712</v>
      </c>
      <c r="P1163" s="190">
        <v>9102212.3999999985</v>
      </c>
      <c r="Q1163" s="190">
        <v>0</v>
      </c>
      <c r="R1163" s="190">
        <v>0</v>
      </c>
      <c r="S1163" s="190">
        <f t="shared" si="149"/>
        <v>9102212.3999999985</v>
      </c>
      <c r="T1163" s="190">
        <f t="shared" si="138"/>
        <v>972.14700416533151</v>
      </c>
      <c r="U1163" s="190">
        <v>1419.0305175691551</v>
      </c>
      <c r="V1163" s="221">
        <f t="shared" si="135"/>
        <v>446.8835134038236</v>
      </c>
      <c r="W1163" s="221">
        <f t="shared" si="150"/>
        <v>1213.9987321371357</v>
      </c>
      <c r="X1163" s="221">
        <v>0</v>
      </c>
      <c r="Y1163" s="222">
        <v>0</v>
      </c>
      <c r="Z1163" s="222">
        <v>0</v>
      </c>
      <c r="AA1163" s="222">
        <v>0</v>
      </c>
      <c r="AB1163" s="222">
        <v>0</v>
      </c>
      <c r="AC1163" s="222">
        <v>0</v>
      </c>
      <c r="AD1163" s="222">
        <v>0</v>
      </c>
      <c r="AE1163" s="222">
        <v>1821.9</v>
      </c>
      <c r="AF1163" s="221">
        <f>6238.91*AE1163/I1163</f>
        <v>1213.9987321371357</v>
      </c>
      <c r="AG1163" s="222">
        <v>0</v>
      </c>
      <c r="AH1163" s="221">
        <v>0</v>
      </c>
      <c r="AI1163" s="222">
        <v>0</v>
      </c>
      <c r="AJ1163" s="221">
        <v>0</v>
      </c>
      <c r="AK1163" s="222">
        <v>0</v>
      </c>
      <c r="AL1163" s="222">
        <v>0</v>
      </c>
      <c r="AM1163" s="222">
        <v>0</v>
      </c>
      <c r="AN1163" s="222"/>
      <c r="AO1163" s="222">
        <v>0</v>
      </c>
    </row>
    <row r="1164" spans="1:41" s="223" customFormat="1" ht="36" customHeight="1" x14ac:dyDescent="0.25">
      <c r="A1164" s="223">
        <v>1</v>
      </c>
      <c r="B1164" s="225">
        <f>SUBTOTAL(103,$A$1030:A1164)</f>
        <v>130</v>
      </c>
      <c r="C1164" s="215" t="s">
        <v>634</v>
      </c>
      <c r="D1164" s="217">
        <v>1966</v>
      </c>
      <c r="E1164" s="217"/>
      <c r="F1164" s="226" t="s">
        <v>267</v>
      </c>
      <c r="G1164" s="217">
        <v>5</v>
      </c>
      <c r="H1164" s="217" t="s">
        <v>308</v>
      </c>
      <c r="I1164" s="218">
        <v>3420.4</v>
      </c>
      <c r="J1164" s="218">
        <v>3164.9</v>
      </c>
      <c r="K1164" s="218">
        <v>2916.6</v>
      </c>
      <c r="L1164" s="219">
        <v>75</v>
      </c>
      <c r="M1164" s="217" t="s">
        <v>265</v>
      </c>
      <c r="N1164" s="217" t="s">
        <v>269</v>
      </c>
      <c r="O1164" s="220" t="s">
        <v>711</v>
      </c>
      <c r="P1164" s="190">
        <v>4594480</v>
      </c>
      <c r="Q1164" s="190">
        <v>0</v>
      </c>
      <c r="R1164" s="190">
        <v>0</v>
      </c>
      <c r="S1164" s="190">
        <f t="shared" si="149"/>
        <v>4594480</v>
      </c>
      <c r="T1164" s="190">
        <f t="shared" si="138"/>
        <v>1343.2580984680153</v>
      </c>
      <c r="U1164" s="190">
        <v>1674.3000818617704</v>
      </c>
      <c r="V1164" s="221">
        <f t="shared" si="135"/>
        <v>331.04198339375512</v>
      </c>
      <c r="W1164" s="221">
        <f t="shared" si="150"/>
        <v>1605.1458308969711</v>
      </c>
      <c r="X1164" s="221">
        <v>0</v>
      </c>
      <c r="Y1164" s="222">
        <v>0</v>
      </c>
      <c r="Z1164" s="222">
        <v>0</v>
      </c>
      <c r="AA1164" s="222">
        <v>0</v>
      </c>
      <c r="AB1164" s="222">
        <v>0</v>
      </c>
      <c r="AC1164" s="222">
        <v>0</v>
      </c>
      <c r="AD1164" s="222">
        <v>0</v>
      </c>
      <c r="AE1164" s="222">
        <v>880</v>
      </c>
      <c r="AF1164" s="221">
        <f>6238.91*AE1164/I1164</f>
        <v>1605.1458308969711</v>
      </c>
      <c r="AG1164" s="222">
        <v>0</v>
      </c>
      <c r="AH1164" s="221">
        <v>0</v>
      </c>
      <c r="AI1164" s="222">
        <v>0</v>
      </c>
      <c r="AJ1164" s="221">
        <v>0</v>
      </c>
      <c r="AK1164" s="222">
        <v>0</v>
      </c>
      <c r="AL1164" s="222">
        <v>0</v>
      </c>
      <c r="AM1164" s="222">
        <v>0</v>
      </c>
      <c r="AN1164" s="222"/>
      <c r="AO1164" s="222">
        <v>0</v>
      </c>
    </row>
    <row r="1165" spans="1:41" s="223" customFormat="1" ht="36" customHeight="1" x14ac:dyDescent="0.25">
      <c r="A1165" s="223">
        <v>1</v>
      </c>
      <c r="B1165" s="225">
        <f>SUBTOTAL(103,$A$1030:A1165)</f>
        <v>131</v>
      </c>
      <c r="C1165" s="215" t="s">
        <v>633</v>
      </c>
      <c r="D1165" s="217">
        <v>1972</v>
      </c>
      <c r="E1165" s="217"/>
      <c r="F1165" s="226" t="s">
        <v>267</v>
      </c>
      <c r="G1165" s="217">
        <v>5</v>
      </c>
      <c r="H1165" s="217" t="s">
        <v>308</v>
      </c>
      <c r="I1165" s="218">
        <v>3089.21</v>
      </c>
      <c r="J1165" s="218">
        <v>2785.21</v>
      </c>
      <c r="K1165" s="218">
        <v>2785.21</v>
      </c>
      <c r="L1165" s="219">
        <v>208</v>
      </c>
      <c r="M1165" s="217" t="s">
        <v>265</v>
      </c>
      <c r="N1165" s="217" t="s">
        <v>269</v>
      </c>
      <c r="O1165" s="220" t="s">
        <v>707</v>
      </c>
      <c r="P1165" s="190">
        <v>4121700</v>
      </c>
      <c r="Q1165" s="190">
        <v>0</v>
      </c>
      <c r="R1165" s="190">
        <v>0</v>
      </c>
      <c r="S1165" s="190">
        <f t="shared" si="149"/>
        <v>4121700</v>
      </c>
      <c r="T1165" s="190">
        <f t="shared" ref="T1165:T1228" si="151">P1165/I1165</f>
        <v>1334.2246075857581</v>
      </c>
      <c r="U1165" s="190">
        <v>1737.9370453934825</v>
      </c>
      <c r="V1165" s="221">
        <f t="shared" ref="V1165:V1223" si="152">U1165-T1165</f>
        <v>403.71243780772443</v>
      </c>
      <c r="W1165" s="221">
        <f t="shared" si="150"/>
        <v>1666.1543728008132</v>
      </c>
      <c r="X1165" s="221">
        <v>0</v>
      </c>
      <c r="Y1165" s="222">
        <v>0</v>
      </c>
      <c r="Z1165" s="222">
        <v>0</v>
      </c>
      <c r="AA1165" s="222">
        <v>0</v>
      </c>
      <c r="AB1165" s="222">
        <v>0</v>
      </c>
      <c r="AC1165" s="222">
        <v>0</v>
      </c>
      <c r="AD1165" s="222">
        <v>0</v>
      </c>
      <c r="AE1165" s="222">
        <v>825</v>
      </c>
      <c r="AF1165" s="221">
        <f>6238.91*AE1165/I1165</f>
        <v>1666.1543728008132</v>
      </c>
      <c r="AG1165" s="222">
        <v>0</v>
      </c>
      <c r="AH1165" s="221">
        <v>0</v>
      </c>
      <c r="AI1165" s="222">
        <v>0</v>
      </c>
      <c r="AJ1165" s="221">
        <v>0</v>
      </c>
      <c r="AK1165" s="222">
        <v>0</v>
      </c>
      <c r="AL1165" s="222">
        <v>0</v>
      </c>
      <c r="AM1165" s="222">
        <v>0</v>
      </c>
      <c r="AN1165" s="222"/>
      <c r="AO1165" s="222">
        <v>0</v>
      </c>
    </row>
    <row r="1166" spans="1:41" s="223" customFormat="1" ht="36" customHeight="1" x14ac:dyDescent="0.25">
      <c r="B1166" s="215" t="s">
        <v>816</v>
      </c>
      <c r="C1166" s="215"/>
      <c r="D1166" s="217" t="s">
        <v>890</v>
      </c>
      <c r="E1166" s="217" t="s">
        <v>890</v>
      </c>
      <c r="F1166" s="217" t="s">
        <v>890</v>
      </c>
      <c r="G1166" s="217" t="s">
        <v>890</v>
      </c>
      <c r="H1166" s="217" t="s">
        <v>890</v>
      </c>
      <c r="I1166" s="218">
        <f>SUM(I1167:I1168)</f>
        <v>6151.9</v>
      </c>
      <c r="J1166" s="218">
        <f>SUM(J1167:J1168)</f>
        <v>3654</v>
      </c>
      <c r="K1166" s="218">
        <f>SUM(K1167:K1168)</f>
        <v>3396.8</v>
      </c>
      <c r="L1166" s="219">
        <f>SUM(L1167:L1168)</f>
        <v>158</v>
      </c>
      <c r="M1166" s="217" t="s">
        <v>890</v>
      </c>
      <c r="N1166" s="217" t="s">
        <v>890</v>
      </c>
      <c r="O1166" s="220" t="s">
        <v>890</v>
      </c>
      <c r="P1166" s="218">
        <v>5663822.2999999998</v>
      </c>
      <c r="Q1166" s="218">
        <f>SUM(Q1167:Q1168)</f>
        <v>0</v>
      </c>
      <c r="R1166" s="218">
        <f>SUM(R1167:R1168)</f>
        <v>0</v>
      </c>
      <c r="S1166" s="218">
        <f>SUM(S1167:S1168)</f>
        <v>5663822.2999999998</v>
      </c>
      <c r="T1166" s="190">
        <f t="shared" si="151"/>
        <v>920.66228319706113</v>
      </c>
      <c r="U1166" s="190">
        <f>MAX(U1167:U1168)</f>
        <v>2669.3522323428397</v>
      </c>
      <c r="V1166" s="221">
        <f t="shared" si="152"/>
        <v>1748.6899491457784</v>
      </c>
      <c r="W1166" s="221"/>
      <c r="X1166" s="221"/>
      <c r="Y1166" s="222"/>
      <c r="Z1166" s="222"/>
      <c r="AA1166" s="222"/>
      <c r="AB1166" s="222"/>
      <c r="AC1166" s="222"/>
      <c r="AD1166" s="222"/>
      <c r="AE1166" s="222"/>
      <c r="AF1166" s="222"/>
      <c r="AG1166" s="222"/>
      <c r="AH1166" s="222"/>
      <c r="AI1166" s="222"/>
      <c r="AJ1166" s="222"/>
      <c r="AK1166" s="222"/>
      <c r="AL1166" s="222"/>
      <c r="AM1166" s="222"/>
      <c r="AN1166" s="222"/>
      <c r="AO1166" s="222"/>
    </row>
    <row r="1167" spans="1:41" s="223" customFormat="1" ht="36" customHeight="1" x14ac:dyDescent="0.25">
      <c r="A1167" s="223">
        <v>1</v>
      </c>
      <c r="B1167" s="225">
        <f>SUBTOTAL(103,$A$1030:A1167)</f>
        <v>132</v>
      </c>
      <c r="C1167" s="215" t="s">
        <v>639</v>
      </c>
      <c r="D1167" s="217">
        <v>1993</v>
      </c>
      <c r="E1167" s="217"/>
      <c r="F1167" s="226" t="s">
        <v>311</v>
      </c>
      <c r="G1167" s="217">
        <v>5</v>
      </c>
      <c r="H1167" s="217" t="s">
        <v>312</v>
      </c>
      <c r="I1167" s="218">
        <v>5482.2</v>
      </c>
      <c r="J1167" s="218">
        <v>3303.8</v>
      </c>
      <c r="K1167" s="218">
        <v>3096.3</v>
      </c>
      <c r="L1167" s="219">
        <v>147</v>
      </c>
      <c r="M1167" s="217" t="s">
        <v>265</v>
      </c>
      <c r="N1167" s="217" t="s">
        <v>269</v>
      </c>
      <c r="O1167" s="220" t="s">
        <v>709</v>
      </c>
      <c r="P1167" s="190">
        <v>4229613.5999999996</v>
      </c>
      <c r="Q1167" s="190">
        <v>0</v>
      </c>
      <c r="R1167" s="190">
        <v>0</v>
      </c>
      <c r="S1167" s="190">
        <f>P1167-Q1167-R1167</f>
        <v>4229613.5999999996</v>
      </c>
      <c r="T1167" s="190">
        <f t="shared" si="151"/>
        <v>771.5175659406807</v>
      </c>
      <c r="U1167" s="190">
        <v>1004.9649447302179</v>
      </c>
      <c r="V1167" s="221">
        <f t="shared" si="152"/>
        <v>233.4473787895372</v>
      </c>
      <c r="W1167" s="221">
        <f>X1167+Y1167+Z1167+AA1167+AB1167+AD1167+AF1167+AH1167+AJ1167+AL1167+AN1167+AO1167</f>
        <v>963.45649666192412</v>
      </c>
      <c r="X1167" s="221">
        <v>0</v>
      </c>
      <c r="Y1167" s="222">
        <v>0</v>
      </c>
      <c r="Z1167" s="222">
        <v>0</v>
      </c>
      <c r="AA1167" s="222">
        <v>0</v>
      </c>
      <c r="AB1167" s="222">
        <v>0</v>
      </c>
      <c r="AC1167" s="222">
        <v>0</v>
      </c>
      <c r="AD1167" s="222">
        <v>0</v>
      </c>
      <c r="AE1167" s="222">
        <v>846.6</v>
      </c>
      <c r="AF1167" s="221">
        <f>6238.91*AE1167/I1167</f>
        <v>963.45649666192412</v>
      </c>
      <c r="AG1167" s="222">
        <v>0</v>
      </c>
      <c r="AH1167" s="221">
        <v>0</v>
      </c>
      <c r="AI1167" s="222">
        <v>0</v>
      </c>
      <c r="AJ1167" s="221">
        <v>0</v>
      </c>
      <c r="AK1167" s="222">
        <v>0</v>
      </c>
      <c r="AL1167" s="222">
        <v>0</v>
      </c>
      <c r="AM1167" s="222">
        <v>0</v>
      </c>
      <c r="AN1167" s="222"/>
      <c r="AO1167" s="222">
        <v>0</v>
      </c>
    </row>
    <row r="1168" spans="1:41" s="223" customFormat="1" ht="36" customHeight="1" x14ac:dyDescent="0.25">
      <c r="A1168" s="223">
        <v>1</v>
      </c>
      <c r="B1168" s="225">
        <f>SUBTOTAL(103,$A$1030:A1168)</f>
        <v>133</v>
      </c>
      <c r="C1168" s="215" t="s">
        <v>637</v>
      </c>
      <c r="D1168" s="217">
        <v>1964</v>
      </c>
      <c r="E1168" s="217"/>
      <c r="F1168" s="226" t="s">
        <v>267</v>
      </c>
      <c r="G1168" s="217">
        <v>2</v>
      </c>
      <c r="H1168" s="217" t="s">
        <v>303</v>
      </c>
      <c r="I1168" s="218">
        <v>669.7</v>
      </c>
      <c r="J1168" s="218">
        <v>350.2</v>
      </c>
      <c r="K1168" s="218">
        <v>300.5</v>
      </c>
      <c r="L1168" s="219">
        <v>11</v>
      </c>
      <c r="M1168" s="217" t="s">
        <v>265</v>
      </c>
      <c r="N1168" s="217" t="s">
        <v>269</v>
      </c>
      <c r="O1168" s="220" t="s">
        <v>709</v>
      </c>
      <c r="P1168" s="190">
        <v>1434208.7</v>
      </c>
      <c r="Q1168" s="190">
        <v>0</v>
      </c>
      <c r="R1168" s="190">
        <v>0</v>
      </c>
      <c r="S1168" s="190">
        <f>P1168-Q1168-R1168</f>
        <v>1434208.7</v>
      </c>
      <c r="T1168" s="190">
        <f t="shared" si="151"/>
        <v>2141.5689114528891</v>
      </c>
      <c r="U1168" s="190">
        <v>2669.3522323428397</v>
      </c>
      <c r="V1168" s="221">
        <f t="shared" si="152"/>
        <v>527.78332088995057</v>
      </c>
      <c r="W1168" s="221">
        <f>X1168+Y1168+Z1168+AA1168+AB1168+AD1168+AF1168+AH1168+AJ1168+AL1168+AN1168+AO1168</f>
        <v>2559.0989652083017</v>
      </c>
      <c r="X1168" s="221">
        <v>0</v>
      </c>
      <c r="Y1168" s="222">
        <v>0</v>
      </c>
      <c r="Z1168" s="222">
        <v>0</v>
      </c>
      <c r="AA1168" s="222">
        <v>0</v>
      </c>
      <c r="AB1168" s="222">
        <v>0</v>
      </c>
      <c r="AC1168" s="222">
        <v>0</v>
      </c>
      <c r="AD1168" s="222">
        <v>0</v>
      </c>
      <c r="AE1168" s="222">
        <v>274.7</v>
      </c>
      <c r="AF1168" s="221">
        <f>6238.91*AE1168/I1168</f>
        <v>2559.0989652083017</v>
      </c>
      <c r="AG1168" s="222">
        <v>0</v>
      </c>
      <c r="AH1168" s="221">
        <v>0</v>
      </c>
      <c r="AI1168" s="222">
        <v>0</v>
      </c>
      <c r="AJ1168" s="221">
        <v>0</v>
      </c>
      <c r="AK1168" s="222">
        <v>0</v>
      </c>
      <c r="AL1168" s="222">
        <v>0</v>
      </c>
      <c r="AM1168" s="222">
        <v>0</v>
      </c>
      <c r="AN1168" s="222"/>
      <c r="AO1168" s="222">
        <v>0</v>
      </c>
    </row>
    <row r="1169" spans="1:191" s="223" customFormat="1" ht="36" customHeight="1" x14ac:dyDescent="0.25">
      <c r="B1169" s="215" t="s">
        <v>817</v>
      </c>
      <c r="C1169" s="215"/>
      <c r="D1169" s="217" t="s">
        <v>890</v>
      </c>
      <c r="E1169" s="217" t="s">
        <v>890</v>
      </c>
      <c r="F1169" s="217" t="s">
        <v>890</v>
      </c>
      <c r="G1169" s="217" t="s">
        <v>890</v>
      </c>
      <c r="H1169" s="217" t="s">
        <v>890</v>
      </c>
      <c r="I1169" s="218">
        <f>SUM(I1170:I1172)</f>
        <v>8048.2000000000007</v>
      </c>
      <c r="J1169" s="218">
        <f>SUM(J1170:J1172)</f>
        <v>7440.9</v>
      </c>
      <c r="K1169" s="218">
        <f>SUM(K1170:K1172)</f>
        <v>3302.1000000000004</v>
      </c>
      <c r="L1169" s="219">
        <f>SUM(L1170:L1172)</f>
        <v>328</v>
      </c>
      <c r="M1169" s="217" t="s">
        <v>890</v>
      </c>
      <c r="N1169" s="217" t="s">
        <v>890</v>
      </c>
      <c r="O1169" s="220" t="s">
        <v>890</v>
      </c>
      <c r="P1169" s="190">
        <v>7120486.3999999994</v>
      </c>
      <c r="Q1169" s="190">
        <f>SUM(Q1170:Q1172)</f>
        <v>0</v>
      </c>
      <c r="R1169" s="190">
        <f>SUM(R1170:R1172)</f>
        <v>0</v>
      </c>
      <c r="S1169" s="190">
        <f>SUM(S1170:S1172)</f>
        <v>7120486.3999999994</v>
      </c>
      <c r="T1169" s="190">
        <f t="shared" si="151"/>
        <v>884.73029994284423</v>
      </c>
      <c r="U1169" s="190">
        <f>MAX(U1170:U1172)</f>
        <v>6152.2698580809147</v>
      </c>
      <c r="V1169" s="221">
        <f t="shared" si="152"/>
        <v>5267.5395581380708</v>
      </c>
      <c r="W1169" s="221"/>
      <c r="X1169" s="221"/>
      <c r="Y1169" s="222"/>
      <c r="Z1169" s="222"/>
      <c r="AA1169" s="222"/>
      <c r="AB1169" s="222"/>
      <c r="AC1169" s="222"/>
      <c r="AD1169" s="222"/>
      <c r="AE1169" s="222"/>
      <c r="AF1169" s="222"/>
      <c r="AG1169" s="222"/>
      <c r="AH1169" s="222"/>
      <c r="AI1169" s="222"/>
      <c r="AJ1169" s="222"/>
      <c r="AK1169" s="222"/>
      <c r="AL1169" s="222"/>
      <c r="AM1169" s="222"/>
      <c r="AN1169" s="222"/>
      <c r="AO1169" s="222"/>
    </row>
    <row r="1170" spans="1:191" s="223" customFormat="1" ht="36" customHeight="1" x14ac:dyDescent="0.25">
      <c r="A1170" s="223">
        <v>1</v>
      </c>
      <c r="B1170" s="225">
        <f>SUBTOTAL(103,$A$1030:A1170)</f>
        <v>134</v>
      </c>
      <c r="C1170" s="215" t="s">
        <v>643</v>
      </c>
      <c r="D1170" s="217">
        <v>1882</v>
      </c>
      <c r="E1170" s="217"/>
      <c r="F1170" s="226" t="s">
        <v>267</v>
      </c>
      <c r="G1170" s="217">
        <v>3</v>
      </c>
      <c r="H1170" s="217" t="s">
        <v>312</v>
      </c>
      <c r="I1170" s="218">
        <v>3501.8</v>
      </c>
      <c r="J1170" s="218">
        <v>2939.7</v>
      </c>
      <c r="K1170" s="218">
        <v>1028.9000000000001</v>
      </c>
      <c r="L1170" s="219">
        <v>88</v>
      </c>
      <c r="M1170" s="217" t="s">
        <v>265</v>
      </c>
      <c r="N1170" s="217" t="s">
        <v>269</v>
      </c>
      <c r="O1170" s="220" t="s">
        <v>710</v>
      </c>
      <c r="P1170" s="190">
        <v>4240119.51</v>
      </c>
      <c r="Q1170" s="190">
        <v>0</v>
      </c>
      <c r="R1170" s="190">
        <v>0</v>
      </c>
      <c r="S1170" s="190">
        <f>P1170-Q1170-R1170</f>
        <v>4240119.51</v>
      </c>
      <c r="T1170" s="190">
        <f t="shared" si="151"/>
        <v>1210.839999428865</v>
      </c>
      <c r="U1170" s="190">
        <v>3626.97</v>
      </c>
      <c r="V1170" s="221">
        <f t="shared" si="152"/>
        <v>2416.1300005711346</v>
      </c>
      <c r="W1170" s="221">
        <f>X1170+Y1170+Z1170+AA1170+AB1170+AD1170+AF1170+AH1170+AJ1170+AL1170+AN1170+AO1170</f>
        <v>3259.66</v>
      </c>
      <c r="X1170" s="221">
        <v>0</v>
      </c>
      <c r="Y1170" s="222">
        <v>0</v>
      </c>
      <c r="Z1170" s="222">
        <v>3259.66</v>
      </c>
      <c r="AA1170" s="222">
        <v>0</v>
      </c>
      <c r="AB1170" s="222">
        <v>0</v>
      </c>
      <c r="AC1170" s="222">
        <v>0</v>
      </c>
      <c r="AD1170" s="222">
        <v>0</v>
      </c>
      <c r="AE1170" s="222">
        <v>0</v>
      </c>
      <c r="AF1170" s="221">
        <v>0</v>
      </c>
      <c r="AG1170" s="222">
        <v>0</v>
      </c>
      <c r="AH1170" s="221">
        <v>0</v>
      </c>
      <c r="AI1170" s="222">
        <v>0</v>
      </c>
      <c r="AJ1170" s="221">
        <v>0</v>
      </c>
      <c r="AK1170" s="222">
        <v>0</v>
      </c>
      <c r="AL1170" s="222">
        <v>0</v>
      </c>
      <c r="AM1170" s="222">
        <v>0</v>
      </c>
      <c r="AN1170" s="222"/>
      <c r="AO1170" s="222">
        <v>0</v>
      </c>
    </row>
    <row r="1171" spans="1:191" s="223" customFormat="1" ht="36" customHeight="1" x14ac:dyDescent="0.25">
      <c r="A1171" s="223">
        <v>1</v>
      </c>
      <c r="B1171" s="225">
        <f>SUBTOTAL(103,$A$1030:A1171)</f>
        <v>135</v>
      </c>
      <c r="C1171" s="215" t="s">
        <v>1957</v>
      </c>
      <c r="D1171" s="217">
        <v>1933</v>
      </c>
      <c r="E1171" s="217"/>
      <c r="F1171" s="226" t="s">
        <v>330</v>
      </c>
      <c r="G1171" s="217" t="s">
        <v>303</v>
      </c>
      <c r="H1171" s="217" t="s">
        <v>303</v>
      </c>
      <c r="I1171" s="218">
        <v>472.1</v>
      </c>
      <c r="J1171" s="218">
        <v>426.9</v>
      </c>
      <c r="K1171" s="218">
        <v>426.9</v>
      </c>
      <c r="L1171" s="219">
        <v>31</v>
      </c>
      <c r="M1171" s="217" t="s">
        <v>265</v>
      </c>
      <c r="N1171" s="217" t="s">
        <v>266</v>
      </c>
      <c r="O1171" s="220" t="s">
        <v>268</v>
      </c>
      <c r="P1171" s="190">
        <v>2015397.9200000002</v>
      </c>
      <c r="Q1171" s="190">
        <v>0</v>
      </c>
      <c r="R1171" s="190">
        <v>0</v>
      </c>
      <c r="S1171" s="190">
        <f t="shared" ref="S1171" si="153">P1171-Q1171-R1171</f>
        <v>2015397.9200000002</v>
      </c>
      <c r="T1171" s="190">
        <f t="shared" si="151"/>
        <v>4269.0063969497987</v>
      </c>
      <c r="U1171" s="190">
        <v>6152.2698580809147</v>
      </c>
      <c r="V1171" s="221">
        <f t="shared" si="152"/>
        <v>1883.2634611311159</v>
      </c>
      <c r="W1171" s="221">
        <f t="shared" ref="W1171" si="154">X1171+Y1171+Z1171+AA1171+AB1171+AD1171+AF1171+AH1171+AJ1171+AL1171+AN1171+AO1171</f>
        <v>7944.9961703029021</v>
      </c>
      <c r="X1171" s="221">
        <v>0</v>
      </c>
      <c r="Y1171" s="222">
        <v>0</v>
      </c>
      <c r="Z1171" s="222">
        <v>0</v>
      </c>
      <c r="AA1171" s="222">
        <v>0</v>
      </c>
      <c r="AB1171" s="222">
        <v>0</v>
      </c>
      <c r="AC1171" s="222">
        <v>0</v>
      </c>
      <c r="AD1171" s="222">
        <v>0</v>
      </c>
      <c r="AE1171" s="222">
        <v>601.20000000000005</v>
      </c>
      <c r="AF1171" s="221">
        <f t="shared" ref="AF1171" si="155">6238.91*AE1171/I1171</f>
        <v>7944.9961703029021</v>
      </c>
      <c r="AG1171" s="222">
        <v>0</v>
      </c>
      <c r="AH1171" s="221">
        <v>0</v>
      </c>
      <c r="AI1171" s="222">
        <v>0</v>
      </c>
      <c r="AJ1171" s="221">
        <v>0</v>
      </c>
      <c r="AK1171" s="222">
        <v>0</v>
      </c>
      <c r="AL1171" s="222">
        <v>0</v>
      </c>
      <c r="AM1171" s="222">
        <v>0</v>
      </c>
      <c r="AN1171" s="222"/>
      <c r="AO1171" s="222">
        <v>0</v>
      </c>
    </row>
    <row r="1172" spans="1:191" s="223" customFormat="1" ht="36" customHeight="1" x14ac:dyDescent="0.25">
      <c r="A1172" s="223">
        <v>1</v>
      </c>
      <c r="B1172" s="225">
        <f>SUBTOTAL(103,$A$1030:A1172)</f>
        <v>136</v>
      </c>
      <c r="C1172" s="215" t="s">
        <v>2303</v>
      </c>
      <c r="D1172" s="217">
        <v>1977</v>
      </c>
      <c r="E1172" s="217"/>
      <c r="F1172" s="226" t="s">
        <v>267</v>
      </c>
      <c r="G1172" s="217">
        <v>5</v>
      </c>
      <c r="H1172" s="217">
        <v>2</v>
      </c>
      <c r="I1172" s="218">
        <v>4074.3</v>
      </c>
      <c r="J1172" s="218">
        <v>4074.3</v>
      </c>
      <c r="K1172" s="218">
        <v>1846.3</v>
      </c>
      <c r="L1172" s="219">
        <v>209</v>
      </c>
      <c r="M1172" s="217" t="s">
        <v>265</v>
      </c>
      <c r="N1172" s="217" t="s">
        <v>269</v>
      </c>
      <c r="O1172" s="220" t="s">
        <v>2439</v>
      </c>
      <c r="P1172" s="190">
        <v>864968.97</v>
      </c>
      <c r="Q1172" s="190">
        <v>0</v>
      </c>
      <c r="R1172" s="190">
        <v>0</v>
      </c>
      <c r="S1172" s="190">
        <f>P1172-Q1172-R1172</f>
        <v>864968.97</v>
      </c>
      <c r="T1172" s="190">
        <f t="shared" si="151"/>
        <v>212.29879243060157</v>
      </c>
      <c r="U1172" s="190">
        <v>212.29879243060157</v>
      </c>
      <c r="V1172" s="221">
        <f t="shared" si="152"/>
        <v>0</v>
      </c>
      <c r="W1172" s="221">
        <f>X1172+Y1172+Z1172+AA1172+AB1172+AD1172+AF1172+AH1172+AJ1172+AL1172+AN1172+AO1172</f>
        <v>4142.3445843457775</v>
      </c>
      <c r="X1172" s="221">
        <v>0</v>
      </c>
      <c r="Y1172" s="222">
        <v>0</v>
      </c>
      <c r="Z1172" s="222">
        <v>0</v>
      </c>
      <c r="AA1172" s="222">
        <v>0</v>
      </c>
      <c r="AB1172" s="222">
        <v>0</v>
      </c>
      <c r="AC1172" s="222">
        <v>0</v>
      </c>
      <c r="AD1172" s="222">
        <v>0</v>
      </c>
      <c r="AE1172" s="222">
        <v>0</v>
      </c>
      <c r="AF1172" s="221">
        <v>0</v>
      </c>
      <c r="AG1172" s="222">
        <v>0</v>
      </c>
      <c r="AH1172" s="221">
        <v>0</v>
      </c>
      <c r="AI1172" s="222">
        <v>782.6</v>
      </c>
      <c r="AJ1172" s="221">
        <f>7439.1*AI1172/I1172</f>
        <v>1428.9177674692585</v>
      </c>
      <c r="AK1172" s="222">
        <v>144</v>
      </c>
      <c r="AL1172" s="221">
        <f>76773.02*AK1172/I1172</f>
        <v>2713.4268168765188</v>
      </c>
      <c r="AM1172" s="222">
        <v>0</v>
      </c>
      <c r="AN1172" s="222"/>
      <c r="AO1172" s="222">
        <v>0</v>
      </c>
    </row>
    <row r="1173" spans="1:191" s="223" customFormat="1" ht="36" customHeight="1" x14ac:dyDescent="0.25">
      <c r="B1173" s="215" t="s">
        <v>818</v>
      </c>
      <c r="C1173" s="215"/>
      <c r="D1173" s="217" t="s">
        <v>890</v>
      </c>
      <c r="E1173" s="217" t="s">
        <v>890</v>
      </c>
      <c r="F1173" s="217" t="s">
        <v>890</v>
      </c>
      <c r="G1173" s="217" t="s">
        <v>890</v>
      </c>
      <c r="H1173" s="217" t="s">
        <v>890</v>
      </c>
      <c r="I1173" s="218">
        <f>SUM(I1174:I1175)</f>
        <v>6442.65</v>
      </c>
      <c r="J1173" s="218">
        <f>SUM(J1174:J1175)</f>
        <v>4839.5</v>
      </c>
      <c r="K1173" s="218">
        <f>SUM(K1174:K1175)</f>
        <v>4755.2999999999993</v>
      </c>
      <c r="L1173" s="219">
        <f>SUM(L1174:L1175)</f>
        <v>188</v>
      </c>
      <c r="M1173" s="217" t="s">
        <v>890</v>
      </c>
      <c r="N1173" s="217" t="s">
        <v>890</v>
      </c>
      <c r="O1173" s="220" t="s">
        <v>890</v>
      </c>
      <c r="P1173" s="218">
        <v>8756823</v>
      </c>
      <c r="Q1173" s="218">
        <f>SUM(Q1174:Q1175)</f>
        <v>0</v>
      </c>
      <c r="R1173" s="218">
        <f>SUM(R1174:R1175)</f>
        <v>0</v>
      </c>
      <c r="S1173" s="218">
        <f>SUM(S1174:S1175)</f>
        <v>8756823</v>
      </c>
      <c r="T1173" s="190">
        <f t="shared" si="151"/>
        <v>1359.1958278037764</v>
      </c>
      <c r="U1173" s="190">
        <f>MAX(U1174:U1175)</f>
        <v>2120.6011993726356</v>
      </c>
      <c r="V1173" s="221">
        <f t="shared" si="152"/>
        <v>761.40537156885921</v>
      </c>
      <c r="W1173" s="221"/>
      <c r="X1173" s="221"/>
      <c r="Y1173" s="222"/>
      <c r="Z1173" s="222"/>
      <c r="AA1173" s="222"/>
      <c r="AB1173" s="222"/>
      <c r="AC1173" s="222"/>
      <c r="AD1173" s="222"/>
      <c r="AE1173" s="222"/>
      <c r="AF1173" s="222"/>
      <c r="AG1173" s="222"/>
      <c r="AH1173" s="222"/>
      <c r="AI1173" s="222"/>
      <c r="AJ1173" s="222"/>
      <c r="AK1173" s="222"/>
      <c r="AL1173" s="222"/>
      <c r="AM1173" s="222"/>
      <c r="AN1173" s="222"/>
      <c r="AO1173" s="222"/>
    </row>
    <row r="1174" spans="1:191" s="223" customFormat="1" ht="36" customHeight="1" x14ac:dyDescent="0.25">
      <c r="A1174" s="223">
        <v>1</v>
      </c>
      <c r="B1174" s="225">
        <f>SUBTOTAL(103,$A$1030:A1174)</f>
        <v>137</v>
      </c>
      <c r="C1174" s="215" t="s">
        <v>651</v>
      </c>
      <c r="D1174" s="217">
        <v>1986</v>
      </c>
      <c r="E1174" s="217"/>
      <c r="F1174" s="226" t="s">
        <v>267</v>
      </c>
      <c r="G1174" s="217">
        <v>5</v>
      </c>
      <c r="H1174" s="217" t="s">
        <v>308</v>
      </c>
      <c r="I1174" s="218">
        <v>3732.9</v>
      </c>
      <c r="J1174" s="218">
        <v>2826.7</v>
      </c>
      <c r="K1174" s="218">
        <v>2826.7</v>
      </c>
      <c r="L1174" s="219">
        <v>115</v>
      </c>
      <c r="M1174" s="217" t="s">
        <v>265</v>
      </c>
      <c r="N1174" s="217" t="s">
        <v>269</v>
      </c>
      <c r="O1174" s="220" t="s">
        <v>713</v>
      </c>
      <c r="P1174" s="190">
        <v>4146680</v>
      </c>
      <c r="Q1174" s="190">
        <v>0</v>
      </c>
      <c r="R1174" s="190">
        <v>0</v>
      </c>
      <c r="S1174" s="190">
        <f>P1174-Q1174-R1174</f>
        <v>4146680</v>
      </c>
      <c r="T1174" s="190">
        <f t="shared" si="151"/>
        <v>1110.8467947172439</v>
      </c>
      <c r="U1174" s="190">
        <v>1446.9691124862707</v>
      </c>
      <c r="V1174" s="221">
        <f t="shared" si="152"/>
        <v>336.12231776902672</v>
      </c>
      <c r="W1174" s="221">
        <f>X1174+Y1174+Z1174+AA1174+AB1174+AD1174+AF1174+AH1174+AJ1174+AL1174+AN1174+AO1174</f>
        <v>1387.2043987248519</v>
      </c>
      <c r="X1174" s="221">
        <v>0</v>
      </c>
      <c r="Y1174" s="222">
        <v>0</v>
      </c>
      <c r="Z1174" s="222">
        <v>0</v>
      </c>
      <c r="AA1174" s="222">
        <v>0</v>
      </c>
      <c r="AB1174" s="222">
        <v>0</v>
      </c>
      <c r="AC1174" s="222">
        <v>0</v>
      </c>
      <c r="AD1174" s="222">
        <v>0</v>
      </c>
      <c r="AE1174" s="222">
        <v>830</v>
      </c>
      <c r="AF1174" s="221">
        <f>6238.91*AE1174/I1174</f>
        <v>1387.2043987248519</v>
      </c>
      <c r="AG1174" s="222">
        <v>0</v>
      </c>
      <c r="AH1174" s="221">
        <v>0</v>
      </c>
      <c r="AI1174" s="222">
        <v>0</v>
      </c>
      <c r="AJ1174" s="221">
        <v>0</v>
      </c>
      <c r="AK1174" s="222">
        <v>0</v>
      </c>
      <c r="AL1174" s="222">
        <v>0</v>
      </c>
      <c r="AM1174" s="222">
        <v>0</v>
      </c>
      <c r="AN1174" s="222"/>
      <c r="AO1174" s="222">
        <v>0</v>
      </c>
    </row>
    <row r="1175" spans="1:191" s="223" customFormat="1" ht="36" customHeight="1" x14ac:dyDescent="0.25">
      <c r="A1175" s="223">
        <v>1</v>
      </c>
      <c r="B1175" s="225">
        <f>SUBTOTAL(103,$A$1030:A1175)</f>
        <v>138</v>
      </c>
      <c r="C1175" s="215" t="s">
        <v>654</v>
      </c>
      <c r="D1175" s="217">
        <v>1964</v>
      </c>
      <c r="E1175" s="217"/>
      <c r="F1175" s="226" t="s">
        <v>267</v>
      </c>
      <c r="G1175" s="217">
        <v>4</v>
      </c>
      <c r="H1175" s="217" t="s">
        <v>312</v>
      </c>
      <c r="I1175" s="218">
        <v>2709.75</v>
      </c>
      <c r="J1175" s="218">
        <v>2012.8</v>
      </c>
      <c r="K1175" s="218">
        <v>1928.6</v>
      </c>
      <c r="L1175" s="219">
        <v>73</v>
      </c>
      <c r="M1175" s="217" t="s">
        <v>265</v>
      </c>
      <c r="N1175" s="217" t="s">
        <v>269</v>
      </c>
      <c r="O1175" s="220" t="s">
        <v>991</v>
      </c>
      <c r="P1175" s="190">
        <v>4610143</v>
      </c>
      <c r="Q1175" s="190">
        <v>0</v>
      </c>
      <c r="R1175" s="190">
        <v>0</v>
      </c>
      <c r="S1175" s="190">
        <f>P1175-Q1175-R1175</f>
        <v>4610143</v>
      </c>
      <c r="T1175" s="190">
        <f t="shared" si="151"/>
        <v>1701.3167266352984</v>
      </c>
      <c r="U1175" s="190">
        <v>2120.6011993726356</v>
      </c>
      <c r="V1175" s="221">
        <f t="shared" si="152"/>
        <v>419.28447273733718</v>
      </c>
      <c r="W1175" s="221">
        <f>X1175+Y1175+Z1175+AA1175+AB1175+AD1175+AF1175+AH1175+AJ1175+AL1175+AN1175+AO1175</f>
        <v>2033.0132041701265</v>
      </c>
      <c r="X1175" s="221">
        <v>0</v>
      </c>
      <c r="Y1175" s="222">
        <v>0</v>
      </c>
      <c r="Z1175" s="222">
        <v>0</v>
      </c>
      <c r="AA1175" s="222">
        <v>0</v>
      </c>
      <c r="AB1175" s="222">
        <v>0</v>
      </c>
      <c r="AC1175" s="222">
        <v>0</v>
      </c>
      <c r="AD1175" s="222">
        <v>0</v>
      </c>
      <c r="AE1175" s="222">
        <v>883</v>
      </c>
      <c r="AF1175" s="221">
        <f>6238.91*AE1175/I1175</f>
        <v>2033.0132041701265</v>
      </c>
      <c r="AG1175" s="222">
        <v>0</v>
      </c>
      <c r="AH1175" s="221">
        <v>0</v>
      </c>
      <c r="AI1175" s="222">
        <v>0</v>
      </c>
      <c r="AJ1175" s="221">
        <v>0</v>
      </c>
      <c r="AK1175" s="222">
        <v>0</v>
      </c>
      <c r="AL1175" s="222">
        <v>0</v>
      </c>
      <c r="AM1175" s="222">
        <v>0</v>
      </c>
      <c r="AN1175" s="222"/>
      <c r="AO1175" s="222">
        <v>0</v>
      </c>
    </row>
    <row r="1176" spans="1:191" s="223" customFormat="1" ht="36" customHeight="1" x14ac:dyDescent="0.25">
      <c r="B1176" s="215" t="s">
        <v>819</v>
      </c>
      <c r="C1176" s="227"/>
      <c r="D1176" s="217" t="s">
        <v>890</v>
      </c>
      <c r="E1176" s="217" t="s">
        <v>890</v>
      </c>
      <c r="F1176" s="217" t="s">
        <v>890</v>
      </c>
      <c r="G1176" s="217" t="s">
        <v>890</v>
      </c>
      <c r="H1176" s="217" t="s">
        <v>890</v>
      </c>
      <c r="I1176" s="218">
        <f>I1177</f>
        <v>1801.1</v>
      </c>
      <c r="J1176" s="218">
        <f>J1177</f>
        <v>1650.5</v>
      </c>
      <c r="K1176" s="218">
        <f>K1177</f>
        <v>277.10000000000002</v>
      </c>
      <c r="L1176" s="219">
        <f>L1177</f>
        <v>87</v>
      </c>
      <c r="M1176" s="217" t="s">
        <v>890</v>
      </c>
      <c r="N1176" s="217" t="s">
        <v>890</v>
      </c>
      <c r="O1176" s="220" t="s">
        <v>890</v>
      </c>
      <c r="P1176" s="190">
        <v>4369866.08</v>
      </c>
      <c r="Q1176" s="190">
        <f>Q1177</f>
        <v>0</v>
      </c>
      <c r="R1176" s="190">
        <f>R1177</f>
        <v>0</v>
      </c>
      <c r="S1176" s="190">
        <f>S1177</f>
        <v>4369866.08</v>
      </c>
      <c r="T1176" s="190">
        <f t="shared" si="151"/>
        <v>2426.2206873577261</v>
      </c>
      <c r="U1176" s="190">
        <f>U1177</f>
        <v>4346.6565432235857</v>
      </c>
      <c r="V1176" s="221">
        <f t="shared" si="152"/>
        <v>1920.4358558658596</v>
      </c>
      <c r="W1176" s="221"/>
      <c r="X1176" s="221"/>
      <c r="Y1176" s="222"/>
      <c r="Z1176" s="222"/>
      <c r="AA1176" s="222"/>
      <c r="AB1176" s="222"/>
      <c r="AC1176" s="222"/>
      <c r="AD1176" s="222"/>
      <c r="AE1176" s="222"/>
      <c r="AF1176" s="222"/>
      <c r="AG1176" s="222"/>
      <c r="AH1176" s="222"/>
      <c r="AI1176" s="222"/>
      <c r="AJ1176" s="222"/>
      <c r="AK1176" s="222"/>
      <c r="AL1176" s="222"/>
      <c r="AM1176" s="222"/>
      <c r="AN1176" s="222"/>
      <c r="AO1176" s="222"/>
    </row>
    <row r="1177" spans="1:191" s="154" customFormat="1" ht="36" customHeight="1" x14ac:dyDescent="0.25">
      <c r="A1177" s="223">
        <v>1</v>
      </c>
      <c r="B1177" s="225">
        <f>SUBTOTAL(103,$A$1030:A1177)</f>
        <v>139</v>
      </c>
      <c r="C1177" s="232" t="s">
        <v>674</v>
      </c>
      <c r="D1177" s="217">
        <v>1978</v>
      </c>
      <c r="E1177" s="217"/>
      <c r="F1177" s="233" t="s">
        <v>267</v>
      </c>
      <c r="G1177" s="217" t="s">
        <v>312</v>
      </c>
      <c r="H1177" s="217" t="s">
        <v>312</v>
      </c>
      <c r="I1177" s="218">
        <v>1801.1</v>
      </c>
      <c r="J1177" s="218">
        <v>1650.5</v>
      </c>
      <c r="K1177" s="218">
        <v>277.10000000000002</v>
      </c>
      <c r="L1177" s="231">
        <v>87</v>
      </c>
      <c r="M1177" s="217" t="s">
        <v>265</v>
      </c>
      <c r="N1177" s="217" t="s">
        <v>269</v>
      </c>
      <c r="O1177" s="217" t="s">
        <v>720</v>
      </c>
      <c r="P1177" s="218">
        <v>4369866.08</v>
      </c>
      <c r="Q1177" s="218">
        <v>0</v>
      </c>
      <c r="R1177" s="218">
        <v>0</v>
      </c>
      <c r="S1177" s="218">
        <f>P1177-Q1177-R1177</f>
        <v>4369866.08</v>
      </c>
      <c r="T1177" s="190">
        <f t="shared" si="151"/>
        <v>2426.2206873577261</v>
      </c>
      <c r="U1177" s="190">
        <v>4346.6565432235857</v>
      </c>
      <c r="V1177" s="221">
        <f>U1177-T1177</f>
        <v>1920.4358558658596</v>
      </c>
      <c r="W1177" s="221">
        <f>X1177+Y1177+Z1177+AA1177+AB1177+AD1177+AF1177+AH1177+AJ1177+AL1177+AN1177+AO1177</f>
        <v>4167.1249403142519</v>
      </c>
      <c r="X1177" s="221">
        <v>0</v>
      </c>
      <c r="Y1177" s="222">
        <v>0</v>
      </c>
      <c r="Z1177" s="222">
        <v>0</v>
      </c>
      <c r="AA1177" s="222">
        <v>0</v>
      </c>
      <c r="AB1177" s="222">
        <v>0</v>
      </c>
      <c r="AC1177" s="222">
        <v>0</v>
      </c>
      <c r="AD1177" s="222">
        <v>0</v>
      </c>
      <c r="AE1177" s="222">
        <v>1203</v>
      </c>
      <c r="AF1177" s="221">
        <f>6238.91*AE1177/I1177</f>
        <v>4167.1249403142519</v>
      </c>
      <c r="AG1177" s="222">
        <v>0</v>
      </c>
      <c r="AH1177" s="221">
        <v>0</v>
      </c>
      <c r="AI1177" s="222">
        <v>0</v>
      </c>
      <c r="AJ1177" s="221">
        <v>0</v>
      </c>
      <c r="AK1177" s="222">
        <v>0</v>
      </c>
      <c r="AL1177" s="222">
        <v>0</v>
      </c>
      <c r="AM1177" s="222">
        <v>0</v>
      </c>
      <c r="AN1177" s="222"/>
      <c r="AO1177" s="222">
        <v>0</v>
      </c>
      <c r="AP1177" s="223"/>
      <c r="DQ1177" s="234"/>
      <c r="DR1177" s="234"/>
      <c r="DS1177" s="234"/>
      <c r="EP1177" s="235"/>
      <c r="FS1177" s="236"/>
      <c r="GI1177" s="237"/>
    </row>
    <row r="1178" spans="1:191" s="223" customFormat="1" ht="36" customHeight="1" x14ac:dyDescent="0.25">
      <c r="B1178" s="215" t="s">
        <v>820</v>
      </c>
      <c r="C1178" s="215"/>
      <c r="D1178" s="217" t="s">
        <v>890</v>
      </c>
      <c r="E1178" s="217" t="s">
        <v>890</v>
      </c>
      <c r="F1178" s="217" t="s">
        <v>890</v>
      </c>
      <c r="G1178" s="217" t="s">
        <v>890</v>
      </c>
      <c r="H1178" s="217" t="s">
        <v>890</v>
      </c>
      <c r="I1178" s="218">
        <f>I1179</f>
        <v>1070.8</v>
      </c>
      <c r="J1178" s="218">
        <f>J1179</f>
        <v>1070.8</v>
      </c>
      <c r="K1178" s="218">
        <f>K1179</f>
        <v>942</v>
      </c>
      <c r="L1178" s="219">
        <f>L1179</f>
        <v>57</v>
      </c>
      <c r="M1178" s="217" t="s">
        <v>890</v>
      </c>
      <c r="N1178" s="217" t="s">
        <v>890</v>
      </c>
      <c r="O1178" s="220" t="s">
        <v>890</v>
      </c>
      <c r="P1178" s="190">
        <v>2936950.21</v>
      </c>
      <c r="Q1178" s="190">
        <f>Q1179</f>
        <v>0</v>
      </c>
      <c r="R1178" s="190">
        <f>R1179</f>
        <v>0</v>
      </c>
      <c r="S1178" s="190">
        <f>S1179</f>
        <v>2936950.21</v>
      </c>
      <c r="T1178" s="190">
        <f t="shared" si="151"/>
        <v>2742.7626167351514</v>
      </c>
      <c r="U1178" s="190">
        <f>U1179</f>
        <v>5467.4745050429592</v>
      </c>
      <c r="V1178" s="221">
        <f t="shared" si="152"/>
        <v>2724.7118883078078</v>
      </c>
      <c r="W1178" s="221"/>
      <c r="X1178" s="221"/>
      <c r="Y1178" s="222"/>
      <c r="Z1178" s="222"/>
      <c r="AA1178" s="222"/>
      <c r="AB1178" s="222"/>
      <c r="AC1178" s="222"/>
      <c r="AD1178" s="222"/>
      <c r="AE1178" s="222"/>
      <c r="AF1178" s="222"/>
      <c r="AG1178" s="222"/>
      <c r="AH1178" s="222"/>
      <c r="AI1178" s="222"/>
      <c r="AJ1178" s="222"/>
      <c r="AK1178" s="222"/>
      <c r="AL1178" s="222"/>
      <c r="AM1178" s="222"/>
      <c r="AN1178" s="222"/>
      <c r="AO1178" s="222"/>
    </row>
    <row r="1179" spans="1:191" s="154" customFormat="1" ht="36" customHeight="1" x14ac:dyDescent="0.25">
      <c r="A1179" s="223">
        <v>1</v>
      </c>
      <c r="B1179" s="225">
        <f>SUBTOTAL(103,$A$1030:A1179)</f>
        <v>140</v>
      </c>
      <c r="C1179" s="232" t="s">
        <v>688</v>
      </c>
      <c r="D1179" s="217">
        <v>1979</v>
      </c>
      <c r="E1179" s="217"/>
      <c r="F1179" s="233" t="s">
        <v>267</v>
      </c>
      <c r="G1179" s="217">
        <v>2</v>
      </c>
      <c r="H1179" s="217" t="s">
        <v>312</v>
      </c>
      <c r="I1179" s="218">
        <v>1070.8</v>
      </c>
      <c r="J1179" s="218">
        <v>1070.8</v>
      </c>
      <c r="K1179" s="218">
        <v>942</v>
      </c>
      <c r="L1179" s="231">
        <v>57</v>
      </c>
      <c r="M1179" s="217" t="s">
        <v>265</v>
      </c>
      <c r="N1179" s="217" t="s">
        <v>341</v>
      </c>
      <c r="O1179" s="217" t="s">
        <v>724</v>
      </c>
      <c r="P1179" s="218">
        <v>2936950.21</v>
      </c>
      <c r="Q1179" s="218">
        <v>0</v>
      </c>
      <c r="R1179" s="218">
        <v>0</v>
      </c>
      <c r="S1179" s="218">
        <f>P1179-Q1179-R1179</f>
        <v>2936950.21</v>
      </c>
      <c r="T1179" s="190">
        <f t="shared" si="151"/>
        <v>2742.7626167351514</v>
      </c>
      <c r="U1179" s="190">
        <v>5467.4745050429592</v>
      </c>
      <c r="V1179" s="221">
        <f>U1179-T1179</f>
        <v>2724.7118883078078</v>
      </c>
      <c r="W1179" s="221">
        <f>X1179+Y1179+Z1179+AA1179+AB1179+AD1179+AF1179+AH1179+AJ1179+AL1179+AN1179+AO1179</f>
        <v>5467.4745050429592</v>
      </c>
      <c r="X1179" s="221">
        <v>0</v>
      </c>
      <c r="Y1179" s="222">
        <v>0</v>
      </c>
      <c r="Z1179" s="222">
        <v>0</v>
      </c>
      <c r="AA1179" s="222">
        <v>0</v>
      </c>
      <c r="AB1179" s="222">
        <v>0</v>
      </c>
      <c r="AC1179" s="222">
        <v>0</v>
      </c>
      <c r="AD1179" s="222">
        <v>0</v>
      </c>
      <c r="AE1179" s="222">
        <v>0</v>
      </c>
      <c r="AF1179" s="221">
        <v>0</v>
      </c>
      <c r="AG1179" s="222">
        <v>0</v>
      </c>
      <c r="AH1179" s="221">
        <v>0</v>
      </c>
      <c r="AI1179" s="222">
        <v>787</v>
      </c>
      <c r="AJ1179" s="221">
        <f>7439.1*AI1179/I1179</f>
        <v>5467.4745050429592</v>
      </c>
      <c r="AK1179" s="222">
        <v>0</v>
      </c>
      <c r="AL1179" s="222">
        <v>0</v>
      </c>
      <c r="AM1179" s="222">
        <v>0</v>
      </c>
      <c r="AN1179" s="222"/>
      <c r="AO1179" s="222">
        <v>0</v>
      </c>
      <c r="AP1179" s="223"/>
      <c r="DQ1179" s="234"/>
      <c r="DR1179" s="234"/>
      <c r="DS1179" s="234"/>
      <c r="EP1179" s="235"/>
      <c r="FS1179" s="236"/>
      <c r="GI1179" s="237"/>
    </row>
    <row r="1180" spans="1:191" s="223" customFormat="1" ht="36" customHeight="1" x14ac:dyDescent="0.25">
      <c r="B1180" s="215" t="s">
        <v>821</v>
      </c>
      <c r="C1180" s="215"/>
      <c r="D1180" s="217" t="s">
        <v>890</v>
      </c>
      <c r="E1180" s="217" t="s">
        <v>890</v>
      </c>
      <c r="F1180" s="217" t="s">
        <v>890</v>
      </c>
      <c r="G1180" s="217" t="s">
        <v>890</v>
      </c>
      <c r="H1180" s="217" t="s">
        <v>890</v>
      </c>
      <c r="I1180" s="218">
        <f>I1181+I1182</f>
        <v>1547.1</v>
      </c>
      <c r="J1180" s="218">
        <f>J1181+J1182</f>
        <v>1426.8</v>
      </c>
      <c r="K1180" s="218">
        <f>K1181+K1182</f>
        <v>275.39999999999998</v>
      </c>
      <c r="L1180" s="219">
        <f>L1181+L1182</f>
        <v>72</v>
      </c>
      <c r="M1180" s="217" t="s">
        <v>890</v>
      </c>
      <c r="N1180" s="217" t="s">
        <v>890</v>
      </c>
      <c r="O1180" s="220" t="s">
        <v>890</v>
      </c>
      <c r="P1180" s="190">
        <v>2773728.46</v>
      </c>
      <c r="Q1180" s="190">
        <f>Q1181+Q1182</f>
        <v>0</v>
      </c>
      <c r="R1180" s="190">
        <f>R1181+R1182</f>
        <v>0</v>
      </c>
      <c r="S1180" s="190">
        <f>S1181+S1182</f>
        <v>2773728.46</v>
      </c>
      <c r="T1180" s="190">
        <f t="shared" si="151"/>
        <v>1792.8566091396808</v>
      </c>
      <c r="U1180" s="190">
        <f>MAX(U1181:U1182)</f>
        <v>3776.4143411569025</v>
      </c>
      <c r="V1180" s="221">
        <f t="shared" si="152"/>
        <v>1983.5577320172217</v>
      </c>
      <c r="W1180" s="221"/>
      <c r="X1180" s="221"/>
      <c r="Y1180" s="222"/>
      <c r="Z1180" s="222"/>
      <c r="AA1180" s="222"/>
      <c r="AB1180" s="222"/>
      <c r="AC1180" s="222"/>
      <c r="AD1180" s="222"/>
      <c r="AE1180" s="222"/>
      <c r="AF1180" s="222"/>
      <c r="AG1180" s="222"/>
      <c r="AH1180" s="222"/>
      <c r="AI1180" s="222"/>
      <c r="AJ1180" s="222"/>
      <c r="AK1180" s="222"/>
      <c r="AL1180" s="222"/>
      <c r="AM1180" s="222"/>
      <c r="AN1180" s="222"/>
      <c r="AO1180" s="222"/>
    </row>
    <row r="1181" spans="1:191" s="154" customFormat="1" ht="36" customHeight="1" x14ac:dyDescent="0.25">
      <c r="A1181" s="223">
        <v>1</v>
      </c>
      <c r="B1181" s="225">
        <f>SUBTOTAL(103,$A$1030:A1181)</f>
        <v>141</v>
      </c>
      <c r="C1181" s="232" t="s">
        <v>681</v>
      </c>
      <c r="D1181" s="217">
        <v>1971</v>
      </c>
      <c r="E1181" s="217"/>
      <c r="F1181" s="233" t="s">
        <v>267</v>
      </c>
      <c r="G1181" s="217">
        <v>3</v>
      </c>
      <c r="H1181" s="217" t="s">
        <v>303</v>
      </c>
      <c r="I1181" s="218">
        <v>1082.2</v>
      </c>
      <c r="J1181" s="218">
        <v>1018.1</v>
      </c>
      <c r="K1181" s="218">
        <v>114.5</v>
      </c>
      <c r="L1181" s="231">
        <v>44</v>
      </c>
      <c r="M1181" s="217" t="s">
        <v>265</v>
      </c>
      <c r="N1181" s="217" t="s">
        <v>266</v>
      </c>
      <c r="O1181" s="217" t="s">
        <v>268</v>
      </c>
      <c r="P1181" s="218">
        <v>2539091.92</v>
      </c>
      <c r="Q1181" s="218">
        <v>0</v>
      </c>
      <c r="R1181" s="218">
        <v>0</v>
      </c>
      <c r="S1181" s="218">
        <f>P1181-Q1181-R1181</f>
        <v>2539091.92</v>
      </c>
      <c r="T1181" s="190">
        <f t="shared" si="151"/>
        <v>2346.2316762151172</v>
      </c>
      <c r="U1181" s="190">
        <v>3776.4143411569025</v>
      </c>
      <c r="V1181" s="221">
        <f t="shared" si="152"/>
        <v>1430.1826649417853</v>
      </c>
      <c r="W1181" s="221">
        <f>X1181+Y1181+Z1181+AA1181+AB1181+AD1181+AF1181+AH1181+AJ1181+AL1181+AN1181+AO1181</f>
        <v>3620.4356680835335</v>
      </c>
      <c r="X1181" s="221">
        <v>0</v>
      </c>
      <c r="Y1181" s="222">
        <v>0</v>
      </c>
      <c r="Z1181" s="222">
        <v>0</v>
      </c>
      <c r="AA1181" s="222">
        <v>0</v>
      </c>
      <c r="AB1181" s="222">
        <v>0</v>
      </c>
      <c r="AC1181" s="222">
        <v>0</v>
      </c>
      <c r="AD1181" s="222">
        <v>0</v>
      </c>
      <c r="AE1181" s="222">
        <v>628</v>
      </c>
      <c r="AF1181" s="221">
        <f>6238.91*AE1181/I1181</f>
        <v>3620.4356680835335</v>
      </c>
      <c r="AG1181" s="222">
        <v>0</v>
      </c>
      <c r="AH1181" s="221">
        <v>0</v>
      </c>
      <c r="AI1181" s="222">
        <v>0</v>
      </c>
      <c r="AJ1181" s="221">
        <v>0</v>
      </c>
      <c r="AK1181" s="222">
        <v>0</v>
      </c>
      <c r="AL1181" s="222">
        <v>0</v>
      </c>
      <c r="AM1181" s="222">
        <v>0</v>
      </c>
      <c r="AN1181" s="222"/>
      <c r="AO1181" s="222">
        <v>0</v>
      </c>
      <c r="AP1181" s="223"/>
      <c r="DQ1181" s="234"/>
      <c r="DR1181" s="234"/>
      <c r="DS1181" s="234"/>
      <c r="EP1181" s="235"/>
      <c r="FS1181" s="236"/>
      <c r="GI1181" s="237"/>
    </row>
    <row r="1182" spans="1:191" s="154" customFormat="1" ht="36" customHeight="1" x14ac:dyDescent="0.25">
      <c r="A1182" s="223">
        <v>1</v>
      </c>
      <c r="B1182" s="225">
        <f>SUBTOTAL(103,$A$1030:A1182)</f>
        <v>142</v>
      </c>
      <c r="C1182" s="232" t="s">
        <v>691</v>
      </c>
      <c r="D1182" s="217">
        <v>1968</v>
      </c>
      <c r="E1182" s="217"/>
      <c r="F1182" s="233" t="s">
        <v>267</v>
      </c>
      <c r="G1182" s="217">
        <v>2</v>
      </c>
      <c r="H1182" s="217" t="s">
        <v>303</v>
      </c>
      <c r="I1182" s="218">
        <v>464.9</v>
      </c>
      <c r="J1182" s="218">
        <v>408.7</v>
      </c>
      <c r="K1182" s="218">
        <v>160.9</v>
      </c>
      <c r="L1182" s="231">
        <v>28</v>
      </c>
      <c r="M1182" s="217" t="s">
        <v>265</v>
      </c>
      <c r="N1182" s="217" t="s">
        <v>266</v>
      </c>
      <c r="O1182" s="217" t="s">
        <v>268</v>
      </c>
      <c r="P1182" s="218">
        <v>234636.54</v>
      </c>
      <c r="Q1182" s="218">
        <v>0</v>
      </c>
      <c r="R1182" s="218">
        <v>0</v>
      </c>
      <c r="S1182" s="218">
        <f>P1182-Q1182-R1182</f>
        <v>234636.54</v>
      </c>
      <c r="T1182" s="190">
        <f t="shared" si="151"/>
        <v>504.70324801032484</v>
      </c>
      <c r="U1182" s="190">
        <v>810.46</v>
      </c>
      <c r="V1182" s="221">
        <f t="shared" si="152"/>
        <v>305.75675198967519</v>
      </c>
      <c r="W1182" s="221">
        <f>X1182+Y1182+Z1182+AA1182+AB1182+AD1182+AF1182+AH1182+AJ1182+AL1182+AN1182+AO1182</f>
        <v>795.31</v>
      </c>
      <c r="X1182" s="221">
        <v>0</v>
      </c>
      <c r="Y1182" s="222">
        <v>0</v>
      </c>
      <c r="Z1182" s="222">
        <v>0</v>
      </c>
      <c r="AA1182" s="222">
        <v>0</v>
      </c>
      <c r="AB1182" s="222">
        <v>795.31</v>
      </c>
      <c r="AC1182" s="222">
        <v>0</v>
      </c>
      <c r="AD1182" s="222">
        <v>0</v>
      </c>
      <c r="AE1182" s="222">
        <v>0</v>
      </c>
      <c r="AF1182" s="221">
        <v>0</v>
      </c>
      <c r="AG1182" s="222">
        <v>0</v>
      </c>
      <c r="AH1182" s="221">
        <v>0</v>
      </c>
      <c r="AI1182" s="222">
        <v>0</v>
      </c>
      <c r="AJ1182" s="221">
        <v>0</v>
      </c>
      <c r="AK1182" s="222">
        <v>0</v>
      </c>
      <c r="AL1182" s="222">
        <v>0</v>
      </c>
      <c r="AM1182" s="222">
        <v>0</v>
      </c>
      <c r="AN1182" s="222"/>
      <c r="AO1182" s="222">
        <v>0</v>
      </c>
      <c r="AP1182" s="223"/>
      <c r="DQ1182" s="234"/>
      <c r="DR1182" s="234"/>
      <c r="DS1182" s="234"/>
      <c r="EP1182" s="235"/>
      <c r="FS1182" s="236"/>
      <c r="GI1182" s="237"/>
    </row>
    <row r="1183" spans="1:191" s="223" customFormat="1" ht="36" customHeight="1" x14ac:dyDescent="0.25">
      <c r="B1183" s="215" t="s">
        <v>884</v>
      </c>
      <c r="C1183" s="215"/>
      <c r="D1183" s="217" t="s">
        <v>890</v>
      </c>
      <c r="E1183" s="217" t="s">
        <v>890</v>
      </c>
      <c r="F1183" s="217" t="s">
        <v>890</v>
      </c>
      <c r="G1183" s="217" t="s">
        <v>890</v>
      </c>
      <c r="H1183" s="217" t="s">
        <v>890</v>
      </c>
      <c r="I1183" s="218">
        <f>I1184</f>
        <v>520.79999999999995</v>
      </c>
      <c r="J1183" s="218">
        <f>J1184</f>
        <v>455.1</v>
      </c>
      <c r="K1183" s="218">
        <f>K1184</f>
        <v>413.6</v>
      </c>
      <c r="L1183" s="219">
        <f>L1184</f>
        <v>32</v>
      </c>
      <c r="M1183" s="217" t="s">
        <v>890</v>
      </c>
      <c r="N1183" s="217" t="s">
        <v>890</v>
      </c>
      <c r="O1183" s="220" t="s">
        <v>890</v>
      </c>
      <c r="P1183" s="190">
        <v>2158336.3499999996</v>
      </c>
      <c r="Q1183" s="190">
        <f>Q1184</f>
        <v>0</v>
      </c>
      <c r="R1183" s="190">
        <f>R1184</f>
        <v>0</v>
      </c>
      <c r="S1183" s="190">
        <f>S1184</f>
        <v>2158336.3499999996</v>
      </c>
      <c r="T1183" s="190">
        <f t="shared" si="151"/>
        <v>4144.2710253456216</v>
      </c>
      <c r="U1183" s="190">
        <f>U1184</f>
        <v>4910.7644009216592</v>
      </c>
      <c r="V1183" s="221">
        <f t="shared" si="152"/>
        <v>766.49337557603758</v>
      </c>
      <c r="W1183" s="221"/>
      <c r="X1183" s="221"/>
      <c r="Y1183" s="222"/>
      <c r="Z1183" s="222"/>
      <c r="AA1183" s="222"/>
      <c r="AB1183" s="222"/>
      <c r="AC1183" s="222"/>
      <c r="AD1183" s="222"/>
      <c r="AE1183" s="222"/>
      <c r="AF1183" s="222"/>
      <c r="AG1183" s="222"/>
      <c r="AH1183" s="222"/>
      <c r="AI1183" s="222"/>
      <c r="AJ1183" s="222"/>
      <c r="AK1183" s="222"/>
      <c r="AL1183" s="222"/>
      <c r="AM1183" s="222"/>
      <c r="AN1183" s="222"/>
      <c r="AO1183" s="222"/>
    </row>
    <row r="1184" spans="1:191" s="154" customFormat="1" ht="36" customHeight="1" x14ac:dyDescent="0.25">
      <c r="A1184" s="223">
        <v>1</v>
      </c>
      <c r="B1184" s="225">
        <f>SUBTOTAL(103,$A$1030:A1184)</f>
        <v>143</v>
      </c>
      <c r="C1184" s="232" t="s">
        <v>673</v>
      </c>
      <c r="D1184" s="217">
        <v>1962</v>
      </c>
      <c r="E1184" s="217"/>
      <c r="F1184" s="233" t="s">
        <v>267</v>
      </c>
      <c r="G1184" s="217">
        <v>2</v>
      </c>
      <c r="H1184" s="217" t="s">
        <v>303</v>
      </c>
      <c r="I1184" s="218">
        <v>520.79999999999995</v>
      </c>
      <c r="J1184" s="218">
        <v>455.1</v>
      </c>
      <c r="K1184" s="218">
        <v>413.6</v>
      </c>
      <c r="L1184" s="231">
        <v>32</v>
      </c>
      <c r="M1184" s="217" t="s">
        <v>265</v>
      </c>
      <c r="N1184" s="217" t="s">
        <v>266</v>
      </c>
      <c r="O1184" s="217" t="s">
        <v>268</v>
      </c>
      <c r="P1184" s="218">
        <v>2158336.3499999996</v>
      </c>
      <c r="Q1184" s="218">
        <v>0</v>
      </c>
      <c r="R1184" s="218">
        <v>0</v>
      </c>
      <c r="S1184" s="218">
        <f>P1184-Q1184-R1184</f>
        <v>2158336.3499999996</v>
      </c>
      <c r="T1184" s="190">
        <f t="shared" si="151"/>
        <v>4144.2710253456216</v>
      </c>
      <c r="U1184" s="190">
        <v>4910.7644009216592</v>
      </c>
      <c r="V1184" s="221">
        <f>U1184-T1184</f>
        <v>766.49337557603758</v>
      </c>
      <c r="W1184" s="221">
        <f>X1184+Y1184+Z1184+AA1184+AB1184+AD1184+AF1184+AH1184+AJ1184+AL1184+AN1184+AO1184</f>
        <v>4707.9332373271891</v>
      </c>
      <c r="X1184" s="221">
        <v>0</v>
      </c>
      <c r="Y1184" s="222">
        <v>0</v>
      </c>
      <c r="Z1184" s="222">
        <v>0</v>
      </c>
      <c r="AA1184" s="222">
        <v>0</v>
      </c>
      <c r="AB1184" s="222">
        <v>0</v>
      </c>
      <c r="AC1184" s="222">
        <v>0</v>
      </c>
      <c r="AD1184" s="222">
        <v>0</v>
      </c>
      <c r="AE1184" s="222">
        <v>393</v>
      </c>
      <c r="AF1184" s="221">
        <f>6238.91*AE1184/I1184</f>
        <v>4707.9332373271891</v>
      </c>
      <c r="AG1184" s="222">
        <v>0</v>
      </c>
      <c r="AH1184" s="221">
        <v>0</v>
      </c>
      <c r="AI1184" s="222">
        <v>0</v>
      </c>
      <c r="AJ1184" s="221">
        <v>0</v>
      </c>
      <c r="AK1184" s="222">
        <v>0</v>
      </c>
      <c r="AL1184" s="222">
        <v>0</v>
      </c>
      <c r="AM1184" s="222">
        <v>0</v>
      </c>
      <c r="AN1184" s="222"/>
      <c r="AO1184" s="222">
        <v>0</v>
      </c>
      <c r="AP1184" s="223"/>
      <c r="DQ1184" s="234"/>
      <c r="DR1184" s="234"/>
      <c r="DS1184" s="234"/>
      <c r="EP1184" s="235"/>
      <c r="FS1184" s="236"/>
      <c r="GI1184" s="237"/>
    </row>
    <row r="1185" spans="1:191" s="223" customFormat="1" ht="36" customHeight="1" x14ac:dyDescent="0.25">
      <c r="B1185" s="215" t="s">
        <v>822</v>
      </c>
      <c r="C1185" s="215"/>
      <c r="D1185" s="217" t="s">
        <v>890</v>
      </c>
      <c r="E1185" s="217" t="s">
        <v>890</v>
      </c>
      <c r="F1185" s="217" t="s">
        <v>890</v>
      </c>
      <c r="G1185" s="217" t="s">
        <v>890</v>
      </c>
      <c r="H1185" s="217" t="s">
        <v>890</v>
      </c>
      <c r="I1185" s="218">
        <f>I1186</f>
        <v>3156.2</v>
      </c>
      <c r="J1185" s="218">
        <f>J1186</f>
        <v>2811.5</v>
      </c>
      <c r="K1185" s="218">
        <f>K1186</f>
        <v>759.56</v>
      </c>
      <c r="L1185" s="219">
        <f>L1186</f>
        <v>151</v>
      </c>
      <c r="M1185" s="217" t="s">
        <v>890</v>
      </c>
      <c r="N1185" s="217" t="s">
        <v>890</v>
      </c>
      <c r="O1185" s="220" t="s">
        <v>890</v>
      </c>
      <c r="P1185" s="218">
        <v>2000000</v>
      </c>
      <c r="Q1185" s="218">
        <f>Q1186</f>
        <v>0</v>
      </c>
      <c r="R1185" s="218">
        <f>R1186</f>
        <v>0</v>
      </c>
      <c r="S1185" s="218">
        <f>S1186</f>
        <v>2000000</v>
      </c>
      <c r="T1185" s="190">
        <f t="shared" si="151"/>
        <v>633.67340472720366</v>
      </c>
      <c r="U1185" s="190">
        <f>U1186</f>
        <v>1391.5616025600405</v>
      </c>
      <c r="V1185" s="221">
        <f t="shared" si="152"/>
        <v>757.88819783283679</v>
      </c>
      <c r="W1185" s="221"/>
      <c r="X1185" s="221"/>
      <c r="Y1185" s="222"/>
      <c r="Z1185" s="222"/>
      <c r="AA1185" s="222"/>
      <c r="AB1185" s="222"/>
      <c r="AC1185" s="222"/>
      <c r="AD1185" s="222"/>
      <c r="AE1185" s="222"/>
      <c r="AF1185" s="222"/>
      <c r="AG1185" s="222"/>
      <c r="AH1185" s="222"/>
      <c r="AI1185" s="222"/>
      <c r="AJ1185" s="222"/>
      <c r="AK1185" s="222"/>
      <c r="AL1185" s="222"/>
      <c r="AM1185" s="222"/>
      <c r="AN1185" s="222"/>
      <c r="AO1185" s="222"/>
    </row>
    <row r="1186" spans="1:191" s="223" customFormat="1" ht="36" customHeight="1" x14ac:dyDescent="0.25">
      <c r="A1186" s="223">
        <v>1</v>
      </c>
      <c r="B1186" s="225">
        <f>SUBTOTAL(103,$A$1030:A1186)</f>
        <v>144</v>
      </c>
      <c r="C1186" s="215" t="s">
        <v>687</v>
      </c>
      <c r="D1186" s="217">
        <v>1990</v>
      </c>
      <c r="E1186" s="217"/>
      <c r="F1186" s="226" t="s">
        <v>723</v>
      </c>
      <c r="G1186" s="217">
        <v>5</v>
      </c>
      <c r="H1186" s="217" t="s">
        <v>308</v>
      </c>
      <c r="I1186" s="218">
        <v>3156.2</v>
      </c>
      <c r="J1186" s="218">
        <v>2811.5</v>
      </c>
      <c r="K1186" s="218">
        <v>759.56</v>
      </c>
      <c r="L1186" s="219">
        <v>151</v>
      </c>
      <c r="M1186" s="217" t="s">
        <v>265</v>
      </c>
      <c r="N1186" s="217" t="s">
        <v>269</v>
      </c>
      <c r="O1186" s="220" t="s">
        <v>720</v>
      </c>
      <c r="P1186" s="190">
        <v>2000000</v>
      </c>
      <c r="Q1186" s="190">
        <v>0</v>
      </c>
      <c r="R1186" s="190">
        <v>0</v>
      </c>
      <c r="S1186" s="190">
        <f>P1186-Q1186-R1186</f>
        <v>2000000</v>
      </c>
      <c r="T1186" s="190">
        <f t="shared" si="151"/>
        <v>633.67340472720366</v>
      </c>
      <c r="U1186" s="190">
        <v>1391.5616025600405</v>
      </c>
      <c r="V1186" s="221">
        <f>U1186-T1186</f>
        <v>757.88819783283679</v>
      </c>
      <c r="W1186" s="221">
        <f>X1186+Y1186+Z1186+AA1186+AB1186+AD1186+AF1186+AH1186+AJ1186+AL1186+AN1186+AO1186</f>
        <v>1334.0854061846526</v>
      </c>
      <c r="X1186" s="221">
        <v>0</v>
      </c>
      <c r="Y1186" s="222">
        <v>0</v>
      </c>
      <c r="Z1186" s="222">
        <v>0</v>
      </c>
      <c r="AA1186" s="222">
        <v>0</v>
      </c>
      <c r="AB1186" s="222">
        <v>0</v>
      </c>
      <c r="AC1186" s="222">
        <v>0</v>
      </c>
      <c r="AD1186" s="222">
        <v>0</v>
      </c>
      <c r="AE1186" s="222">
        <v>674.9</v>
      </c>
      <c r="AF1186" s="221">
        <f>6238.91*AE1186/I1186</f>
        <v>1334.0854061846526</v>
      </c>
      <c r="AG1186" s="222">
        <v>0</v>
      </c>
      <c r="AH1186" s="221">
        <v>0</v>
      </c>
      <c r="AI1186" s="222">
        <v>0</v>
      </c>
      <c r="AJ1186" s="221">
        <v>0</v>
      </c>
      <c r="AK1186" s="222">
        <v>0</v>
      </c>
      <c r="AL1186" s="222">
        <v>0</v>
      </c>
      <c r="AM1186" s="222">
        <v>0</v>
      </c>
      <c r="AN1186" s="222"/>
      <c r="AO1186" s="222">
        <v>0</v>
      </c>
    </row>
    <row r="1187" spans="1:191" s="223" customFormat="1" ht="36" customHeight="1" x14ac:dyDescent="0.25">
      <c r="B1187" s="215" t="s">
        <v>823</v>
      </c>
      <c r="C1187" s="215"/>
      <c r="D1187" s="217" t="s">
        <v>890</v>
      </c>
      <c r="E1187" s="217" t="s">
        <v>890</v>
      </c>
      <c r="F1187" s="217" t="s">
        <v>890</v>
      </c>
      <c r="G1187" s="217" t="s">
        <v>890</v>
      </c>
      <c r="H1187" s="217" t="s">
        <v>890</v>
      </c>
      <c r="I1187" s="218">
        <f>SUM(I1188:I1193)</f>
        <v>11171.599999999999</v>
      </c>
      <c r="J1187" s="218">
        <f>SUM(J1188:J1193)</f>
        <v>10726.3</v>
      </c>
      <c r="K1187" s="218">
        <f>SUM(K1188:K1193)</f>
        <v>9599</v>
      </c>
      <c r="L1187" s="219">
        <f>SUM(L1188:L1193)</f>
        <v>563</v>
      </c>
      <c r="M1187" s="217" t="s">
        <v>890</v>
      </c>
      <c r="N1187" s="217" t="s">
        <v>890</v>
      </c>
      <c r="O1187" s="220" t="s">
        <v>890</v>
      </c>
      <c r="P1187" s="190">
        <v>19139362.629999999</v>
      </c>
      <c r="Q1187" s="190">
        <f>SUM(Q1188:Q1193)</f>
        <v>0</v>
      </c>
      <c r="R1187" s="190">
        <f>SUM(R1188:R1193)</f>
        <v>0</v>
      </c>
      <c r="S1187" s="190">
        <f>SUM(S1188:S1193)</f>
        <v>19139362.629999999</v>
      </c>
      <c r="T1187" s="190">
        <f t="shared" si="151"/>
        <v>1713.2158893981168</v>
      </c>
      <c r="U1187" s="190">
        <f>MAX(U1188:U1193)</f>
        <v>9893.575757575758</v>
      </c>
      <c r="V1187" s="221">
        <f t="shared" si="152"/>
        <v>8180.3598681776411</v>
      </c>
      <c r="W1187" s="221"/>
      <c r="X1187" s="221"/>
      <c r="Y1187" s="222"/>
      <c r="Z1187" s="222"/>
      <c r="AA1187" s="222"/>
      <c r="AB1187" s="222"/>
      <c r="AC1187" s="222"/>
      <c r="AD1187" s="222"/>
      <c r="AE1187" s="222"/>
      <c r="AF1187" s="222"/>
      <c r="AG1187" s="222"/>
      <c r="AH1187" s="222"/>
      <c r="AI1187" s="222"/>
      <c r="AJ1187" s="222"/>
      <c r="AK1187" s="222"/>
      <c r="AL1187" s="222"/>
      <c r="AM1187" s="222"/>
      <c r="AN1187" s="222"/>
      <c r="AO1187" s="222"/>
    </row>
    <row r="1188" spans="1:191" s="154" customFormat="1" ht="36" customHeight="1" x14ac:dyDescent="0.25">
      <c r="A1188" s="223">
        <v>1</v>
      </c>
      <c r="B1188" s="225">
        <f>SUBTOTAL(103,$A$1030:A1188)</f>
        <v>145</v>
      </c>
      <c r="C1188" s="232" t="s">
        <v>660</v>
      </c>
      <c r="D1188" s="217">
        <v>1963</v>
      </c>
      <c r="E1188" s="217"/>
      <c r="F1188" s="233" t="s">
        <v>330</v>
      </c>
      <c r="G1188" s="217">
        <v>2</v>
      </c>
      <c r="H1188" s="217" t="s">
        <v>303</v>
      </c>
      <c r="I1188" s="218">
        <v>279.7</v>
      </c>
      <c r="J1188" s="218">
        <v>175.8</v>
      </c>
      <c r="K1188" s="218">
        <v>175.8</v>
      </c>
      <c r="L1188" s="231">
        <v>24</v>
      </c>
      <c r="M1188" s="217" t="s">
        <v>265</v>
      </c>
      <c r="N1188" s="217" t="s">
        <v>266</v>
      </c>
      <c r="O1188" s="217" t="s">
        <v>268</v>
      </c>
      <c r="P1188" s="218">
        <v>1358190.18</v>
      </c>
      <c r="Q1188" s="218">
        <v>0</v>
      </c>
      <c r="R1188" s="218">
        <v>0</v>
      </c>
      <c r="S1188" s="218">
        <f t="shared" ref="S1188:S1193" si="156">P1188-Q1188-R1188</f>
        <v>1358190.18</v>
      </c>
      <c r="T1188" s="190">
        <f t="shared" si="151"/>
        <v>4855.8819449410084</v>
      </c>
      <c r="U1188" s="190">
        <v>6051.6723989989277</v>
      </c>
      <c r="V1188" s="221">
        <f t="shared" si="152"/>
        <v>1195.7904540579193</v>
      </c>
      <c r="W1188" s="221">
        <f t="shared" ref="W1188:W1193" si="157">X1188+Y1188+Z1188+AA1188+AB1188+AD1188+AF1188+AH1188+AJ1188+AL1188+AN1188+AO1188</f>
        <v>5801.7178798712912</v>
      </c>
      <c r="X1188" s="221">
        <v>0</v>
      </c>
      <c r="Y1188" s="222">
        <v>0</v>
      </c>
      <c r="Z1188" s="222">
        <v>0</v>
      </c>
      <c r="AA1188" s="222">
        <v>0</v>
      </c>
      <c r="AB1188" s="222">
        <v>0</v>
      </c>
      <c r="AC1188" s="222">
        <v>0</v>
      </c>
      <c r="AD1188" s="222">
        <v>0</v>
      </c>
      <c r="AE1188" s="222">
        <v>260.10000000000002</v>
      </c>
      <c r="AF1188" s="221">
        <f>6238.91*AE1188/I1188</f>
        <v>5801.7178798712912</v>
      </c>
      <c r="AG1188" s="222">
        <v>0</v>
      </c>
      <c r="AH1188" s="221">
        <v>0</v>
      </c>
      <c r="AI1188" s="222">
        <v>0</v>
      </c>
      <c r="AJ1188" s="221">
        <v>0</v>
      </c>
      <c r="AK1188" s="222">
        <v>0</v>
      </c>
      <c r="AL1188" s="222">
        <v>0</v>
      </c>
      <c r="AM1188" s="222">
        <v>0</v>
      </c>
      <c r="AN1188" s="222"/>
      <c r="AO1188" s="222">
        <v>0</v>
      </c>
      <c r="AP1188" s="223"/>
      <c r="DQ1188" s="234"/>
      <c r="DR1188" s="234"/>
      <c r="DS1188" s="234"/>
      <c r="EP1188" s="235"/>
      <c r="FS1188" s="236"/>
      <c r="GI1188" s="237"/>
    </row>
    <row r="1189" spans="1:191" s="154" customFormat="1" ht="36" customHeight="1" x14ac:dyDescent="0.25">
      <c r="A1189" s="223">
        <v>1</v>
      </c>
      <c r="B1189" s="225">
        <f>SUBTOTAL(103,$A$1030:A1189)</f>
        <v>146</v>
      </c>
      <c r="C1189" s="232" t="s">
        <v>661</v>
      </c>
      <c r="D1189" s="217">
        <v>1981</v>
      </c>
      <c r="E1189" s="217"/>
      <c r="F1189" s="233" t="s">
        <v>267</v>
      </c>
      <c r="G1189" s="217">
        <v>5</v>
      </c>
      <c r="H1189" s="217" t="s">
        <v>308</v>
      </c>
      <c r="I1189" s="218">
        <v>2798</v>
      </c>
      <c r="J1189" s="218">
        <v>2798</v>
      </c>
      <c r="K1189" s="218">
        <v>1700.7</v>
      </c>
      <c r="L1189" s="231">
        <v>156</v>
      </c>
      <c r="M1189" s="217" t="s">
        <v>265</v>
      </c>
      <c r="N1189" s="217" t="s">
        <v>269</v>
      </c>
      <c r="O1189" s="217" t="s">
        <v>718</v>
      </c>
      <c r="P1189" s="218">
        <v>3973325</v>
      </c>
      <c r="Q1189" s="218">
        <v>0</v>
      </c>
      <c r="R1189" s="218">
        <v>0</v>
      </c>
      <c r="S1189" s="218">
        <f t="shared" si="156"/>
        <v>3973325</v>
      </c>
      <c r="T1189" s="190">
        <f t="shared" si="151"/>
        <v>1420.0589706933524</v>
      </c>
      <c r="U1189" s="190">
        <v>1976.9639027877056</v>
      </c>
      <c r="V1189" s="221">
        <f t="shared" si="152"/>
        <v>556.90493209435317</v>
      </c>
      <c r="W1189" s="221">
        <f t="shared" si="157"/>
        <v>1895.3086132952108</v>
      </c>
      <c r="X1189" s="221">
        <v>0</v>
      </c>
      <c r="Y1189" s="222">
        <v>0</v>
      </c>
      <c r="Z1189" s="222">
        <v>0</v>
      </c>
      <c r="AA1189" s="222">
        <v>0</v>
      </c>
      <c r="AB1189" s="222">
        <v>0</v>
      </c>
      <c r="AC1189" s="222">
        <v>0</v>
      </c>
      <c r="AD1189" s="222">
        <v>0</v>
      </c>
      <c r="AE1189" s="222">
        <v>850</v>
      </c>
      <c r="AF1189" s="221">
        <f>6238.91*AE1189/I1189</f>
        <v>1895.3086132952108</v>
      </c>
      <c r="AG1189" s="222">
        <v>0</v>
      </c>
      <c r="AH1189" s="221">
        <v>0</v>
      </c>
      <c r="AI1189" s="222">
        <v>0</v>
      </c>
      <c r="AJ1189" s="221">
        <v>0</v>
      </c>
      <c r="AK1189" s="222">
        <v>0</v>
      </c>
      <c r="AL1189" s="222">
        <v>0</v>
      </c>
      <c r="AM1189" s="222">
        <v>0</v>
      </c>
      <c r="AN1189" s="222"/>
      <c r="AO1189" s="222">
        <v>0</v>
      </c>
      <c r="AP1189" s="223"/>
      <c r="DQ1189" s="234"/>
      <c r="DR1189" s="234"/>
      <c r="DS1189" s="234"/>
      <c r="EP1189" s="235"/>
      <c r="FS1189" s="236"/>
      <c r="GI1189" s="237"/>
    </row>
    <row r="1190" spans="1:191" s="154" customFormat="1" ht="36" customHeight="1" x14ac:dyDescent="0.25">
      <c r="A1190" s="223">
        <v>1</v>
      </c>
      <c r="B1190" s="225">
        <f>SUBTOTAL(103,$A$1030:A1190)</f>
        <v>147</v>
      </c>
      <c r="C1190" s="232" t="s">
        <v>2275</v>
      </c>
      <c r="D1190" s="217">
        <v>1980</v>
      </c>
      <c r="E1190" s="217"/>
      <c r="F1190" s="233" t="s">
        <v>267</v>
      </c>
      <c r="G1190" s="217">
        <v>2</v>
      </c>
      <c r="H1190" s="217" t="s">
        <v>312</v>
      </c>
      <c r="I1190" s="218">
        <v>939.9</v>
      </c>
      <c r="J1190" s="218">
        <v>858</v>
      </c>
      <c r="K1190" s="218">
        <v>830.3</v>
      </c>
      <c r="L1190" s="231">
        <v>47</v>
      </c>
      <c r="M1190" s="217" t="s">
        <v>265</v>
      </c>
      <c r="N1190" s="217" t="s">
        <v>269</v>
      </c>
      <c r="O1190" s="217" t="s">
        <v>1082</v>
      </c>
      <c r="P1190" s="218">
        <v>2687908</v>
      </c>
      <c r="Q1190" s="218">
        <v>0</v>
      </c>
      <c r="R1190" s="218">
        <v>0</v>
      </c>
      <c r="S1190" s="218">
        <f t="shared" si="156"/>
        <v>2687908</v>
      </c>
      <c r="T1190" s="190">
        <f t="shared" si="151"/>
        <v>2859.7808277476329</v>
      </c>
      <c r="U1190" s="190">
        <v>3811.5638365783598</v>
      </c>
      <c r="V1190" s="221">
        <f t="shared" si="152"/>
        <v>951.78300883072689</v>
      </c>
      <c r="W1190" s="221">
        <f t="shared" si="157"/>
        <v>3654.1333705713378</v>
      </c>
      <c r="X1190" s="221">
        <v>0</v>
      </c>
      <c r="Y1190" s="222">
        <v>0</v>
      </c>
      <c r="Z1190" s="222">
        <v>0</v>
      </c>
      <c r="AA1190" s="222">
        <v>0</v>
      </c>
      <c r="AB1190" s="222">
        <v>0</v>
      </c>
      <c r="AC1190" s="222">
        <v>0</v>
      </c>
      <c r="AD1190" s="222">
        <v>0</v>
      </c>
      <c r="AE1190" s="222">
        <v>550.5</v>
      </c>
      <c r="AF1190" s="221">
        <f>6238.91*AE1190/I1190</f>
        <v>3654.1333705713378</v>
      </c>
      <c r="AG1190" s="222">
        <v>0</v>
      </c>
      <c r="AH1190" s="221">
        <v>0</v>
      </c>
      <c r="AI1190" s="222">
        <v>0</v>
      </c>
      <c r="AJ1190" s="221">
        <v>0</v>
      </c>
      <c r="AK1190" s="222">
        <v>0</v>
      </c>
      <c r="AL1190" s="222">
        <v>0</v>
      </c>
      <c r="AM1190" s="222">
        <v>0</v>
      </c>
      <c r="AN1190" s="222"/>
      <c r="AO1190" s="222">
        <v>0</v>
      </c>
      <c r="AP1190" s="223"/>
      <c r="DQ1190" s="234"/>
      <c r="DR1190" s="234"/>
      <c r="DS1190" s="234"/>
      <c r="EP1190" s="235"/>
      <c r="FS1190" s="236"/>
      <c r="GI1190" s="237"/>
    </row>
    <row r="1191" spans="1:191" s="154" customFormat="1" ht="36" customHeight="1" x14ac:dyDescent="0.25">
      <c r="A1191" s="223">
        <v>1</v>
      </c>
      <c r="B1191" s="225">
        <f>SUBTOTAL(103,$A$1030:A1191)</f>
        <v>148</v>
      </c>
      <c r="C1191" s="232" t="s">
        <v>669</v>
      </c>
      <c r="D1191" s="217">
        <v>1993</v>
      </c>
      <c r="E1191" s="217"/>
      <c r="F1191" s="233" t="s">
        <v>311</v>
      </c>
      <c r="G1191" s="217">
        <v>5</v>
      </c>
      <c r="H1191" s="217" t="s">
        <v>312</v>
      </c>
      <c r="I1191" s="218">
        <v>3247.3</v>
      </c>
      <c r="J1191" s="218">
        <v>3247.3</v>
      </c>
      <c r="K1191" s="218">
        <v>3245</v>
      </c>
      <c r="L1191" s="231">
        <v>133</v>
      </c>
      <c r="M1191" s="217" t="s">
        <v>265</v>
      </c>
      <c r="N1191" s="217" t="s">
        <v>341</v>
      </c>
      <c r="O1191" s="217" t="s">
        <v>721</v>
      </c>
      <c r="P1191" s="218">
        <v>5240868.3999999994</v>
      </c>
      <c r="Q1191" s="218">
        <v>0</v>
      </c>
      <c r="R1191" s="218">
        <v>0</v>
      </c>
      <c r="S1191" s="218">
        <f t="shared" si="156"/>
        <v>5240868.3999999994</v>
      </c>
      <c r="T1191" s="190">
        <f t="shared" si="151"/>
        <v>1613.915683798848</v>
      </c>
      <c r="U1191" s="190">
        <v>1903.8324146213777</v>
      </c>
      <c r="V1191" s="221">
        <f t="shared" si="152"/>
        <v>289.91673082252964</v>
      </c>
      <c r="W1191" s="221">
        <f t="shared" si="157"/>
        <v>1341.2967850214022</v>
      </c>
      <c r="X1191" s="221">
        <v>0</v>
      </c>
      <c r="Y1191" s="222">
        <v>0</v>
      </c>
      <c r="Z1191" s="222">
        <v>0</v>
      </c>
      <c r="AA1191" s="222">
        <v>0</v>
      </c>
      <c r="AB1191" s="222">
        <v>0</v>
      </c>
      <c r="AC1191" s="222">
        <v>0</v>
      </c>
      <c r="AD1191" s="222">
        <v>0</v>
      </c>
      <c r="AE1191" s="222">
        <v>0</v>
      </c>
      <c r="AF1191" s="221">
        <v>0</v>
      </c>
      <c r="AG1191" s="222">
        <v>0</v>
      </c>
      <c r="AH1191" s="221">
        <v>0</v>
      </c>
      <c r="AI1191" s="222">
        <v>585.5</v>
      </c>
      <c r="AJ1191" s="221">
        <f>7439.1*AI1191/I1191</f>
        <v>1341.2967850214022</v>
      </c>
      <c r="AK1191" s="222">
        <v>0</v>
      </c>
      <c r="AL1191" s="222">
        <v>0</v>
      </c>
      <c r="AM1191" s="222">
        <v>0</v>
      </c>
      <c r="AN1191" s="222"/>
      <c r="AO1191" s="222">
        <v>0</v>
      </c>
      <c r="AP1191" s="223"/>
      <c r="DQ1191" s="234"/>
      <c r="DR1191" s="234"/>
      <c r="DS1191" s="234"/>
      <c r="EP1191" s="235"/>
      <c r="FS1191" s="236"/>
      <c r="GI1191" s="237"/>
    </row>
    <row r="1192" spans="1:191" s="154" customFormat="1" ht="36" customHeight="1" x14ac:dyDescent="0.25">
      <c r="A1192" s="223">
        <v>1</v>
      </c>
      <c r="B1192" s="225">
        <f>SUBTOTAL(103,$A$1030:A1192)</f>
        <v>149</v>
      </c>
      <c r="C1192" s="232" t="s">
        <v>1949</v>
      </c>
      <c r="D1192" s="217">
        <v>1959</v>
      </c>
      <c r="E1192" s="217"/>
      <c r="F1192" s="233" t="s">
        <v>1571</v>
      </c>
      <c r="G1192" s="217" t="s">
        <v>303</v>
      </c>
      <c r="H1192" s="217">
        <v>1</v>
      </c>
      <c r="I1192" s="218">
        <v>194.7</v>
      </c>
      <c r="J1192" s="218">
        <v>194.7</v>
      </c>
      <c r="K1192" s="218">
        <v>194.7</v>
      </c>
      <c r="L1192" s="231">
        <v>21</v>
      </c>
      <c r="M1192" s="217" t="s">
        <v>265</v>
      </c>
      <c r="N1192" s="217" t="s">
        <v>266</v>
      </c>
      <c r="O1192" s="217" t="s">
        <v>268</v>
      </c>
      <c r="P1192" s="218">
        <v>1382465.05</v>
      </c>
      <c r="Q1192" s="218">
        <v>0</v>
      </c>
      <c r="R1192" s="218">
        <v>0</v>
      </c>
      <c r="S1192" s="218">
        <f t="shared" ref="S1192" si="158">P1192-Q1192-R1192</f>
        <v>1382465.05</v>
      </c>
      <c r="T1192" s="190">
        <f t="shared" ref="T1192" si="159">P1192/I1192</f>
        <v>7100.4881869542896</v>
      </c>
      <c r="U1192" s="190">
        <v>9893.575757575758</v>
      </c>
      <c r="V1192" s="221">
        <f t="shared" ref="V1192" si="160">U1192-T1192</f>
        <v>2793.0875706214683</v>
      </c>
      <c r="W1192" s="221">
        <f t="shared" ref="W1192" si="161">X1192+Y1192+Z1192+AA1192+AB1192+AD1192+AF1192+AH1192+AJ1192+AL1192+AN1192+AO1192</f>
        <v>25247.046738572164</v>
      </c>
      <c r="X1192" s="221">
        <v>0</v>
      </c>
      <c r="Y1192" s="222">
        <v>0</v>
      </c>
      <c r="Z1192" s="222">
        <v>0</v>
      </c>
      <c r="AA1192" s="222">
        <v>0</v>
      </c>
      <c r="AB1192" s="222">
        <v>0</v>
      </c>
      <c r="AC1192" s="222">
        <v>2</v>
      </c>
      <c r="AD1192" s="221">
        <f>2457800*AC1192/I1192</f>
        <v>25247.046738572164</v>
      </c>
      <c r="AE1192" s="222">
        <v>0</v>
      </c>
      <c r="AF1192" s="221">
        <v>0</v>
      </c>
      <c r="AG1192" s="222">
        <v>0</v>
      </c>
      <c r="AH1192" s="221">
        <v>0</v>
      </c>
      <c r="AI1192" s="222">
        <v>0</v>
      </c>
      <c r="AJ1192" s="221">
        <v>0</v>
      </c>
      <c r="AK1192" s="222">
        <v>0</v>
      </c>
      <c r="AL1192" s="222">
        <v>0</v>
      </c>
      <c r="AM1192" s="222">
        <v>0</v>
      </c>
      <c r="AN1192" s="222"/>
      <c r="AO1192" s="222">
        <v>0</v>
      </c>
      <c r="AP1192" s="223"/>
      <c r="DQ1192" s="234"/>
      <c r="DR1192" s="234"/>
      <c r="DS1192" s="234"/>
      <c r="EP1192" s="235"/>
      <c r="FS1192" s="236"/>
      <c r="GI1192" s="237"/>
    </row>
    <row r="1193" spans="1:191" s="154" customFormat="1" ht="36" customHeight="1" x14ac:dyDescent="0.25">
      <c r="A1193" s="223">
        <v>1</v>
      </c>
      <c r="B1193" s="225">
        <f>SUBTOTAL(103,$A$1030:A1193)</f>
        <v>150</v>
      </c>
      <c r="C1193" s="232" t="s">
        <v>2444</v>
      </c>
      <c r="D1193" s="217">
        <v>1972</v>
      </c>
      <c r="E1193" s="217"/>
      <c r="F1193" s="233" t="s">
        <v>1571</v>
      </c>
      <c r="G1193" s="217">
        <v>5</v>
      </c>
      <c r="H1193" s="217">
        <v>4</v>
      </c>
      <c r="I1193" s="218">
        <v>3712</v>
      </c>
      <c r="J1193" s="218">
        <v>3452.5</v>
      </c>
      <c r="K1193" s="218">
        <v>3452.5</v>
      </c>
      <c r="L1193" s="231">
        <v>182</v>
      </c>
      <c r="M1193" s="217" t="s">
        <v>265</v>
      </c>
      <c r="N1193" s="217" t="s">
        <v>269</v>
      </c>
      <c r="O1193" s="217" t="s">
        <v>1082</v>
      </c>
      <c r="P1193" s="218">
        <v>4496606</v>
      </c>
      <c r="Q1193" s="218">
        <v>0</v>
      </c>
      <c r="R1193" s="218">
        <v>0</v>
      </c>
      <c r="S1193" s="218">
        <f t="shared" si="156"/>
        <v>4496606</v>
      </c>
      <c r="T1193" s="190">
        <f t="shared" si="151"/>
        <v>1211.3701508620691</v>
      </c>
      <c r="U1193" s="190">
        <v>1618.3345554956898</v>
      </c>
      <c r="V1193" s="221">
        <f t="shared" si="152"/>
        <v>406.96440463362069</v>
      </c>
      <c r="W1193" s="221">
        <f t="shared" si="157"/>
        <v>1324.2456896551723</v>
      </c>
      <c r="X1193" s="221">
        <v>0</v>
      </c>
      <c r="Y1193" s="222">
        <v>0</v>
      </c>
      <c r="Z1193" s="222">
        <v>0</v>
      </c>
      <c r="AA1193" s="222">
        <v>0</v>
      </c>
      <c r="AB1193" s="222">
        <v>0</v>
      </c>
      <c r="AC1193" s="222">
        <v>2</v>
      </c>
      <c r="AD1193" s="221">
        <f>2457800*AC1193/I1193</f>
        <v>1324.2456896551723</v>
      </c>
      <c r="AE1193" s="222">
        <v>0</v>
      </c>
      <c r="AF1193" s="221">
        <v>0</v>
      </c>
      <c r="AG1193" s="222">
        <v>0</v>
      </c>
      <c r="AH1193" s="221">
        <v>0</v>
      </c>
      <c r="AI1193" s="222">
        <v>0</v>
      </c>
      <c r="AJ1193" s="221">
        <v>0</v>
      </c>
      <c r="AK1193" s="222">
        <v>0</v>
      </c>
      <c r="AL1193" s="222">
        <v>0</v>
      </c>
      <c r="AM1193" s="222">
        <v>0</v>
      </c>
      <c r="AN1193" s="222"/>
      <c r="AO1193" s="222">
        <v>0</v>
      </c>
      <c r="AP1193" s="223"/>
      <c r="DQ1193" s="234"/>
      <c r="DR1193" s="234"/>
      <c r="DS1193" s="234"/>
      <c r="EP1193" s="235"/>
      <c r="FS1193" s="236"/>
      <c r="GI1193" s="237"/>
    </row>
    <row r="1194" spans="1:191" s="223" customFormat="1" ht="36" customHeight="1" x14ac:dyDescent="0.25">
      <c r="B1194" s="215" t="s">
        <v>824</v>
      </c>
      <c r="C1194" s="227"/>
      <c r="D1194" s="217" t="s">
        <v>890</v>
      </c>
      <c r="E1194" s="217" t="s">
        <v>890</v>
      </c>
      <c r="F1194" s="217" t="s">
        <v>890</v>
      </c>
      <c r="G1194" s="217" t="s">
        <v>890</v>
      </c>
      <c r="H1194" s="217" t="s">
        <v>890</v>
      </c>
      <c r="I1194" s="218">
        <f>SUM(I1195:I1197)</f>
        <v>6105.4</v>
      </c>
      <c r="J1194" s="218">
        <f>SUM(J1195:J1197)</f>
        <v>5837.7</v>
      </c>
      <c r="K1194" s="218">
        <f>SUM(K1195:K1197)</f>
        <v>5224.2</v>
      </c>
      <c r="L1194" s="219">
        <f>SUM(L1195:L1197)</f>
        <v>226</v>
      </c>
      <c r="M1194" s="217" t="s">
        <v>890</v>
      </c>
      <c r="N1194" s="217" t="s">
        <v>890</v>
      </c>
      <c r="O1194" s="220" t="s">
        <v>890</v>
      </c>
      <c r="P1194" s="190">
        <v>13813074.67</v>
      </c>
      <c r="Q1194" s="190">
        <f>SUM(Q1195:Q1197)</f>
        <v>0</v>
      </c>
      <c r="R1194" s="190">
        <f>SUM(R1195:R1197)</f>
        <v>0</v>
      </c>
      <c r="S1194" s="190">
        <f>SUM(S1195:S1197)</f>
        <v>13813074.67</v>
      </c>
      <c r="T1194" s="190">
        <f t="shared" si="151"/>
        <v>2262.4356585973073</v>
      </c>
      <c r="U1194" s="190">
        <f>MAX(U1195:U1197)</f>
        <v>13939.657494569154</v>
      </c>
      <c r="V1194" s="221">
        <f t="shared" si="152"/>
        <v>11677.221835971846</v>
      </c>
      <c r="W1194" s="221"/>
      <c r="X1194" s="221"/>
      <c r="Y1194" s="222"/>
      <c r="Z1194" s="222"/>
      <c r="AA1194" s="222"/>
      <c r="AB1194" s="222"/>
      <c r="AC1194" s="222"/>
      <c r="AD1194" s="222"/>
      <c r="AE1194" s="222"/>
      <c r="AF1194" s="222"/>
      <c r="AG1194" s="222"/>
      <c r="AH1194" s="222"/>
      <c r="AI1194" s="222"/>
      <c r="AJ1194" s="222"/>
      <c r="AK1194" s="222"/>
      <c r="AL1194" s="222"/>
      <c r="AM1194" s="222"/>
      <c r="AN1194" s="222"/>
      <c r="AO1194" s="222"/>
    </row>
    <row r="1195" spans="1:191" s="154" customFormat="1" ht="36" customHeight="1" x14ac:dyDescent="0.25">
      <c r="A1195" s="223">
        <v>1</v>
      </c>
      <c r="B1195" s="225">
        <f>SUBTOTAL(103,$A$1030:A1195)</f>
        <v>151</v>
      </c>
      <c r="C1195" s="232" t="s">
        <v>234</v>
      </c>
      <c r="D1195" s="217">
        <v>1954</v>
      </c>
      <c r="E1195" s="217"/>
      <c r="F1195" s="233" t="s">
        <v>336</v>
      </c>
      <c r="G1195" s="217">
        <v>2</v>
      </c>
      <c r="H1195" s="217" t="s">
        <v>303</v>
      </c>
      <c r="I1195" s="218">
        <v>825.3</v>
      </c>
      <c r="J1195" s="218">
        <v>751.4</v>
      </c>
      <c r="K1195" s="218">
        <v>638.6</v>
      </c>
      <c r="L1195" s="231">
        <v>32</v>
      </c>
      <c r="M1195" s="217" t="s">
        <v>265</v>
      </c>
      <c r="N1195" s="217" t="s">
        <v>269</v>
      </c>
      <c r="O1195" s="217" t="s">
        <v>335</v>
      </c>
      <c r="P1195" s="218">
        <v>4620600</v>
      </c>
      <c r="Q1195" s="218">
        <v>0</v>
      </c>
      <c r="R1195" s="218">
        <v>0</v>
      </c>
      <c r="S1195" s="218">
        <f>P1195-Q1195-R1195</f>
        <v>4620600</v>
      </c>
      <c r="T1195" s="190">
        <f t="shared" si="151"/>
        <v>5598.6913849509274</v>
      </c>
      <c r="U1195" s="190">
        <v>7144.0399854598336</v>
      </c>
      <c r="V1195" s="221">
        <f t="shared" si="152"/>
        <v>1545.3486005089062</v>
      </c>
      <c r="W1195" s="221">
        <f>X1195+Y1195+Z1195+AA1195+AB1195+AD1195+AF1195+AH1195+AJ1195+AL1195+AN1195+AO1195</f>
        <v>6848.9669938204297</v>
      </c>
      <c r="X1195" s="221">
        <v>0</v>
      </c>
      <c r="Y1195" s="222">
        <v>0</v>
      </c>
      <c r="Z1195" s="222">
        <v>0</v>
      </c>
      <c r="AA1195" s="222">
        <v>0</v>
      </c>
      <c r="AB1195" s="222">
        <v>0</v>
      </c>
      <c r="AC1195" s="222">
        <v>0</v>
      </c>
      <c r="AD1195" s="222">
        <v>0</v>
      </c>
      <c r="AE1195" s="222">
        <v>906</v>
      </c>
      <c r="AF1195" s="221">
        <f>6238.91*AE1195/I1195</f>
        <v>6848.9669938204297</v>
      </c>
      <c r="AG1195" s="222">
        <v>0</v>
      </c>
      <c r="AH1195" s="221">
        <v>0</v>
      </c>
      <c r="AI1195" s="222">
        <v>0</v>
      </c>
      <c r="AJ1195" s="221">
        <v>0</v>
      </c>
      <c r="AK1195" s="222">
        <v>0</v>
      </c>
      <c r="AL1195" s="222">
        <v>0</v>
      </c>
      <c r="AM1195" s="222">
        <v>0</v>
      </c>
      <c r="AN1195" s="222"/>
      <c r="AO1195" s="222">
        <v>0</v>
      </c>
      <c r="AP1195" s="223"/>
      <c r="DQ1195" s="234"/>
      <c r="DR1195" s="234"/>
      <c r="DS1195" s="234"/>
      <c r="EP1195" s="235"/>
      <c r="FS1195" s="236"/>
      <c r="GI1195" s="237"/>
    </row>
    <row r="1196" spans="1:191" s="154" customFormat="1" ht="36" customHeight="1" x14ac:dyDescent="0.25">
      <c r="A1196" s="223">
        <v>1</v>
      </c>
      <c r="B1196" s="225">
        <f>SUBTOTAL(103,$A$1030:A1196)</f>
        <v>152</v>
      </c>
      <c r="C1196" s="232" t="s">
        <v>1606</v>
      </c>
      <c r="D1196" s="217">
        <v>1846</v>
      </c>
      <c r="E1196" s="217"/>
      <c r="F1196" s="233" t="s">
        <v>1341</v>
      </c>
      <c r="G1196" s="217">
        <v>2</v>
      </c>
      <c r="H1196" s="217" t="s">
        <v>304</v>
      </c>
      <c r="I1196" s="218">
        <v>276.2</v>
      </c>
      <c r="J1196" s="218">
        <v>277.3</v>
      </c>
      <c r="K1196" s="218">
        <v>259.39999999999998</v>
      </c>
      <c r="L1196" s="231">
        <v>9</v>
      </c>
      <c r="M1196" s="217" t="s">
        <v>265</v>
      </c>
      <c r="N1196" s="217" t="s">
        <v>269</v>
      </c>
      <c r="O1196" s="217" t="s">
        <v>334</v>
      </c>
      <c r="P1196" s="218">
        <v>1221174.67</v>
      </c>
      <c r="Q1196" s="218">
        <v>0</v>
      </c>
      <c r="R1196" s="218">
        <v>0</v>
      </c>
      <c r="S1196" s="218">
        <f>P1196-Q1196-R1196</f>
        <v>1221174.67</v>
      </c>
      <c r="T1196" s="190">
        <f t="shared" si="151"/>
        <v>4421.342034757422</v>
      </c>
      <c r="U1196" s="190">
        <v>13939.657494569154</v>
      </c>
      <c r="V1196" s="221">
        <f>U1196-T1196</f>
        <v>9518.3154598117326</v>
      </c>
      <c r="W1196" s="221">
        <f>X1196+Y1196+Z1196+AA1196+AB1196+AD1196+AF1196+AH1196+AJ1196+AL1196+AN1196+AO1196</f>
        <v>35305.634793627811</v>
      </c>
      <c r="X1196" s="221">
        <v>0</v>
      </c>
      <c r="Y1196" s="222">
        <v>0</v>
      </c>
      <c r="Z1196" s="222">
        <v>0</v>
      </c>
      <c r="AA1196" s="222">
        <v>0</v>
      </c>
      <c r="AB1196" s="222">
        <v>0</v>
      </c>
      <c r="AC1196" s="222">
        <v>0</v>
      </c>
      <c r="AD1196" s="222">
        <v>0</v>
      </c>
      <c r="AE1196" s="222">
        <v>1563</v>
      </c>
      <c r="AF1196" s="221">
        <f>6238.91*AE1196/I1196</f>
        <v>35305.634793627811</v>
      </c>
      <c r="AG1196" s="222">
        <v>0</v>
      </c>
      <c r="AH1196" s="221">
        <v>0</v>
      </c>
      <c r="AI1196" s="222">
        <v>0</v>
      </c>
      <c r="AJ1196" s="221">
        <v>0</v>
      </c>
      <c r="AK1196" s="222">
        <v>0</v>
      </c>
      <c r="AL1196" s="222">
        <v>0</v>
      </c>
      <c r="AM1196" s="222">
        <v>0</v>
      </c>
      <c r="AN1196" s="222"/>
      <c r="AO1196" s="222">
        <v>0</v>
      </c>
      <c r="AP1196" s="223"/>
      <c r="DQ1196" s="234"/>
      <c r="DR1196" s="234"/>
      <c r="DS1196" s="234"/>
      <c r="EP1196" s="235"/>
      <c r="FS1196" s="236"/>
      <c r="GI1196" s="237"/>
    </row>
    <row r="1197" spans="1:191" s="154" customFormat="1" ht="36" customHeight="1" x14ac:dyDescent="0.25">
      <c r="A1197" s="223">
        <v>1</v>
      </c>
      <c r="B1197" s="225">
        <f>SUBTOTAL(103,$A$1030:A1197)</f>
        <v>153</v>
      </c>
      <c r="C1197" s="232" t="s">
        <v>238</v>
      </c>
      <c r="D1197" s="217">
        <v>1970</v>
      </c>
      <c r="E1197" s="217"/>
      <c r="F1197" s="233" t="s">
        <v>267</v>
      </c>
      <c r="G1197" s="217">
        <v>5</v>
      </c>
      <c r="H1197" s="217" t="s">
        <v>371</v>
      </c>
      <c r="I1197" s="218">
        <v>5003.8999999999996</v>
      </c>
      <c r="J1197" s="218">
        <v>4809</v>
      </c>
      <c r="K1197" s="218">
        <v>4326.2</v>
      </c>
      <c r="L1197" s="231">
        <v>185</v>
      </c>
      <c r="M1197" s="217" t="s">
        <v>265</v>
      </c>
      <c r="N1197" s="217" t="s">
        <v>269</v>
      </c>
      <c r="O1197" s="217" t="s">
        <v>333</v>
      </c>
      <c r="P1197" s="218">
        <v>7971300</v>
      </c>
      <c r="Q1197" s="218">
        <v>0</v>
      </c>
      <c r="R1197" s="218">
        <v>0</v>
      </c>
      <c r="S1197" s="218">
        <f>P1197-Q1197-R1197</f>
        <v>7971300</v>
      </c>
      <c r="T1197" s="190">
        <f t="shared" si="151"/>
        <v>1593.0174463918145</v>
      </c>
      <c r="U1197" s="190">
        <v>2032.721497232159</v>
      </c>
      <c r="V1197" s="221">
        <f t="shared" si="152"/>
        <v>439.70405084034451</v>
      </c>
      <c r="W1197" s="221">
        <f>X1197+Y1197+Z1197+AA1197+AB1197+AD1197+AF1197+AH1197+AJ1197+AL1197+AN1197+AO1197</f>
        <v>1948.7632306800697</v>
      </c>
      <c r="X1197" s="221">
        <v>0</v>
      </c>
      <c r="Y1197" s="222">
        <v>0</v>
      </c>
      <c r="Z1197" s="222">
        <v>0</v>
      </c>
      <c r="AA1197" s="222">
        <v>0</v>
      </c>
      <c r="AB1197" s="222">
        <v>0</v>
      </c>
      <c r="AC1197" s="222">
        <v>0</v>
      </c>
      <c r="AD1197" s="222">
        <v>0</v>
      </c>
      <c r="AE1197" s="222">
        <v>1563</v>
      </c>
      <c r="AF1197" s="221">
        <f>6238.91*AE1197/I1197</f>
        <v>1948.7632306800697</v>
      </c>
      <c r="AG1197" s="222">
        <v>0</v>
      </c>
      <c r="AH1197" s="221">
        <v>0</v>
      </c>
      <c r="AI1197" s="222">
        <v>0</v>
      </c>
      <c r="AJ1197" s="221">
        <v>0</v>
      </c>
      <c r="AK1197" s="222">
        <v>0</v>
      </c>
      <c r="AL1197" s="222">
        <v>0</v>
      </c>
      <c r="AM1197" s="222">
        <v>0</v>
      </c>
      <c r="AN1197" s="222"/>
      <c r="AO1197" s="222">
        <v>0</v>
      </c>
      <c r="AP1197" s="223"/>
      <c r="DQ1197" s="234"/>
      <c r="DR1197" s="234"/>
      <c r="DS1197" s="234"/>
      <c r="EP1197" s="235"/>
      <c r="FS1197" s="236"/>
      <c r="GI1197" s="237"/>
    </row>
    <row r="1198" spans="1:191" s="223" customFormat="1" ht="36" customHeight="1" x14ac:dyDescent="0.25">
      <c r="B1198" s="215" t="s">
        <v>825</v>
      </c>
      <c r="C1198" s="215"/>
      <c r="D1198" s="217" t="s">
        <v>890</v>
      </c>
      <c r="E1198" s="217" t="s">
        <v>890</v>
      </c>
      <c r="F1198" s="217" t="s">
        <v>890</v>
      </c>
      <c r="G1198" s="217" t="s">
        <v>890</v>
      </c>
      <c r="H1198" s="217" t="s">
        <v>890</v>
      </c>
      <c r="I1198" s="218">
        <f>I1199</f>
        <v>396.2</v>
      </c>
      <c r="J1198" s="218">
        <f>J1199</f>
        <v>347.5</v>
      </c>
      <c r="K1198" s="218">
        <f>K1199</f>
        <v>187.9</v>
      </c>
      <c r="L1198" s="219">
        <f>L1199</f>
        <v>20</v>
      </c>
      <c r="M1198" s="217" t="s">
        <v>890</v>
      </c>
      <c r="N1198" s="217" t="s">
        <v>890</v>
      </c>
      <c r="O1198" s="220" t="s">
        <v>890</v>
      </c>
      <c r="P1198" s="190">
        <v>1724820</v>
      </c>
      <c r="Q1198" s="190">
        <f>Q1199</f>
        <v>0</v>
      </c>
      <c r="R1198" s="190">
        <f>R1199</f>
        <v>0</v>
      </c>
      <c r="S1198" s="190">
        <f>S1199</f>
        <v>1724820</v>
      </c>
      <c r="T1198" s="190">
        <f t="shared" si="151"/>
        <v>4353.4073700151439</v>
      </c>
      <c r="U1198" s="190">
        <f>U1199</f>
        <v>5555.0331650681464</v>
      </c>
      <c r="V1198" s="221">
        <f t="shared" si="152"/>
        <v>1201.6257950530025</v>
      </c>
      <c r="W1198" s="221"/>
      <c r="X1198" s="221"/>
      <c r="Y1198" s="222"/>
      <c r="Z1198" s="222"/>
      <c r="AA1198" s="222"/>
      <c r="AB1198" s="222"/>
      <c r="AC1198" s="222"/>
      <c r="AD1198" s="222"/>
      <c r="AE1198" s="222"/>
      <c r="AF1198" s="222"/>
      <c r="AG1198" s="222"/>
      <c r="AH1198" s="222"/>
      <c r="AI1198" s="222"/>
      <c r="AJ1198" s="222"/>
      <c r="AK1198" s="222"/>
      <c r="AL1198" s="222"/>
      <c r="AM1198" s="222"/>
      <c r="AN1198" s="222"/>
      <c r="AO1198" s="222"/>
    </row>
    <row r="1199" spans="1:191" s="154" customFormat="1" ht="36" customHeight="1" x14ac:dyDescent="0.25">
      <c r="A1199" s="223">
        <v>1</v>
      </c>
      <c r="B1199" s="225">
        <f>SUBTOTAL(103,$A$1030:A1199)</f>
        <v>154</v>
      </c>
      <c r="C1199" s="232" t="s">
        <v>243</v>
      </c>
      <c r="D1199" s="217">
        <v>1977</v>
      </c>
      <c r="E1199" s="217"/>
      <c r="F1199" s="233" t="s">
        <v>267</v>
      </c>
      <c r="G1199" s="217">
        <v>2</v>
      </c>
      <c r="H1199" s="217" t="s">
        <v>304</v>
      </c>
      <c r="I1199" s="218">
        <v>396.2</v>
      </c>
      <c r="J1199" s="218">
        <v>347.5</v>
      </c>
      <c r="K1199" s="218">
        <v>187.9</v>
      </c>
      <c r="L1199" s="231">
        <v>20</v>
      </c>
      <c r="M1199" s="217" t="s">
        <v>265</v>
      </c>
      <c r="N1199" s="217" t="s">
        <v>266</v>
      </c>
      <c r="O1199" s="217" t="s">
        <v>268</v>
      </c>
      <c r="P1199" s="218">
        <v>1724820</v>
      </c>
      <c r="Q1199" s="218">
        <v>0</v>
      </c>
      <c r="R1199" s="218">
        <v>0</v>
      </c>
      <c r="S1199" s="218">
        <f>P1199-Q1199-R1199</f>
        <v>1724820</v>
      </c>
      <c r="T1199" s="190">
        <f t="shared" si="151"/>
        <v>4353.4073700151439</v>
      </c>
      <c r="U1199" s="190">
        <v>5555.0331650681464</v>
      </c>
      <c r="V1199" s="221">
        <f>U1199-T1199</f>
        <v>1201.6257950530025</v>
      </c>
      <c r="W1199" s="221">
        <f>X1199+Y1199+Z1199+AA1199+AB1199+AD1199+AF1199+AH1199+AJ1199+AL1199+AN1199+AO1199</f>
        <v>5325.5915244825837</v>
      </c>
      <c r="X1199" s="221">
        <v>0</v>
      </c>
      <c r="Y1199" s="222">
        <v>0</v>
      </c>
      <c r="Z1199" s="222">
        <v>0</v>
      </c>
      <c r="AA1199" s="222">
        <v>0</v>
      </c>
      <c r="AB1199" s="222">
        <v>0</v>
      </c>
      <c r="AC1199" s="222">
        <v>0</v>
      </c>
      <c r="AD1199" s="222">
        <v>0</v>
      </c>
      <c r="AE1199" s="222">
        <v>338.2</v>
      </c>
      <c r="AF1199" s="221">
        <f>6238.91*AE1199/I1199</f>
        <v>5325.5915244825837</v>
      </c>
      <c r="AG1199" s="222">
        <v>0</v>
      </c>
      <c r="AH1199" s="221">
        <v>0</v>
      </c>
      <c r="AI1199" s="222">
        <v>0</v>
      </c>
      <c r="AJ1199" s="221">
        <v>0</v>
      </c>
      <c r="AK1199" s="222">
        <v>0</v>
      </c>
      <c r="AL1199" s="222">
        <v>0</v>
      </c>
      <c r="AM1199" s="222">
        <v>0</v>
      </c>
      <c r="AN1199" s="222"/>
      <c r="AO1199" s="222">
        <v>0</v>
      </c>
      <c r="AP1199" s="223"/>
      <c r="DQ1199" s="234"/>
      <c r="DR1199" s="234"/>
      <c r="DS1199" s="234"/>
      <c r="EP1199" s="235"/>
      <c r="FS1199" s="236"/>
      <c r="GI1199" s="237"/>
    </row>
    <row r="1200" spans="1:191" s="223" customFormat="1" ht="36" customHeight="1" x14ac:dyDescent="0.25">
      <c r="B1200" s="215" t="s">
        <v>826</v>
      </c>
      <c r="C1200" s="215"/>
      <c r="D1200" s="217" t="s">
        <v>890</v>
      </c>
      <c r="E1200" s="217" t="s">
        <v>890</v>
      </c>
      <c r="F1200" s="217" t="s">
        <v>890</v>
      </c>
      <c r="G1200" s="217" t="s">
        <v>890</v>
      </c>
      <c r="H1200" s="217" t="s">
        <v>890</v>
      </c>
      <c r="I1200" s="218">
        <f>I1201</f>
        <v>1011.8</v>
      </c>
      <c r="J1200" s="218">
        <f>J1201</f>
        <v>928.8</v>
      </c>
      <c r="K1200" s="218">
        <f>K1201</f>
        <v>827.3</v>
      </c>
      <c r="L1200" s="219">
        <f>L1201</f>
        <v>36</v>
      </c>
      <c r="M1200" s="217" t="s">
        <v>890</v>
      </c>
      <c r="N1200" s="217" t="s">
        <v>890</v>
      </c>
      <c r="O1200" s="220" t="s">
        <v>890</v>
      </c>
      <c r="P1200" s="190">
        <v>1739107.3499999999</v>
      </c>
      <c r="Q1200" s="190">
        <f>Q1201</f>
        <v>0</v>
      </c>
      <c r="R1200" s="190">
        <f>R1201</f>
        <v>0</v>
      </c>
      <c r="S1200" s="190">
        <f>S1201</f>
        <v>1739107.3499999999</v>
      </c>
      <c r="T1200" s="190">
        <f t="shared" si="151"/>
        <v>1718.8252124925873</v>
      </c>
      <c r="U1200" s="190">
        <f>U1201</f>
        <v>4385.594294326942</v>
      </c>
      <c r="V1200" s="221">
        <f t="shared" si="152"/>
        <v>2666.7690818343544</v>
      </c>
      <c r="W1200" s="221"/>
      <c r="X1200" s="221"/>
      <c r="Y1200" s="222"/>
      <c r="Z1200" s="222"/>
      <c r="AA1200" s="222"/>
      <c r="AB1200" s="222"/>
      <c r="AC1200" s="222"/>
      <c r="AD1200" s="222"/>
      <c r="AE1200" s="222"/>
      <c r="AF1200" s="222"/>
      <c r="AG1200" s="222"/>
      <c r="AH1200" s="222"/>
      <c r="AI1200" s="222"/>
      <c r="AJ1200" s="222"/>
      <c r="AK1200" s="222"/>
      <c r="AL1200" s="222"/>
      <c r="AM1200" s="222"/>
      <c r="AN1200" s="222"/>
      <c r="AO1200" s="222"/>
    </row>
    <row r="1201" spans="1:191" s="154" customFormat="1" ht="36" customHeight="1" x14ac:dyDescent="0.25">
      <c r="A1201" s="223">
        <v>1</v>
      </c>
      <c r="B1201" s="225">
        <f>SUBTOTAL(103,$A$1030:A1201)</f>
        <v>155</v>
      </c>
      <c r="C1201" s="232" t="s">
        <v>245</v>
      </c>
      <c r="D1201" s="217">
        <v>1979</v>
      </c>
      <c r="E1201" s="217"/>
      <c r="F1201" s="233" t="s">
        <v>311</v>
      </c>
      <c r="G1201" s="217">
        <v>3</v>
      </c>
      <c r="H1201" s="217" t="s">
        <v>303</v>
      </c>
      <c r="I1201" s="218">
        <v>1011.8</v>
      </c>
      <c r="J1201" s="218">
        <v>928.8</v>
      </c>
      <c r="K1201" s="218">
        <v>827.3</v>
      </c>
      <c r="L1201" s="231">
        <v>36</v>
      </c>
      <c r="M1201" s="217" t="s">
        <v>265</v>
      </c>
      <c r="N1201" s="217" t="s">
        <v>266</v>
      </c>
      <c r="O1201" s="217" t="s">
        <v>268</v>
      </c>
      <c r="P1201" s="218">
        <v>1739107.3499999999</v>
      </c>
      <c r="Q1201" s="218">
        <v>0</v>
      </c>
      <c r="R1201" s="218">
        <v>0</v>
      </c>
      <c r="S1201" s="218">
        <f>P1201-Q1201-R1201</f>
        <v>1739107.3499999999</v>
      </c>
      <c r="T1201" s="190">
        <f t="shared" si="151"/>
        <v>1718.8252124925873</v>
      </c>
      <c r="U1201" s="190">
        <v>4385.594294326942</v>
      </c>
      <c r="V1201" s="221">
        <f>U1201-T1201</f>
        <v>2666.7690818343544</v>
      </c>
      <c r="W1201" s="221">
        <f>X1201+Y1201+Z1201+AA1201+AB1201+AD1201+AF1201+AH1201+AJ1201+AL1201+AN1201+AO1201</f>
        <v>4385.594294326942</v>
      </c>
      <c r="X1201" s="221">
        <v>0</v>
      </c>
      <c r="Y1201" s="222">
        <v>0</v>
      </c>
      <c r="Z1201" s="222">
        <v>0</v>
      </c>
      <c r="AA1201" s="222">
        <v>0</v>
      </c>
      <c r="AB1201" s="222">
        <v>0</v>
      </c>
      <c r="AC1201" s="222">
        <v>0</v>
      </c>
      <c r="AD1201" s="222">
        <v>0</v>
      </c>
      <c r="AE1201" s="222">
        <v>0</v>
      </c>
      <c r="AF1201" s="221">
        <v>0</v>
      </c>
      <c r="AG1201" s="222">
        <v>0</v>
      </c>
      <c r="AH1201" s="221">
        <v>0</v>
      </c>
      <c r="AI1201" s="222">
        <v>568.70000000000005</v>
      </c>
      <c r="AJ1201" s="221">
        <f>7802.61*AI1201/I1201</f>
        <v>4385.594294326942</v>
      </c>
      <c r="AK1201" s="222">
        <v>0</v>
      </c>
      <c r="AL1201" s="222">
        <v>0</v>
      </c>
      <c r="AM1201" s="222">
        <v>0</v>
      </c>
      <c r="AN1201" s="222"/>
      <c r="AO1201" s="222">
        <v>0</v>
      </c>
      <c r="AP1201" s="223"/>
      <c r="DQ1201" s="234"/>
      <c r="DR1201" s="234"/>
      <c r="DS1201" s="234"/>
      <c r="EP1201" s="235"/>
      <c r="FS1201" s="236"/>
      <c r="GI1201" s="237"/>
    </row>
    <row r="1202" spans="1:191" s="223" customFormat="1" ht="36" customHeight="1" x14ac:dyDescent="0.25">
      <c r="B1202" s="215" t="s">
        <v>885</v>
      </c>
      <c r="C1202" s="229"/>
      <c r="D1202" s="217" t="s">
        <v>890</v>
      </c>
      <c r="E1202" s="217" t="s">
        <v>890</v>
      </c>
      <c r="F1202" s="217" t="s">
        <v>890</v>
      </c>
      <c r="G1202" s="217" t="s">
        <v>890</v>
      </c>
      <c r="H1202" s="217" t="s">
        <v>890</v>
      </c>
      <c r="I1202" s="218">
        <f>I1203</f>
        <v>594.20000000000005</v>
      </c>
      <c r="J1202" s="218">
        <f>J1203</f>
        <v>550.6</v>
      </c>
      <c r="K1202" s="218">
        <f>K1203</f>
        <v>550.6</v>
      </c>
      <c r="L1202" s="219">
        <f>L1203</f>
        <v>21</v>
      </c>
      <c r="M1202" s="217" t="s">
        <v>890</v>
      </c>
      <c r="N1202" s="217" t="s">
        <v>890</v>
      </c>
      <c r="O1202" s="220" t="s">
        <v>890</v>
      </c>
      <c r="P1202" s="190">
        <v>3373804.98</v>
      </c>
      <c r="Q1202" s="190">
        <f>Q1203</f>
        <v>0</v>
      </c>
      <c r="R1202" s="190">
        <f>R1203</f>
        <v>0</v>
      </c>
      <c r="S1202" s="190">
        <f>S1203</f>
        <v>3373804.98</v>
      </c>
      <c r="T1202" s="190">
        <f t="shared" si="151"/>
        <v>5677.8946146078761</v>
      </c>
      <c r="U1202" s="190">
        <f>U1203</f>
        <v>7076.1106866374948</v>
      </c>
      <c r="V1202" s="221">
        <f t="shared" si="152"/>
        <v>1398.2160720296188</v>
      </c>
      <c r="W1202" s="221"/>
      <c r="X1202" s="221"/>
      <c r="Y1202" s="222"/>
      <c r="Z1202" s="222"/>
      <c r="AA1202" s="222"/>
      <c r="AB1202" s="222"/>
      <c r="AC1202" s="222"/>
      <c r="AD1202" s="222"/>
      <c r="AE1202" s="222"/>
      <c r="AF1202" s="222"/>
      <c r="AG1202" s="222"/>
      <c r="AH1202" s="222"/>
      <c r="AI1202" s="222"/>
      <c r="AJ1202" s="222"/>
      <c r="AK1202" s="222"/>
      <c r="AL1202" s="222"/>
      <c r="AM1202" s="222"/>
      <c r="AN1202" s="222"/>
      <c r="AO1202" s="222"/>
    </row>
    <row r="1203" spans="1:191" s="154" customFormat="1" ht="36" customHeight="1" x14ac:dyDescent="0.25">
      <c r="A1203" s="223">
        <v>1</v>
      </c>
      <c r="B1203" s="225">
        <f>SUBTOTAL(103,$A$1030:A1203)</f>
        <v>156</v>
      </c>
      <c r="C1203" s="232" t="s">
        <v>4</v>
      </c>
      <c r="D1203" s="217">
        <v>1977</v>
      </c>
      <c r="E1203" s="217"/>
      <c r="F1203" s="233" t="s">
        <v>267</v>
      </c>
      <c r="G1203" s="217">
        <v>2</v>
      </c>
      <c r="H1203" s="217" t="s">
        <v>303</v>
      </c>
      <c r="I1203" s="218">
        <v>594.20000000000005</v>
      </c>
      <c r="J1203" s="218">
        <v>550.6</v>
      </c>
      <c r="K1203" s="218">
        <v>550.6</v>
      </c>
      <c r="L1203" s="231">
        <v>21</v>
      </c>
      <c r="M1203" s="217" t="s">
        <v>265</v>
      </c>
      <c r="N1203" s="217" t="s">
        <v>266</v>
      </c>
      <c r="O1203" s="217" t="s">
        <v>268</v>
      </c>
      <c r="P1203" s="218">
        <v>3373804.98</v>
      </c>
      <c r="Q1203" s="218">
        <v>0</v>
      </c>
      <c r="R1203" s="218">
        <v>0</v>
      </c>
      <c r="S1203" s="218">
        <f>P1203-Q1203-R1203</f>
        <v>3373804.98</v>
      </c>
      <c r="T1203" s="190">
        <f t="shared" si="151"/>
        <v>5677.8946146078761</v>
      </c>
      <c r="U1203" s="190">
        <v>7076.1106866374948</v>
      </c>
      <c r="V1203" s="221">
        <f>U1203-T1203</f>
        <v>1398.2160720296188</v>
      </c>
      <c r="W1203" s="221">
        <f>X1203+Y1203+Z1203+AA1203+AB1203+AD1203+AF1203+AH1203+AJ1203+AL1203+AN1203+AO1203</f>
        <v>6783.843404577583</v>
      </c>
      <c r="X1203" s="221">
        <v>0</v>
      </c>
      <c r="Y1203" s="222">
        <v>0</v>
      </c>
      <c r="Z1203" s="222">
        <v>0</v>
      </c>
      <c r="AA1203" s="222">
        <v>0</v>
      </c>
      <c r="AB1203" s="222">
        <v>0</v>
      </c>
      <c r="AC1203" s="222">
        <v>0</v>
      </c>
      <c r="AD1203" s="222">
        <v>0</v>
      </c>
      <c r="AE1203" s="222">
        <v>646.1</v>
      </c>
      <c r="AF1203" s="221">
        <f>6238.91*AE1203/I1203</f>
        <v>6783.843404577583</v>
      </c>
      <c r="AG1203" s="222">
        <v>0</v>
      </c>
      <c r="AH1203" s="221">
        <v>0</v>
      </c>
      <c r="AI1203" s="222">
        <v>0</v>
      </c>
      <c r="AJ1203" s="221">
        <v>0</v>
      </c>
      <c r="AK1203" s="222">
        <v>0</v>
      </c>
      <c r="AL1203" s="222">
        <v>0</v>
      </c>
      <c r="AM1203" s="222">
        <v>0</v>
      </c>
      <c r="AN1203" s="222"/>
      <c r="AO1203" s="222">
        <v>0</v>
      </c>
      <c r="AP1203" s="223"/>
      <c r="DQ1203" s="234"/>
      <c r="DR1203" s="234"/>
      <c r="DS1203" s="234"/>
      <c r="EP1203" s="235"/>
      <c r="FS1203" s="236"/>
      <c r="GI1203" s="237"/>
    </row>
    <row r="1204" spans="1:191" s="223" customFormat="1" ht="36" customHeight="1" x14ac:dyDescent="0.25">
      <c r="B1204" s="215" t="s">
        <v>886</v>
      </c>
      <c r="C1204" s="230"/>
      <c r="D1204" s="217" t="s">
        <v>890</v>
      </c>
      <c r="E1204" s="217" t="s">
        <v>890</v>
      </c>
      <c r="F1204" s="217" t="s">
        <v>890</v>
      </c>
      <c r="G1204" s="217" t="s">
        <v>890</v>
      </c>
      <c r="H1204" s="217" t="s">
        <v>890</v>
      </c>
      <c r="I1204" s="218">
        <f>SUM(I1205:I1206)</f>
        <v>1532.1</v>
      </c>
      <c r="J1204" s="218">
        <f>SUM(J1205:J1206)</f>
        <v>1325.8000000000002</v>
      </c>
      <c r="K1204" s="218">
        <f>SUM(K1205:K1206)</f>
        <v>1325.8000000000002</v>
      </c>
      <c r="L1204" s="219">
        <f>SUM(L1205:L1206)</f>
        <v>39</v>
      </c>
      <c r="M1204" s="217" t="s">
        <v>890</v>
      </c>
      <c r="N1204" s="217" t="s">
        <v>890</v>
      </c>
      <c r="O1204" s="220" t="s">
        <v>890</v>
      </c>
      <c r="P1204" s="190">
        <v>3916350</v>
      </c>
      <c r="Q1204" s="190">
        <f>SUM(Q1205:Q1206)</f>
        <v>0</v>
      </c>
      <c r="R1204" s="190">
        <f>SUM(R1205:R1206)</f>
        <v>0</v>
      </c>
      <c r="S1204" s="190">
        <f>SUM(S1205:S1206)</f>
        <v>3916350</v>
      </c>
      <c r="T1204" s="190">
        <f t="shared" si="151"/>
        <v>2556.1973761503818</v>
      </c>
      <c r="U1204" s="190">
        <f>MAX(U1205:U1206)</f>
        <v>5231.034851039909</v>
      </c>
      <c r="V1204" s="221">
        <f t="shared" si="152"/>
        <v>2674.8374748895271</v>
      </c>
      <c r="W1204" s="221"/>
      <c r="X1204" s="221"/>
      <c r="Y1204" s="222"/>
      <c r="Z1204" s="222"/>
      <c r="AA1204" s="222"/>
      <c r="AB1204" s="222"/>
      <c r="AC1204" s="222"/>
      <c r="AD1204" s="222"/>
      <c r="AE1204" s="222"/>
      <c r="AF1204" s="222"/>
      <c r="AG1204" s="222"/>
      <c r="AH1204" s="222"/>
      <c r="AI1204" s="222"/>
      <c r="AJ1204" s="222"/>
      <c r="AK1204" s="222"/>
      <c r="AL1204" s="222"/>
      <c r="AM1204" s="222"/>
      <c r="AN1204" s="222"/>
      <c r="AO1204" s="222"/>
    </row>
    <row r="1205" spans="1:191" s="154" customFormat="1" ht="36" customHeight="1" x14ac:dyDescent="0.25">
      <c r="A1205" s="223">
        <v>1</v>
      </c>
      <c r="B1205" s="225">
        <f>SUBTOTAL(103,$A$1030:A1205)</f>
        <v>157</v>
      </c>
      <c r="C1205" s="232" t="s">
        <v>1691</v>
      </c>
      <c r="D1205" s="217">
        <v>1984</v>
      </c>
      <c r="E1205" s="217"/>
      <c r="F1205" s="233" t="s">
        <v>311</v>
      </c>
      <c r="G1205" s="217">
        <v>2</v>
      </c>
      <c r="H1205" s="217" t="s">
        <v>303</v>
      </c>
      <c r="I1205" s="218">
        <v>998.4</v>
      </c>
      <c r="J1205" s="218">
        <v>805.1</v>
      </c>
      <c r="K1205" s="218">
        <v>805.1</v>
      </c>
      <c r="L1205" s="231">
        <v>19</v>
      </c>
      <c r="M1205" s="217" t="s">
        <v>265</v>
      </c>
      <c r="N1205" s="217" t="s">
        <v>266</v>
      </c>
      <c r="O1205" s="217" t="s">
        <v>268</v>
      </c>
      <c r="P1205" s="218">
        <v>2035617.4</v>
      </c>
      <c r="Q1205" s="218">
        <v>0</v>
      </c>
      <c r="R1205" s="218">
        <v>0</v>
      </c>
      <c r="S1205" s="218">
        <f>P1205-Q1205-R1205</f>
        <v>2035617.4</v>
      </c>
      <c r="T1205" s="190">
        <f t="shared" si="151"/>
        <v>2038.8796073717949</v>
      </c>
      <c r="U1205" s="190">
        <v>3050.484375</v>
      </c>
      <c r="V1205" s="221">
        <f t="shared" si="152"/>
        <v>1011.6047676282051</v>
      </c>
      <c r="W1205" s="221">
        <f>X1205+Y1205+Z1205+AA1205+AB1205+AD1205+AF1205+AH1205+AJ1205+AL1205+AN1205+AO1205</f>
        <v>2924.4890624999998</v>
      </c>
      <c r="X1205" s="221">
        <v>0</v>
      </c>
      <c r="Y1205" s="222">
        <v>0</v>
      </c>
      <c r="Z1205" s="222">
        <v>0</v>
      </c>
      <c r="AA1205" s="222">
        <v>0</v>
      </c>
      <c r="AB1205" s="222">
        <v>0</v>
      </c>
      <c r="AC1205" s="222">
        <v>0</v>
      </c>
      <c r="AD1205" s="222">
        <v>0</v>
      </c>
      <c r="AE1205" s="222">
        <v>468</v>
      </c>
      <c r="AF1205" s="221">
        <f>6238.91*AE1205/I1205</f>
        <v>2924.4890624999998</v>
      </c>
      <c r="AG1205" s="222">
        <v>0</v>
      </c>
      <c r="AH1205" s="221">
        <v>0</v>
      </c>
      <c r="AI1205" s="222">
        <v>0</v>
      </c>
      <c r="AJ1205" s="221">
        <v>0</v>
      </c>
      <c r="AK1205" s="222">
        <v>0</v>
      </c>
      <c r="AL1205" s="222">
        <v>0</v>
      </c>
      <c r="AM1205" s="222">
        <v>0</v>
      </c>
      <c r="AN1205" s="222"/>
      <c r="AO1205" s="222">
        <v>0</v>
      </c>
      <c r="AP1205" s="223"/>
      <c r="DQ1205" s="234"/>
      <c r="DR1205" s="234"/>
      <c r="DS1205" s="234"/>
      <c r="EP1205" s="235"/>
      <c r="FS1205" s="236"/>
      <c r="GI1205" s="237"/>
    </row>
    <row r="1206" spans="1:191" s="154" customFormat="1" ht="36" customHeight="1" x14ac:dyDescent="0.25">
      <c r="A1206" s="223">
        <v>1</v>
      </c>
      <c r="B1206" s="225">
        <f>SUBTOTAL(103,$A$1030:A1206)</f>
        <v>158</v>
      </c>
      <c r="C1206" s="232" t="s">
        <v>1692</v>
      </c>
      <c r="D1206" s="217">
        <v>1982</v>
      </c>
      <c r="E1206" s="217"/>
      <c r="F1206" s="233" t="s">
        <v>267</v>
      </c>
      <c r="G1206" s="217">
        <v>2</v>
      </c>
      <c r="H1206" s="217" t="s">
        <v>303</v>
      </c>
      <c r="I1206" s="218">
        <v>533.70000000000005</v>
      </c>
      <c r="J1206" s="218">
        <v>520.70000000000005</v>
      </c>
      <c r="K1206" s="218">
        <v>520.70000000000005</v>
      </c>
      <c r="L1206" s="231">
        <v>20</v>
      </c>
      <c r="M1206" s="217" t="s">
        <v>265</v>
      </c>
      <c r="N1206" s="217" t="s">
        <v>266</v>
      </c>
      <c r="O1206" s="217" t="s">
        <v>268</v>
      </c>
      <c r="P1206" s="218">
        <v>1880732.6</v>
      </c>
      <c r="Q1206" s="218">
        <v>0</v>
      </c>
      <c r="R1206" s="218">
        <v>0</v>
      </c>
      <c r="S1206" s="218">
        <f>P1206-Q1206-R1206</f>
        <v>1880732.6</v>
      </c>
      <c r="T1206" s="190">
        <f t="shared" si="151"/>
        <v>3523.9509087502342</v>
      </c>
      <c r="U1206" s="190">
        <v>5231.034851039909</v>
      </c>
      <c r="V1206" s="221">
        <f t="shared" si="152"/>
        <v>1707.0839422896747</v>
      </c>
      <c r="W1206" s="221">
        <f>X1206+Y1206+Z1206+AA1206+AB1206+AD1206+AF1206+AH1206+AJ1206+AL1206+AN1206+AO1206</f>
        <v>5014.975435637999</v>
      </c>
      <c r="X1206" s="221">
        <v>0</v>
      </c>
      <c r="Y1206" s="222">
        <v>0</v>
      </c>
      <c r="Z1206" s="222">
        <v>0</v>
      </c>
      <c r="AA1206" s="222">
        <v>0</v>
      </c>
      <c r="AB1206" s="222">
        <v>0</v>
      </c>
      <c r="AC1206" s="222">
        <v>0</v>
      </c>
      <c r="AD1206" s="222">
        <v>0</v>
      </c>
      <c r="AE1206" s="222">
        <v>429</v>
      </c>
      <c r="AF1206" s="221">
        <f>6238.91*AE1206/I1206</f>
        <v>5014.975435637999</v>
      </c>
      <c r="AG1206" s="222">
        <v>0</v>
      </c>
      <c r="AH1206" s="221">
        <v>0</v>
      </c>
      <c r="AI1206" s="222">
        <v>0</v>
      </c>
      <c r="AJ1206" s="221">
        <v>0</v>
      </c>
      <c r="AK1206" s="222">
        <v>0</v>
      </c>
      <c r="AL1206" s="222">
        <v>0</v>
      </c>
      <c r="AM1206" s="222">
        <v>0</v>
      </c>
      <c r="AN1206" s="222"/>
      <c r="AO1206" s="222">
        <v>0</v>
      </c>
      <c r="AP1206" s="223"/>
      <c r="DQ1206" s="234"/>
      <c r="DR1206" s="234"/>
      <c r="DS1206" s="234"/>
      <c r="EP1206" s="235"/>
      <c r="FS1206" s="236"/>
      <c r="GI1206" s="237"/>
    </row>
    <row r="1207" spans="1:191" s="223" customFormat="1" ht="36" customHeight="1" x14ac:dyDescent="0.25">
      <c r="B1207" s="215" t="s">
        <v>828</v>
      </c>
      <c r="C1207" s="227"/>
      <c r="D1207" s="217" t="s">
        <v>890</v>
      </c>
      <c r="E1207" s="217" t="s">
        <v>890</v>
      </c>
      <c r="F1207" s="217" t="s">
        <v>890</v>
      </c>
      <c r="G1207" s="217" t="s">
        <v>890</v>
      </c>
      <c r="H1207" s="217" t="s">
        <v>890</v>
      </c>
      <c r="I1207" s="218">
        <f>SUM(I1208:I1209)</f>
        <v>2184</v>
      </c>
      <c r="J1207" s="218">
        <f>SUM(J1208:J1209)</f>
        <v>1810.7</v>
      </c>
      <c r="K1207" s="218">
        <f>SUM(K1208:K1209)</f>
        <v>1606.7</v>
      </c>
      <c r="L1207" s="219">
        <f>SUM(L1208:L1209)</f>
        <v>61</v>
      </c>
      <c r="M1207" s="217" t="s">
        <v>890</v>
      </c>
      <c r="N1207" s="217" t="s">
        <v>890</v>
      </c>
      <c r="O1207" s="220" t="s">
        <v>890</v>
      </c>
      <c r="P1207" s="190">
        <v>3516578.96</v>
      </c>
      <c r="Q1207" s="190">
        <f>Q1208+Q1209</f>
        <v>0</v>
      </c>
      <c r="R1207" s="190">
        <f>R1208+R1209</f>
        <v>0</v>
      </c>
      <c r="S1207" s="190">
        <f>S1208+S1209</f>
        <v>3516578.96</v>
      </c>
      <c r="T1207" s="190">
        <f t="shared" si="151"/>
        <v>1610.1552014652013</v>
      </c>
      <c r="U1207" s="190">
        <f>MAX(U1208:U1209)</f>
        <v>4395.5239486929695</v>
      </c>
      <c r="V1207" s="221">
        <f t="shared" si="152"/>
        <v>2785.3687472277679</v>
      </c>
      <c r="W1207" s="221"/>
      <c r="X1207" s="221"/>
      <c r="Y1207" s="222"/>
      <c r="Z1207" s="222"/>
      <c r="AA1207" s="222"/>
      <c r="AB1207" s="222"/>
      <c r="AC1207" s="222"/>
      <c r="AD1207" s="222"/>
      <c r="AE1207" s="222"/>
      <c r="AF1207" s="222"/>
      <c r="AG1207" s="222"/>
      <c r="AH1207" s="222"/>
      <c r="AI1207" s="222"/>
      <c r="AJ1207" s="222"/>
      <c r="AK1207" s="222"/>
      <c r="AL1207" s="222"/>
      <c r="AM1207" s="222"/>
      <c r="AN1207" s="222"/>
      <c r="AO1207" s="222"/>
    </row>
    <row r="1208" spans="1:191" s="154" customFormat="1" ht="36" customHeight="1" x14ac:dyDescent="0.25">
      <c r="A1208" s="223">
        <v>1</v>
      </c>
      <c r="B1208" s="225">
        <f>SUBTOTAL(103,$A$1030:A1208)</f>
        <v>159</v>
      </c>
      <c r="C1208" s="232" t="s">
        <v>695</v>
      </c>
      <c r="D1208" s="217">
        <v>1985</v>
      </c>
      <c r="E1208" s="217"/>
      <c r="F1208" s="233" t="s">
        <v>267</v>
      </c>
      <c r="G1208" s="217">
        <v>5</v>
      </c>
      <c r="H1208" s="217" t="s">
        <v>303</v>
      </c>
      <c r="I1208" s="218">
        <v>1568.1</v>
      </c>
      <c r="J1208" s="218">
        <v>1442.7</v>
      </c>
      <c r="K1208" s="218">
        <v>1238.7</v>
      </c>
      <c r="L1208" s="231">
        <v>43</v>
      </c>
      <c r="M1208" s="217" t="s">
        <v>265</v>
      </c>
      <c r="N1208" s="217" t="s">
        <v>269</v>
      </c>
      <c r="O1208" s="217" t="s">
        <v>727</v>
      </c>
      <c r="P1208" s="218">
        <v>1913529.37</v>
      </c>
      <c r="Q1208" s="218">
        <v>0</v>
      </c>
      <c r="R1208" s="218">
        <v>0</v>
      </c>
      <c r="S1208" s="218">
        <f>P1208-Q1208-R1208</f>
        <v>1913529.37</v>
      </c>
      <c r="T1208" s="190">
        <f t="shared" si="151"/>
        <v>1220.2852943052103</v>
      </c>
      <c r="U1208" s="190">
        <v>1826.0238505197374</v>
      </c>
      <c r="V1208" s="221">
        <f t="shared" si="152"/>
        <v>605.73855621452708</v>
      </c>
      <c r="W1208" s="221">
        <f>X1208+Y1208+Z1208+AA1208+AB1208+AD1208+AF1208+AH1208+AJ1208+AL1208+AN1208+AO1208</f>
        <v>1750.602895223519</v>
      </c>
      <c r="X1208" s="221">
        <v>0</v>
      </c>
      <c r="Y1208" s="222">
        <v>0</v>
      </c>
      <c r="Z1208" s="222">
        <v>0</v>
      </c>
      <c r="AA1208" s="222">
        <v>0</v>
      </c>
      <c r="AB1208" s="222">
        <v>0</v>
      </c>
      <c r="AC1208" s="222">
        <v>0</v>
      </c>
      <c r="AD1208" s="222">
        <v>0</v>
      </c>
      <c r="AE1208" s="222">
        <v>440</v>
      </c>
      <c r="AF1208" s="221">
        <f>6238.91*AE1208/I1208</f>
        <v>1750.602895223519</v>
      </c>
      <c r="AG1208" s="222">
        <v>0</v>
      </c>
      <c r="AH1208" s="221">
        <v>0</v>
      </c>
      <c r="AI1208" s="222">
        <v>0</v>
      </c>
      <c r="AJ1208" s="221">
        <v>0</v>
      </c>
      <c r="AK1208" s="222">
        <v>0</v>
      </c>
      <c r="AL1208" s="222">
        <v>0</v>
      </c>
      <c r="AM1208" s="222">
        <v>0</v>
      </c>
      <c r="AN1208" s="222"/>
      <c r="AO1208" s="222">
        <v>0</v>
      </c>
      <c r="AP1208" s="223"/>
      <c r="DQ1208" s="234"/>
      <c r="DR1208" s="234"/>
      <c r="DS1208" s="234"/>
      <c r="EP1208" s="235"/>
      <c r="FS1208" s="236"/>
      <c r="GI1208" s="237"/>
    </row>
    <row r="1209" spans="1:191" s="154" customFormat="1" ht="36" customHeight="1" x14ac:dyDescent="0.25">
      <c r="A1209" s="223">
        <v>1</v>
      </c>
      <c r="B1209" s="225">
        <f>SUBTOTAL(103,$A$1030:A1209)</f>
        <v>160</v>
      </c>
      <c r="C1209" s="232" t="s">
        <v>693</v>
      </c>
      <c r="D1209" s="217">
        <v>1988</v>
      </c>
      <c r="E1209" s="217" t="s">
        <v>729</v>
      </c>
      <c r="F1209" s="233" t="s">
        <v>267</v>
      </c>
      <c r="G1209" s="217">
        <v>2</v>
      </c>
      <c r="H1209" s="217" t="s">
        <v>304</v>
      </c>
      <c r="I1209" s="218">
        <v>615.9</v>
      </c>
      <c r="J1209" s="218">
        <v>368</v>
      </c>
      <c r="K1209" s="218">
        <v>368</v>
      </c>
      <c r="L1209" s="231">
        <v>18</v>
      </c>
      <c r="M1209" s="217" t="s">
        <v>265</v>
      </c>
      <c r="N1209" s="217" t="s">
        <v>269</v>
      </c>
      <c r="O1209" s="217" t="s">
        <v>727</v>
      </c>
      <c r="P1209" s="218">
        <v>1603049.59</v>
      </c>
      <c r="Q1209" s="218">
        <v>0</v>
      </c>
      <c r="R1209" s="218">
        <v>0</v>
      </c>
      <c r="S1209" s="218">
        <f>P1209-Q1209-R1209</f>
        <v>1603049.59</v>
      </c>
      <c r="T1209" s="190">
        <f t="shared" si="151"/>
        <v>2602.7757590517945</v>
      </c>
      <c r="U1209" s="190">
        <v>4395.5239486929695</v>
      </c>
      <c r="V1209" s="221">
        <f t="shared" si="152"/>
        <v>1792.748189641175</v>
      </c>
      <c r="W1209" s="221">
        <f>X1209+Y1209+Z1209+AA1209+AB1209+AD1209+AF1209+AH1209+AJ1209+AL1209+AN1209+AO1209</f>
        <v>4213.9739568111709</v>
      </c>
      <c r="X1209" s="221">
        <v>0</v>
      </c>
      <c r="Y1209" s="222">
        <v>0</v>
      </c>
      <c r="Z1209" s="222">
        <v>0</v>
      </c>
      <c r="AA1209" s="222">
        <v>0</v>
      </c>
      <c r="AB1209" s="222">
        <v>0</v>
      </c>
      <c r="AC1209" s="222">
        <v>0</v>
      </c>
      <c r="AD1209" s="222">
        <v>0</v>
      </c>
      <c r="AE1209" s="222">
        <v>416</v>
      </c>
      <c r="AF1209" s="221">
        <f>6238.91*AE1209/I1209</f>
        <v>4213.9739568111709</v>
      </c>
      <c r="AG1209" s="222">
        <v>0</v>
      </c>
      <c r="AH1209" s="221">
        <v>0</v>
      </c>
      <c r="AI1209" s="222">
        <v>0</v>
      </c>
      <c r="AJ1209" s="221">
        <v>0</v>
      </c>
      <c r="AK1209" s="222">
        <v>0</v>
      </c>
      <c r="AL1209" s="222">
        <v>0</v>
      </c>
      <c r="AM1209" s="222">
        <v>0</v>
      </c>
      <c r="AN1209" s="222"/>
      <c r="AO1209" s="222">
        <v>0</v>
      </c>
      <c r="AP1209" s="223"/>
      <c r="DQ1209" s="234"/>
      <c r="DR1209" s="234"/>
      <c r="DS1209" s="234"/>
      <c r="EP1209" s="235"/>
      <c r="FS1209" s="236"/>
      <c r="GI1209" s="237"/>
    </row>
    <row r="1210" spans="1:191" s="223" customFormat="1" ht="36" customHeight="1" x14ac:dyDescent="0.25">
      <c r="B1210" s="215" t="s">
        <v>870</v>
      </c>
      <c r="C1210" s="215"/>
      <c r="D1210" s="217" t="s">
        <v>890</v>
      </c>
      <c r="E1210" s="217" t="s">
        <v>890</v>
      </c>
      <c r="F1210" s="217" t="s">
        <v>890</v>
      </c>
      <c r="G1210" s="217" t="s">
        <v>890</v>
      </c>
      <c r="H1210" s="217" t="s">
        <v>890</v>
      </c>
      <c r="I1210" s="218">
        <f>I1211</f>
        <v>1069.5</v>
      </c>
      <c r="J1210" s="218">
        <f>J1211</f>
        <v>1035.2</v>
      </c>
      <c r="K1210" s="218">
        <f>K1211</f>
        <v>1035.2</v>
      </c>
      <c r="L1210" s="219">
        <f>L1211</f>
        <v>34</v>
      </c>
      <c r="M1210" s="217" t="s">
        <v>890</v>
      </c>
      <c r="N1210" s="217" t="s">
        <v>890</v>
      </c>
      <c r="O1210" s="220" t="s">
        <v>890</v>
      </c>
      <c r="P1210" s="190">
        <v>3598749.4899999998</v>
      </c>
      <c r="Q1210" s="190">
        <f>Q1211</f>
        <v>0</v>
      </c>
      <c r="R1210" s="190">
        <f>R1211</f>
        <v>0</v>
      </c>
      <c r="S1210" s="190">
        <f>S1211</f>
        <v>3598749.4899999998</v>
      </c>
      <c r="T1210" s="190">
        <f t="shared" si="151"/>
        <v>3364.8896587190275</v>
      </c>
      <c r="U1210" s="190">
        <f>U1211</f>
        <v>5937.5536792893872</v>
      </c>
      <c r="V1210" s="221">
        <f t="shared" si="152"/>
        <v>2572.6640205703598</v>
      </c>
      <c r="W1210" s="221"/>
      <c r="X1210" s="221"/>
      <c r="Y1210" s="222"/>
      <c r="Z1210" s="222"/>
      <c r="AA1210" s="222"/>
      <c r="AB1210" s="222"/>
      <c r="AC1210" s="222"/>
      <c r="AD1210" s="222"/>
      <c r="AE1210" s="222"/>
      <c r="AF1210" s="222"/>
      <c r="AG1210" s="222"/>
      <c r="AH1210" s="222"/>
      <c r="AI1210" s="222"/>
      <c r="AJ1210" s="222"/>
      <c r="AK1210" s="222"/>
      <c r="AL1210" s="222"/>
      <c r="AM1210" s="222"/>
      <c r="AN1210" s="222"/>
      <c r="AO1210" s="222"/>
    </row>
    <row r="1211" spans="1:191" s="154" customFormat="1" ht="36" customHeight="1" x14ac:dyDescent="0.25">
      <c r="A1211" s="223">
        <v>1</v>
      </c>
      <c r="B1211" s="225">
        <f>SUBTOTAL(103,$A$1030:A1211)</f>
        <v>161</v>
      </c>
      <c r="C1211" s="232" t="s">
        <v>701</v>
      </c>
      <c r="D1211" s="217">
        <v>1995</v>
      </c>
      <c r="E1211" s="217"/>
      <c r="F1211" s="233" t="s">
        <v>267</v>
      </c>
      <c r="G1211" s="217">
        <v>2</v>
      </c>
      <c r="H1211" s="217" t="s">
        <v>312</v>
      </c>
      <c r="I1211" s="218">
        <v>1069.5</v>
      </c>
      <c r="J1211" s="218">
        <v>1035.2</v>
      </c>
      <c r="K1211" s="218">
        <v>1035.2</v>
      </c>
      <c r="L1211" s="231">
        <v>34</v>
      </c>
      <c r="M1211" s="217" t="s">
        <v>265</v>
      </c>
      <c r="N1211" s="217" t="s">
        <v>266</v>
      </c>
      <c r="O1211" s="217" t="s">
        <v>268</v>
      </c>
      <c r="P1211" s="218">
        <v>3598749.4899999998</v>
      </c>
      <c r="Q1211" s="218">
        <v>0</v>
      </c>
      <c r="R1211" s="218">
        <v>0</v>
      </c>
      <c r="S1211" s="218">
        <f>P1211-Q1211-R1211</f>
        <v>3598749.4899999998</v>
      </c>
      <c r="T1211" s="190">
        <f t="shared" si="151"/>
        <v>3364.8896587190275</v>
      </c>
      <c r="U1211" s="190">
        <v>5937.5536792893872</v>
      </c>
      <c r="V1211" s="221">
        <f>U1211-T1211</f>
        <v>2572.6640205703598</v>
      </c>
      <c r="W1211" s="221">
        <f>X1211+Y1211+Z1211+AA1211+AB1211+AD1211+AF1211+AH1211+AJ1211+AL1211+AN1211+AO1211</f>
        <v>5692.3126489013557</v>
      </c>
      <c r="X1211" s="221">
        <v>0</v>
      </c>
      <c r="Y1211" s="222">
        <v>0</v>
      </c>
      <c r="Z1211" s="222">
        <v>0</v>
      </c>
      <c r="AA1211" s="222">
        <v>0</v>
      </c>
      <c r="AB1211" s="222">
        <v>0</v>
      </c>
      <c r="AC1211" s="222">
        <v>0</v>
      </c>
      <c r="AD1211" s="222">
        <v>0</v>
      </c>
      <c r="AE1211" s="222">
        <v>975.8</v>
      </c>
      <c r="AF1211" s="221">
        <f>6238.91*AE1211/I1211</f>
        <v>5692.3126489013557</v>
      </c>
      <c r="AG1211" s="222">
        <v>0</v>
      </c>
      <c r="AH1211" s="221">
        <v>0</v>
      </c>
      <c r="AI1211" s="222">
        <v>0</v>
      </c>
      <c r="AJ1211" s="221">
        <v>0</v>
      </c>
      <c r="AK1211" s="222">
        <v>0</v>
      </c>
      <c r="AL1211" s="222">
        <v>0</v>
      </c>
      <c r="AM1211" s="222">
        <v>0</v>
      </c>
      <c r="AN1211" s="222"/>
      <c r="AO1211" s="222">
        <v>0</v>
      </c>
      <c r="AP1211" s="223"/>
      <c r="DQ1211" s="234"/>
      <c r="DR1211" s="234"/>
      <c r="DS1211" s="234"/>
      <c r="EP1211" s="235"/>
      <c r="FS1211" s="236"/>
      <c r="GI1211" s="237"/>
    </row>
    <row r="1212" spans="1:191" s="223" customFormat="1" ht="36" customHeight="1" x14ac:dyDescent="0.25">
      <c r="B1212" s="215" t="s">
        <v>830</v>
      </c>
      <c r="C1212" s="215"/>
      <c r="D1212" s="217" t="s">
        <v>751</v>
      </c>
      <c r="E1212" s="217" t="s">
        <v>751</v>
      </c>
      <c r="F1212" s="217" t="s">
        <v>751</v>
      </c>
      <c r="G1212" s="217" t="s">
        <v>751</v>
      </c>
      <c r="H1212" s="217" t="s">
        <v>751</v>
      </c>
      <c r="I1212" s="218">
        <f>I1213</f>
        <v>667.4</v>
      </c>
      <c r="J1212" s="218">
        <f>J1213</f>
        <v>576.1</v>
      </c>
      <c r="K1212" s="218">
        <f>K1213</f>
        <v>424.8</v>
      </c>
      <c r="L1212" s="219">
        <f>L1213</f>
        <v>32</v>
      </c>
      <c r="M1212" s="217" t="s">
        <v>890</v>
      </c>
      <c r="N1212" s="217" t="s">
        <v>890</v>
      </c>
      <c r="O1212" s="220" t="s">
        <v>890</v>
      </c>
      <c r="P1212" s="190">
        <v>1925593.0499999998</v>
      </c>
      <c r="Q1212" s="190">
        <f>Q1213</f>
        <v>0</v>
      </c>
      <c r="R1212" s="190">
        <f>R1213</f>
        <v>0</v>
      </c>
      <c r="S1212" s="190">
        <f>S1213</f>
        <v>1925593.0499999998</v>
      </c>
      <c r="T1212" s="190">
        <f t="shared" si="151"/>
        <v>2885.2158375786635</v>
      </c>
      <c r="U1212" s="190">
        <f>U1213</f>
        <v>9214.5287683548104</v>
      </c>
      <c r="V1212" s="221">
        <f t="shared" si="152"/>
        <v>6329.3129307761465</v>
      </c>
      <c r="W1212" s="221"/>
      <c r="X1212" s="221"/>
      <c r="Y1212" s="222"/>
      <c r="Z1212" s="222"/>
      <c r="AA1212" s="222"/>
      <c r="AB1212" s="222"/>
      <c r="AC1212" s="222"/>
      <c r="AD1212" s="222"/>
      <c r="AE1212" s="222"/>
      <c r="AF1212" s="222"/>
      <c r="AG1212" s="222"/>
      <c r="AH1212" s="222"/>
      <c r="AI1212" s="222"/>
      <c r="AJ1212" s="222"/>
      <c r="AK1212" s="222"/>
      <c r="AL1212" s="222"/>
      <c r="AM1212" s="222"/>
      <c r="AN1212" s="222"/>
      <c r="AO1212" s="222"/>
    </row>
    <row r="1213" spans="1:191" s="154" customFormat="1" ht="36" customHeight="1" x14ac:dyDescent="0.25">
      <c r="A1213" s="223">
        <v>1</v>
      </c>
      <c r="B1213" s="225">
        <f>SUBTOTAL(103,$A$1030:A1213)</f>
        <v>162</v>
      </c>
      <c r="C1213" s="232" t="s">
        <v>699</v>
      </c>
      <c r="D1213" s="217">
        <v>1987</v>
      </c>
      <c r="E1213" s="217"/>
      <c r="F1213" s="233" t="s">
        <v>267</v>
      </c>
      <c r="G1213" s="217">
        <v>2</v>
      </c>
      <c r="H1213" s="217" t="s">
        <v>303</v>
      </c>
      <c r="I1213" s="218">
        <v>667.4</v>
      </c>
      <c r="J1213" s="218">
        <v>576.1</v>
      </c>
      <c r="K1213" s="218">
        <v>424.8</v>
      </c>
      <c r="L1213" s="231">
        <v>32</v>
      </c>
      <c r="M1213" s="217" t="s">
        <v>265</v>
      </c>
      <c r="N1213" s="217" t="s">
        <v>266</v>
      </c>
      <c r="O1213" s="217" t="s">
        <v>268</v>
      </c>
      <c r="P1213" s="218">
        <v>1925593.0499999998</v>
      </c>
      <c r="Q1213" s="218">
        <v>0</v>
      </c>
      <c r="R1213" s="218">
        <v>0</v>
      </c>
      <c r="S1213" s="218">
        <f>P1213-Q1213-R1213</f>
        <v>1925593.0499999998</v>
      </c>
      <c r="T1213" s="190">
        <f t="shared" si="151"/>
        <v>2885.2158375786635</v>
      </c>
      <c r="U1213" s="190">
        <v>9214.5287683548104</v>
      </c>
      <c r="V1213" s="221">
        <f>U1213-T1213</f>
        <v>6329.3129307761465</v>
      </c>
      <c r="W1213" s="221">
        <f>X1213+Y1213+Z1213+AA1213+AB1213+AD1213+AF1213+AH1213+AJ1213+AL1213+AN1213+AO1213</f>
        <v>8833.9375936469896</v>
      </c>
      <c r="X1213" s="221">
        <v>0</v>
      </c>
      <c r="Y1213" s="222">
        <v>0</v>
      </c>
      <c r="Z1213" s="222">
        <v>0</v>
      </c>
      <c r="AA1213" s="222">
        <v>0</v>
      </c>
      <c r="AB1213" s="222">
        <v>0</v>
      </c>
      <c r="AC1213" s="222">
        <v>0</v>
      </c>
      <c r="AD1213" s="222">
        <v>0</v>
      </c>
      <c r="AE1213" s="222">
        <v>945</v>
      </c>
      <c r="AF1213" s="221">
        <f>6238.91*AE1213/I1213</f>
        <v>8833.9375936469896</v>
      </c>
      <c r="AG1213" s="222">
        <v>0</v>
      </c>
      <c r="AH1213" s="221">
        <v>0</v>
      </c>
      <c r="AI1213" s="222">
        <v>0</v>
      </c>
      <c r="AJ1213" s="221">
        <v>0</v>
      </c>
      <c r="AK1213" s="222">
        <v>0</v>
      </c>
      <c r="AL1213" s="222">
        <v>0</v>
      </c>
      <c r="AM1213" s="222">
        <v>0</v>
      </c>
      <c r="AN1213" s="222"/>
      <c r="AO1213" s="222">
        <v>0</v>
      </c>
      <c r="AP1213" s="223"/>
      <c r="DQ1213" s="234"/>
      <c r="DR1213" s="234"/>
      <c r="DS1213" s="234"/>
      <c r="EP1213" s="235"/>
      <c r="FS1213" s="236"/>
      <c r="GI1213" s="237"/>
    </row>
    <row r="1214" spans="1:191" s="223" customFormat="1" ht="36" customHeight="1" x14ac:dyDescent="0.25">
      <c r="B1214" s="215" t="s">
        <v>887</v>
      </c>
      <c r="C1214" s="215"/>
      <c r="D1214" s="217" t="s">
        <v>751</v>
      </c>
      <c r="E1214" s="217" t="s">
        <v>751</v>
      </c>
      <c r="F1214" s="217" t="s">
        <v>751</v>
      </c>
      <c r="G1214" s="217" t="s">
        <v>751</v>
      </c>
      <c r="H1214" s="217" t="s">
        <v>751</v>
      </c>
      <c r="I1214" s="218">
        <f>I1215</f>
        <v>569.20000000000005</v>
      </c>
      <c r="J1214" s="218">
        <f>J1215</f>
        <v>569.20000000000005</v>
      </c>
      <c r="K1214" s="218">
        <f>K1215</f>
        <v>569.20000000000005</v>
      </c>
      <c r="L1214" s="219">
        <f>L1215</f>
        <v>29</v>
      </c>
      <c r="M1214" s="217" t="s">
        <v>890</v>
      </c>
      <c r="N1214" s="217" t="s">
        <v>890</v>
      </c>
      <c r="O1214" s="220" t="s">
        <v>890</v>
      </c>
      <c r="P1214" s="190">
        <v>1538879.17</v>
      </c>
      <c r="Q1214" s="190">
        <f>Q1215</f>
        <v>0</v>
      </c>
      <c r="R1214" s="190">
        <f>R1215</f>
        <v>0</v>
      </c>
      <c r="S1214" s="190">
        <f>S1215</f>
        <v>1538879.17</v>
      </c>
      <c r="T1214" s="190">
        <f t="shared" si="151"/>
        <v>2703.5825193253686</v>
      </c>
      <c r="U1214" s="190">
        <f>U1215</f>
        <v>4550.3594518622622</v>
      </c>
      <c r="V1214" s="221">
        <f t="shared" si="152"/>
        <v>1846.7769325368936</v>
      </c>
      <c r="W1214" s="221"/>
      <c r="X1214" s="221"/>
      <c r="Y1214" s="222"/>
      <c r="Z1214" s="222"/>
      <c r="AA1214" s="222"/>
      <c r="AB1214" s="222"/>
      <c r="AC1214" s="222"/>
      <c r="AD1214" s="222"/>
      <c r="AE1214" s="222"/>
      <c r="AF1214" s="222"/>
      <c r="AG1214" s="222"/>
      <c r="AH1214" s="222"/>
      <c r="AI1214" s="222"/>
      <c r="AJ1214" s="222"/>
      <c r="AK1214" s="222"/>
      <c r="AL1214" s="222"/>
      <c r="AM1214" s="222"/>
      <c r="AN1214" s="222"/>
      <c r="AO1214" s="222"/>
    </row>
    <row r="1215" spans="1:191" s="154" customFormat="1" ht="36" customHeight="1" x14ac:dyDescent="0.25">
      <c r="A1215" s="223">
        <v>1</v>
      </c>
      <c r="B1215" s="225">
        <f>SUBTOTAL(103,$A$1030:A1215)</f>
        <v>163</v>
      </c>
      <c r="C1215" s="232" t="s">
        <v>696</v>
      </c>
      <c r="D1215" s="217">
        <v>1978</v>
      </c>
      <c r="E1215" s="217"/>
      <c r="F1215" s="233" t="s">
        <v>267</v>
      </c>
      <c r="G1215" s="217">
        <v>2</v>
      </c>
      <c r="H1215" s="217" t="s">
        <v>303</v>
      </c>
      <c r="I1215" s="218">
        <v>569.20000000000005</v>
      </c>
      <c r="J1215" s="218">
        <v>569.20000000000005</v>
      </c>
      <c r="K1215" s="218">
        <v>569.20000000000005</v>
      </c>
      <c r="L1215" s="231">
        <v>29</v>
      </c>
      <c r="M1215" s="217" t="s">
        <v>265</v>
      </c>
      <c r="N1215" s="217" t="s">
        <v>266</v>
      </c>
      <c r="O1215" s="217" t="s">
        <v>268</v>
      </c>
      <c r="P1215" s="218">
        <v>1538879.17</v>
      </c>
      <c r="Q1215" s="218">
        <v>0</v>
      </c>
      <c r="R1215" s="218">
        <v>0</v>
      </c>
      <c r="S1215" s="218">
        <f>P1215-Q1215-R1215</f>
        <v>1538879.17</v>
      </c>
      <c r="T1215" s="190">
        <f t="shared" si="151"/>
        <v>2703.5825193253686</v>
      </c>
      <c r="U1215" s="190">
        <v>4550.3594518622622</v>
      </c>
      <c r="V1215" s="221">
        <f>U1215-T1215</f>
        <v>1846.7769325368936</v>
      </c>
      <c r="W1215" s="221">
        <f>X1215+Y1215+Z1215+AA1215+AB1215+AD1215+AF1215+AH1215+AJ1215+AL1215+AN1215+AO1215</f>
        <v>4362.4142304989455</v>
      </c>
      <c r="X1215" s="221">
        <v>0</v>
      </c>
      <c r="Y1215" s="222">
        <v>0</v>
      </c>
      <c r="Z1215" s="222">
        <v>0</v>
      </c>
      <c r="AA1215" s="222">
        <v>0</v>
      </c>
      <c r="AB1215" s="222">
        <v>0</v>
      </c>
      <c r="AC1215" s="222">
        <v>0</v>
      </c>
      <c r="AD1215" s="222">
        <v>0</v>
      </c>
      <c r="AE1215" s="222">
        <v>398</v>
      </c>
      <c r="AF1215" s="221">
        <f>6238.91*AE1215/I1215</f>
        <v>4362.4142304989455</v>
      </c>
      <c r="AG1215" s="222">
        <v>0</v>
      </c>
      <c r="AH1215" s="221">
        <v>0</v>
      </c>
      <c r="AI1215" s="222">
        <v>0</v>
      </c>
      <c r="AJ1215" s="221">
        <v>0</v>
      </c>
      <c r="AK1215" s="222">
        <v>0</v>
      </c>
      <c r="AL1215" s="222">
        <v>0</v>
      </c>
      <c r="AM1215" s="222">
        <v>0</v>
      </c>
      <c r="AN1215" s="222"/>
      <c r="AO1215" s="222">
        <v>0</v>
      </c>
      <c r="AP1215" s="223"/>
      <c r="DQ1215" s="234"/>
      <c r="DR1215" s="234"/>
      <c r="DS1215" s="234"/>
      <c r="EP1215" s="235"/>
      <c r="FS1215" s="236"/>
      <c r="GI1215" s="237"/>
    </row>
    <row r="1216" spans="1:191" s="223" customFormat="1" ht="36" customHeight="1" x14ac:dyDescent="0.25">
      <c r="B1216" s="215" t="s">
        <v>831</v>
      </c>
      <c r="C1216" s="227"/>
      <c r="D1216" s="217" t="s">
        <v>890</v>
      </c>
      <c r="E1216" s="217" t="s">
        <v>890</v>
      </c>
      <c r="F1216" s="217" t="s">
        <v>890</v>
      </c>
      <c r="G1216" s="217" t="s">
        <v>890</v>
      </c>
      <c r="H1216" s="217" t="s">
        <v>890</v>
      </c>
      <c r="I1216" s="218">
        <f>SUM(I1217:I1222)</f>
        <v>14681.960000000001</v>
      </c>
      <c r="J1216" s="218">
        <f>SUM(J1217:J1222)</f>
        <v>12768.960000000001</v>
      </c>
      <c r="K1216" s="218">
        <f>SUM(K1217:K1222)</f>
        <v>10622.69</v>
      </c>
      <c r="L1216" s="219">
        <f>SUM(L1217:L1222)</f>
        <v>474</v>
      </c>
      <c r="M1216" s="217" t="s">
        <v>890</v>
      </c>
      <c r="N1216" s="217" t="s">
        <v>890</v>
      </c>
      <c r="O1216" s="220" t="s">
        <v>890</v>
      </c>
      <c r="P1216" s="218">
        <v>29368928.999999996</v>
      </c>
      <c r="Q1216" s="218">
        <f>SUM(Q1217:Q1222)</f>
        <v>0</v>
      </c>
      <c r="R1216" s="218">
        <f>SUM(R1217:R1222)</f>
        <v>0</v>
      </c>
      <c r="S1216" s="218">
        <f>SUM(S1217:S1222)</f>
        <v>29368928.999999996</v>
      </c>
      <c r="T1216" s="190">
        <f t="shared" si="151"/>
        <v>2000.3411669831544</v>
      </c>
      <c r="U1216" s="190">
        <f>MAX(U1217:U1222)</f>
        <v>5811.0753328282281</v>
      </c>
      <c r="V1216" s="221">
        <f t="shared" si="152"/>
        <v>3810.7341658450737</v>
      </c>
      <c r="W1216" s="221"/>
      <c r="X1216" s="221"/>
      <c r="Y1216" s="222"/>
      <c r="Z1216" s="222"/>
      <c r="AA1216" s="222"/>
      <c r="AB1216" s="222"/>
      <c r="AC1216" s="222"/>
      <c r="AD1216" s="222"/>
      <c r="AE1216" s="222"/>
      <c r="AF1216" s="222"/>
      <c r="AG1216" s="222"/>
      <c r="AH1216" s="222"/>
      <c r="AI1216" s="222"/>
      <c r="AJ1216" s="222"/>
      <c r="AK1216" s="222"/>
      <c r="AL1216" s="222"/>
      <c r="AM1216" s="222"/>
      <c r="AN1216" s="222"/>
      <c r="AO1216" s="222"/>
    </row>
    <row r="1217" spans="1:191" s="154" customFormat="1" ht="36" customHeight="1" x14ac:dyDescent="0.25">
      <c r="A1217" s="223">
        <v>1</v>
      </c>
      <c r="B1217" s="225">
        <f>SUBTOTAL(103,$A$1030:A1217)</f>
        <v>164</v>
      </c>
      <c r="C1217" s="232" t="s">
        <v>134</v>
      </c>
      <c r="D1217" s="217">
        <v>1994</v>
      </c>
      <c r="E1217" s="217"/>
      <c r="F1217" s="233" t="s">
        <v>267</v>
      </c>
      <c r="G1217" s="217">
        <v>4</v>
      </c>
      <c r="H1217" s="217" t="s">
        <v>312</v>
      </c>
      <c r="I1217" s="218">
        <v>3731.88</v>
      </c>
      <c r="J1217" s="218">
        <v>2769.88</v>
      </c>
      <c r="K1217" s="218">
        <v>2769.88</v>
      </c>
      <c r="L1217" s="231">
        <v>111</v>
      </c>
      <c r="M1217" s="217" t="s">
        <v>265</v>
      </c>
      <c r="N1217" s="217" t="s">
        <v>269</v>
      </c>
      <c r="O1217" s="217" t="s">
        <v>284</v>
      </c>
      <c r="P1217" s="218">
        <v>6533531.75</v>
      </c>
      <c r="Q1217" s="218">
        <v>0</v>
      </c>
      <c r="R1217" s="218">
        <v>0</v>
      </c>
      <c r="S1217" s="218">
        <f t="shared" ref="S1217:S1222" si="162">P1217-Q1217-R1217</f>
        <v>6533531.75</v>
      </c>
      <c r="T1217" s="190">
        <f t="shared" si="151"/>
        <v>1750.7346833231506</v>
      </c>
      <c r="U1217" s="190">
        <v>2048.9800047161216</v>
      </c>
      <c r="V1217" s="221">
        <f t="shared" si="152"/>
        <v>298.24532139297094</v>
      </c>
      <c r="W1217" s="221">
        <f t="shared" ref="W1217:W1222" si="163">X1217+Y1217+Z1217+AA1217+AB1217+AD1217+AF1217+AH1217+AJ1217+AL1217+AN1217+AO1217</f>
        <v>1964.3502068662442</v>
      </c>
      <c r="X1217" s="221">
        <v>0</v>
      </c>
      <c r="Y1217" s="222">
        <v>0</v>
      </c>
      <c r="Z1217" s="222">
        <v>0</v>
      </c>
      <c r="AA1217" s="222">
        <v>0</v>
      </c>
      <c r="AB1217" s="222">
        <v>0</v>
      </c>
      <c r="AC1217" s="222">
        <v>0</v>
      </c>
      <c r="AD1217" s="222">
        <v>0</v>
      </c>
      <c r="AE1217" s="222">
        <v>1175</v>
      </c>
      <c r="AF1217" s="221">
        <f>6238.91*AE1217/I1217</f>
        <v>1964.3502068662442</v>
      </c>
      <c r="AG1217" s="222">
        <v>0</v>
      </c>
      <c r="AH1217" s="221">
        <v>0</v>
      </c>
      <c r="AI1217" s="222">
        <v>0</v>
      </c>
      <c r="AJ1217" s="221">
        <v>0</v>
      </c>
      <c r="AK1217" s="222">
        <v>0</v>
      </c>
      <c r="AL1217" s="222">
        <v>0</v>
      </c>
      <c r="AM1217" s="222">
        <v>0</v>
      </c>
      <c r="AN1217" s="222"/>
      <c r="AO1217" s="222">
        <v>0</v>
      </c>
      <c r="AP1217" s="223"/>
      <c r="DQ1217" s="234"/>
      <c r="DR1217" s="234"/>
      <c r="DS1217" s="234"/>
      <c r="EP1217" s="235"/>
      <c r="FS1217" s="236"/>
      <c r="GI1217" s="237"/>
    </row>
    <row r="1218" spans="1:191" s="154" customFormat="1" ht="36" customHeight="1" x14ac:dyDescent="0.25">
      <c r="A1218" s="223">
        <v>1</v>
      </c>
      <c r="B1218" s="225">
        <f>SUBTOTAL(103,$A$1030:A1218)</f>
        <v>165</v>
      </c>
      <c r="C1218" s="232" t="s">
        <v>131</v>
      </c>
      <c r="D1218" s="217">
        <v>1992</v>
      </c>
      <c r="E1218" s="217"/>
      <c r="F1218" s="233" t="s">
        <v>267</v>
      </c>
      <c r="G1218" s="217">
        <v>2</v>
      </c>
      <c r="H1218" s="217" t="s">
        <v>312</v>
      </c>
      <c r="I1218" s="218">
        <v>1621.8</v>
      </c>
      <c r="J1218" s="218">
        <v>965.3</v>
      </c>
      <c r="K1218" s="218">
        <v>915.9</v>
      </c>
      <c r="L1218" s="231">
        <v>39</v>
      </c>
      <c r="M1218" s="217" t="s">
        <v>265</v>
      </c>
      <c r="N1218" s="217" t="s">
        <v>269</v>
      </c>
      <c r="O1218" s="217" t="s">
        <v>284</v>
      </c>
      <c r="P1218" s="218">
        <v>5163742.3999999994</v>
      </c>
      <c r="Q1218" s="218">
        <v>0</v>
      </c>
      <c r="R1218" s="218">
        <v>0</v>
      </c>
      <c r="S1218" s="218">
        <f t="shared" si="162"/>
        <v>5163742.3999999994</v>
      </c>
      <c r="T1218" s="190">
        <f t="shared" si="151"/>
        <v>3183.9575779997531</v>
      </c>
      <c r="U1218" s="190">
        <v>3186.8129979035643</v>
      </c>
      <c r="V1218" s="221">
        <f t="shared" si="152"/>
        <v>2.8554199038112529</v>
      </c>
      <c r="W1218" s="221">
        <f t="shared" si="163"/>
        <v>3221.3719077568135</v>
      </c>
      <c r="X1218" s="221">
        <v>0</v>
      </c>
      <c r="Y1218" s="222">
        <v>0</v>
      </c>
      <c r="Z1218" s="222">
        <v>0</v>
      </c>
      <c r="AA1218" s="222">
        <v>0</v>
      </c>
      <c r="AB1218" s="222">
        <v>0</v>
      </c>
      <c r="AC1218" s="222">
        <v>0</v>
      </c>
      <c r="AD1218" s="222">
        <v>0</v>
      </c>
      <c r="AE1218" s="222">
        <v>0</v>
      </c>
      <c r="AF1218" s="221">
        <v>0</v>
      </c>
      <c r="AG1218" s="222">
        <v>0</v>
      </c>
      <c r="AH1218" s="221">
        <v>0</v>
      </c>
      <c r="AI1218" s="222">
        <v>0</v>
      </c>
      <c r="AJ1218" s="221">
        <v>0</v>
      </c>
      <c r="AK1218" s="222">
        <v>0</v>
      </c>
      <c r="AL1218" s="222">
        <v>0</v>
      </c>
      <c r="AM1218" s="222">
        <v>748</v>
      </c>
      <c r="AN1218" s="222">
        <f>6984.52*AM1218/I1218</f>
        <v>3221.3719077568135</v>
      </c>
      <c r="AO1218" s="222">
        <v>0</v>
      </c>
      <c r="AP1218" s="223"/>
      <c r="DQ1218" s="234"/>
      <c r="DR1218" s="234"/>
      <c r="DS1218" s="234"/>
      <c r="EP1218" s="235"/>
      <c r="FS1218" s="236"/>
      <c r="GI1218" s="237"/>
    </row>
    <row r="1219" spans="1:191" s="154" customFormat="1" ht="36" customHeight="1" x14ac:dyDescent="0.25">
      <c r="A1219" s="223">
        <v>1</v>
      </c>
      <c r="B1219" s="225">
        <f>SUBTOTAL(103,$A$1030:A1219)</f>
        <v>166</v>
      </c>
      <c r="C1219" s="232" t="s">
        <v>136</v>
      </c>
      <c r="D1219" s="217">
        <v>1986</v>
      </c>
      <c r="E1219" s="217"/>
      <c r="F1219" s="233" t="s">
        <v>267</v>
      </c>
      <c r="G1219" s="217">
        <v>2</v>
      </c>
      <c r="H1219" s="217" t="s">
        <v>312</v>
      </c>
      <c r="I1219" s="218">
        <v>923.9</v>
      </c>
      <c r="J1219" s="218">
        <v>841.9</v>
      </c>
      <c r="K1219" s="218">
        <v>646.1</v>
      </c>
      <c r="L1219" s="231">
        <v>45</v>
      </c>
      <c r="M1219" s="217" t="s">
        <v>265</v>
      </c>
      <c r="N1219" s="217" t="s">
        <v>269</v>
      </c>
      <c r="O1219" s="217" t="s">
        <v>284</v>
      </c>
      <c r="P1219" s="218">
        <v>4587373.3600000003</v>
      </c>
      <c r="Q1219" s="218">
        <v>0</v>
      </c>
      <c r="R1219" s="218">
        <v>0</v>
      </c>
      <c r="S1219" s="218">
        <f t="shared" si="162"/>
        <v>4587373.3600000003</v>
      </c>
      <c r="T1219" s="190">
        <f t="shared" si="151"/>
        <v>4965.2271457950001</v>
      </c>
      <c r="U1219" s="190">
        <v>5811.0753328282281</v>
      </c>
      <c r="V1219" s="221">
        <f t="shared" si="152"/>
        <v>845.84818703322799</v>
      </c>
      <c r="W1219" s="221">
        <f t="shared" si="163"/>
        <v>5571.0582855287366</v>
      </c>
      <c r="X1219" s="221">
        <v>0</v>
      </c>
      <c r="Y1219" s="222">
        <v>0</v>
      </c>
      <c r="Z1219" s="222">
        <v>0</v>
      </c>
      <c r="AA1219" s="222">
        <v>0</v>
      </c>
      <c r="AB1219" s="222">
        <v>0</v>
      </c>
      <c r="AC1219" s="222">
        <v>0</v>
      </c>
      <c r="AD1219" s="222">
        <v>0</v>
      </c>
      <c r="AE1219" s="222">
        <v>825</v>
      </c>
      <c r="AF1219" s="221">
        <f>6238.91*AE1219/I1219</f>
        <v>5571.0582855287366</v>
      </c>
      <c r="AG1219" s="222">
        <v>0</v>
      </c>
      <c r="AH1219" s="221">
        <v>0</v>
      </c>
      <c r="AI1219" s="222">
        <v>0</v>
      </c>
      <c r="AJ1219" s="221">
        <v>0</v>
      </c>
      <c r="AK1219" s="222">
        <v>0</v>
      </c>
      <c r="AL1219" s="222">
        <v>0</v>
      </c>
      <c r="AM1219" s="222">
        <v>0</v>
      </c>
      <c r="AN1219" s="222"/>
      <c r="AO1219" s="222">
        <v>0</v>
      </c>
      <c r="AP1219" s="223"/>
      <c r="DQ1219" s="234"/>
      <c r="DR1219" s="234"/>
      <c r="DS1219" s="234"/>
      <c r="EP1219" s="235"/>
      <c r="FS1219" s="236"/>
      <c r="GI1219" s="237"/>
    </row>
    <row r="1220" spans="1:191" s="154" customFormat="1" ht="36" customHeight="1" x14ac:dyDescent="0.25">
      <c r="A1220" s="223">
        <v>1</v>
      </c>
      <c r="B1220" s="225">
        <f>SUBTOTAL(103,$A$1030:A1220)</f>
        <v>167</v>
      </c>
      <c r="C1220" s="232" t="s">
        <v>132</v>
      </c>
      <c r="D1220" s="217">
        <v>1972</v>
      </c>
      <c r="E1220" s="217"/>
      <c r="F1220" s="233" t="s">
        <v>267</v>
      </c>
      <c r="G1220" s="217">
        <v>5</v>
      </c>
      <c r="H1220" s="217" t="s">
        <v>308</v>
      </c>
      <c r="I1220" s="218">
        <v>3740.78</v>
      </c>
      <c r="J1220" s="218">
        <v>3740.78</v>
      </c>
      <c r="K1220" s="218">
        <v>2819.7</v>
      </c>
      <c r="L1220" s="231">
        <v>124</v>
      </c>
      <c r="M1220" s="217" t="s">
        <v>265</v>
      </c>
      <c r="N1220" s="217" t="s">
        <v>269</v>
      </c>
      <c r="O1220" s="217" t="s">
        <v>285</v>
      </c>
      <c r="P1220" s="218">
        <v>5599375.7199999997</v>
      </c>
      <c r="Q1220" s="218">
        <v>0</v>
      </c>
      <c r="R1220" s="218">
        <v>0</v>
      </c>
      <c r="S1220" s="218">
        <f t="shared" si="162"/>
        <v>5599375.7199999997</v>
      </c>
      <c r="T1220" s="190">
        <f t="shared" si="151"/>
        <v>1496.8471067531368</v>
      </c>
      <c r="U1220" s="190">
        <v>1751.8415678013673</v>
      </c>
      <c r="V1220" s="221">
        <f t="shared" si="152"/>
        <v>254.99446104823051</v>
      </c>
      <c r="W1220" s="221">
        <f t="shared" si="163"/>
        <v>1679.4845914488421</v>
      </c>
      <c r="X1220" s="221">
        <v>0</v>
      </c>
      <c r="Y1220" s="222">
        <v>0</v>
      </c>
      <c r="Z1220" s="222">
        <v>0</v>
      </c>
      <c r="AA1220" s="222">
        <v>0</v>
      </c>
      <c r="AB1220" s="222">
        <v>0</v>
      </c>
      <c r="AC1220" s="222">
        <v>0</v>
      </c>
      <c r="AD1220" s="222">
        <v>0</v>
      </c>
      <c r="AE1220" s="222">
        <v>1007</v>
      </c>
      <c r="AF1220" s="221">
        <f>6238.91*AE1220/I1220</f>
        <v>1679.4845914488421</v>
      </c>
      <c r="AG1220" s="222">
        <v>0</v>
      </c>
      <c r="AH1220" s="221">
        <v>0</v>
      </c>
      <c r="AI1220" s="222">
        <v>0</v>
      </c>
      <c r="AJ1220" s="221">
        <v>0</v>
      </c>
      <c r="AK1220" s="222">
        <v>0</v>
      </c>
      <c r="AL1220" s="222">
        <v>0</v>
      </c>
      <c r="AM1220" s="222">
        <v>0</v>
      </c>
      <c r="AN1220" s="222"/>
      <c r="AO1220" s="222">
        <v>0</v>
      </c>
      <c r="AP1220" s="223"/>
      <c r="DQ1220" s="234"/>
      <c r="DR1220" s="234"/>
      <c r="DS1220" s="234"/>
      <c r="EP1220" s="235"/>
      <c r="FS1220" s="236"/>
      <c r="GI1220" s="237"/>
    </row>
    <row r="1221" spans="1:191" s="154" customFormat="1" ht="36" customHeight="1" x14ac:dyDescent="0.25">
      <c r="A1221" s="223">
        <v>1</v>
      </c>
      <c r="B1221" s="225">
        <f>SUBTOTAL(103,$A$1030:A1221)</f>
        <v>168</v>
      </c>
      <c r="C1221" s="232" t="s">
        <v>133</v>
      </c>
      <c r="D1221" s="217">
        <v>1979</v>
      </c>
      <c r="E1221" s="217"/>
      <c r="F1221" s="233" t="s">
        <v>267</v>
      </c>
      <c r="G1221" s="217">
        <v>5</v>
      </c>
      <c r="H1221" s="217" t="s">
        <v>308</v>
      </c>
      <c r="I1221" s="218">
        <v>4025.6</v>
      </c>
      <c r="J1221" s="218">
        <v>4025.6</v>
      </c>
      <c r="K1221" s="218">
        <v>3076</v>
      </c>
      <c r="L1221" s="231">
        <v>133</v>
      </c>
      <c r="M1221" s="217" t="s">
        <v>265</v>
      </c>
      <c r="N1221" s="217" t="s">
        <v>269</v>
      </c>
      <c r="O1221" s="217" t="s">
        <v>285</v>
      </c>
      <c r="P1221" s="218">
        <v>4480243.62</v>
      </c>
      <c r="Q1221" s="218">
        <v>0</v>
      </c>
      <c r="R1221" s="218">
        <v>0</v>
      </c>
      <c r="S1221" s="218">
        <f t="shared" si="162"/>
        <v>4480243.62</v>
      </c>
      <c r="T1221" s="190">
        <f t="shared" si="151"/>
        <v>1112.9381011526232</v>
      </c>
      <c r="U1221" s="190">
        <v>1248.9688543322734</v>
      </c>
      <c r="V1221" s="221">
        <f t="shared" si="152"/>
        <v>136.03075317965022</v>
      </c>
      <c r="W1221" s="221">
        <f t="shared" si="163"/>
        <v>1197.3822202901431</v>
      </c>
      <c r="X1221" s="221">
        <v>0</v>
      </c>
      <c r="Y1221" s="222">
        <v>0</v>
      </c>
      <c r="Z1221" s="222">
        <v>0</v>
      </c>
      <c r="AA1221" s="222">
        <v>0</v>
      </c>
      <c r="AB1221" s="222">
        <v>0</v>
      </c>
      <c r="AC1221" s="222">
        <v>0</v>
      </c>
      <c r="AD1221" s="222">
        <v>0</v>
      </c>
      <c r="AE1221" s="222">
        <v>772.6</v>
      </c>
      <c r="AF1221" s="221">
        <f>6238.91*AE1221/I1221</f>
        <v>1197.3822202901431</v>
      </c>
      <c r="AG1221" s="222">
        <v>0</v>
      </c>
      <c r="AH1221" s="221">
        <v>0</v>
      </c>
      <c r="AI1221" s="222">
        <v>0</v>
      </c>
      <c r="AJ1221" s="221">
        <v>0</v>
      </c>
      <c r="AK1221" s="222">
        <v>0</v>
      </c>
      <c r="AL1221" s="222">
        <v>0</v>
      </c>
      <c r="AM1221" s="222">
        <v>0</v>
      </c>
      <c r="AN1221" s="222"/>
      <c r="AO1221" s="222">
        <v>0</v>
      </c>
      <c r="AP1221" s="223"/>
      <c r="DQ1221" s="234"/>
      <c r="DR1221" s="234"/>
      <c r="DS1221" s="234"/>
      <c r="EP1221" s="235"/>
      <c r="FS1221" s="236"/>
      <c r="GI1221" s="237"/>
    </row>
    <row r="1222" spans="1:191" s="154" customFormat="1" ht="36" customHeight="1" x14ac:dyDescent="0.25">
      <c r="A1222" s="223">
        <v>1</v>
      </c>
      <c r="B1222" s="225">
        <f>SUBTOTAL(103,$A$1030:A1222)</f>
        <v>169</v>
      </c>
      <c r="C1222" s="232" t="s">
        <v>1592</v>
      </c>
      <c r="D1222" s="217">
        <v>1967</v>
      </c>
      <c r="E1222" s="217"/>
      <c r="F1222" s="233" t="s">
        <v>318</v>
      </c>
      <c r="G1222" s="217">
        <v>2</v>
      </c>
      <c r="H1222" s="217" t="s">
        <v>303</v>
      </c>
      <c r="I1222" s="218">
        <v>638</v>
      </c>
      <c r="J1222" s="218">
        <v>425.5</v>
      </c>
      <c r="K1222" s="218">
        <v>395.11</v>
      </c>
      <c r="L1222" s="231">
        <v>22</v>
      </c>
      <c r="M1222" s="217" t="s">
        <v>265</v>
      </c>
      <c r="N1222" s="217" t="s">
        <v>269</v>
      </c>
      <c r="O1222" s="217" t="s">
        <v>1578</v>
      </c>
      <c r="P1222" s="218">
        <v>3004662.15</v>
      </c>
      <c r="Q1222" s="218">
        <v>0</v>
      </c>
      <c r="R1222" s="218">
        <v>0</v>
      </c>
      <c r="S1222" s="218">
        <f t="shared" si="162"/>
        <v>3004662.15</v>
      </c>
      <c r="T1222" s="190">
        <f t="shared" si="151"/>
        <v>4709.5018025078371</v>
      </c>
      <c r="U1222" s="190">
        <v>4934.1837053291538</v>
      </c>
      <c r="V1222" s="221">
        <f t="shared" si="152"/>
        <v>224.68190282131673</v>
      </c>
      <c r="W1222" s="221">
        <f t="shared" si="163"/>
        <v>4987.6917115987471</v>
      </c>
      <c r="X1222" s="221">
        <v>0</v>
      </c>
      <c r="Y1222" s="222">
        <v>0</v>
      </c>
      <c r="Z1222" s="222">
        <v>0</v>
      </c>
      <c r="AA1222" s="222">
        <v>0</v>
      </c>
      <c r="AB1222" s="222">
        <v>0</v>
      </c>
      <c r="AC1222" s="222">
        <v>0</v>
      </c>
      <c r="AD1222" s="222">
        <v>0</v>
      </c>
      <c r="AE1222" s="222">
        <v>0</v>
      </c>
      <c r="AF1222" s="221">
        <v>0</v>
      </c>
      <c r="AG1222" s="222">
        <v>0</v>
      </c>
      <c r="AH1222" s="221">
        <v>0</v>
      </c>
      <c r="AI1222" s="222">
        <v>0</v>
      </c>
      <c r="AJ1222" s="221">
        <v>0</v>
      </c>
      <c r="AK1222" s="222">
        <v>0</v>
      </c>
      <c r="AL1222" s="222">
        <v>0</v>
      </c>
      <c r="AM1222" s="222">
        <v>455.6</v>
      </c>
      <c r="AN1222" s="222">
        <f>6984.52*AM1222/I1222</f>
        <v>4987.6917115987471</v>
      </c>
      <c r="AO1222" s="222">
        <v>0</v>
      </c>
      <c r="AP1222" s="223"/>
      <c r="DQ1222" s="247"/>
      <c r="DR1222" s="247"/>
      <c r="DS1222" s="247"/>
      <c r="EP1222" s="235"/>
      <c r="FS1222" s="236"/>
      <c r="GI1222" s="237"/>
    </row>
    <row r="1223" spans="1:191" s="223" customFormat="1" ht="36" customHeight="1" x14ac:dyDescent="0.25">
      <c r="B1223" s="215" t="s">
        <v>837</v>
      </c>
      <c r="C1223" s="227"/>
      <c r="D1223" s="217" t="s">
        <v>890</v>
      </c>
      <c r="E1223" s="217" t="s">
        <v>890</v>
      </c>
      <c r="F1223" s="217" t="s">
        <v>890</v>
      </c>
      <c r="G1223" s="217" t="s">
        <v>890</v>
      </c>
      <c r="H1223" s="217" t="s">
        <v>890</v>
      </c>
      <c r="I1223" s="218">
        <f>SUM(I1224:I1225)</f>
        <v>1573</v>
      </c>
      <c r="J1223" s="218">
        <f>SUM(J1224:J1225)</f>
        <v>1423.2</v>
      </c>
      <c r="K1223" s="218">
        <f>SUM(K1224:K1225)</f>
        <v>1423.2</v>
      </c>
      <c r="L1223" s="219">
        <f>SUM(L1224:L1225)</f>
        <v>86</v>
      </c>
      <c r="M1223" s="217" t="s">
        <v>890</v>
      </c>
      <c r="N1223" s="217" t="s">
        <v>890</v>
      </c>
      <c r="O1223" s="220" t="s">
        <v>890</v>
      </c>
      <c r="P1223" s="190">
        <v>5777967.8699999992</v>
      </c>
      <c r="Q1223" s="190">
        <f>Q1224+Q1225</f>
        <v>0</v>
      </c>
      <c r="R1223" s="190">
        <f>R1224+R1225</f>
        <v>0</v>
      </c>
      <c r="S1223" s="190">
        <f>S1224+S1225</f>
        <v>5777967.8699999992</v>
      </c>
      <c r="T1223" s="190">
        <f t="shared" si="151"/>
        <v>3673.2154291163379</v>
      </c>
      <c r="U1223" s="190">
        <f>MAX(U1224:U1225)</f>
        <v>5289.4349170191999</v>
      </c>
      <c r="V1223" s="221">
        <f t="shared" si="152"/>
        <v>1616.2194879028621</v>
      </c>
      <c r="W1223" s="221"/>
      <c r="X1223" s="221"/>
      <c r="Y1223" s="222"/>
      <c r="Z1223" s="222"/>
      <c r="AA1223" s="222"/>
      <c r="AB1223" s="222"/>
      <c r="AC1223" s="222"/>
      <c r="AD1223" s="222"/>
      <c r="AE1223" s="222"/>
      <c r="AF1223" s="222"/>
      <c r="AG1223" s="222"/>
      <c r="AH1223" s="222"/>
      <c r="AI1223" s="222"/>
      <c r="AJ1223" s="222"/>
      <c r="AK1223" s="222"/>
      <c r="AL1223" s="222"/>
      <c r="AM1223" s="222"/>
      <c r="AN1223" s="222"/>
      <c r="AO1223" s="222"/>
    </row>
    <row r="1224" spans="1:191" s="154" customFormat="1" ht="36" customHeight="1" x14ac:dyDescent="0.25">
      <c r="A1224" s="223">
        <v>1</v>
      </c>
      <c r="B1224" s="225">
        <f>SUBTOTAL(103,$A$1030:A1224)</f>
        <v>170</v>
      </c>
      <c r="C1224" s="232" t="s">
        <v>178</v>
      </c>
      <c r="D1224" s="217">
        <v>1985</v>
      </c>
      <c r="E1224" s="217">
        <v>2009</v>
      </c>
      <c r="F1224" s="233" t="s">
        <v>267</v>
      </c>
      <c r="G1224" s="217">
        <v>2</v>
      </c>
      <c r="H1224" s="217" t="s">
        <v>303</v>
      </c>
      <c r="I1224" s="218">
        <v>958.4</v>
      </c>
      <c r="J1224" s="218">
        <v>858.1</v>
      </c>
      <c r="K1224" s="218">
        <v>858.1</v>
      </c>
      <c r="L1224" s="231">
        <v>63</v>
      </c>
      <c r="M1224" s="217" t="s">
        <v>265</v>
      </c>
      <c r="N1224" s="217" t="s">
        <v>266</v>
      </c>
      <c r="O1224" s="217" t="s">
        <v>268</v>
      </c>
      <c r="P1224" s="218">
        <v>3457143.9</v>
      </c>
      <c r="Q1224" s="218">
        <v>0</v>
      </c>
      <c r="R1224" s="218">
        <v>0</v>
      </c>
      <c r="S1224" s="218">
        <f>P1224-Q1224-R1224</f>
        <v>3457143.9</v>
      </c>
      <c r="T1224" s="190">
        <f t="shared" si="151"/>
        <v>3607.2035684474122</v>
      </c>
      <c r="U1224" s="190">
        <v>4277.8078046744577</v>
      </c>
      <c r="V1224" s="221">
        <f>U1224-T1224</f>
        <v>670.60423622704548</v>
      </c>
      <c r="W1224" s="221">
        <f>X1224+Y1224+Z1224+AA1224+AB1224+AD1224+AF1224+AH1224+AJ1224+AL1224+AN1224+AO1224</f>
        <v>4101.1198873121866</v>
      </c>
      <c r="X1224" s="221">
        <v>0</v>
      </c>
      <c r="Y1224" s="222">
        <v>0</v>
      </c>
      <c r="Z1224" s="222">
        <v>0</v>
      </c>
      <c r="AA1224" s="222">
        <v>0</v>
      </c>
      <c r="AB1224" s="222">
        <v>0</v>
      </c>
      <c r="AC1224" s="222">
        <v>0</v>
      </c>
      <c r="AD1224" s="222">
        <v>0</v>
      </c>
      <c r="AE1224" s="222">
        <v>630</v>
      </c>
      <c r="AF1224" s="221">
        <f>6238.91*AE1224/I1224</f>
        <v>4101.1198873121866</v>
      </c>
      <c r="AG1224" s="222">
        <v>0</v>
      </c>
      <c r="AH1224" s="221">
        <v>0</v>
      </c>
      <c r="AI1224" s="222">
        <v>0</v>
      </c>
      <c r="AJ1224" s="221">
        <v>0</v>
      </c>
      <c r="AK1224" s="222">
        <v>0</v>
      </c>
      <c r="AL1224" s="222">
        <v>0</v>
      </c>
      <c r="AM1224" s="222">
        <v>0</v>
      </c>
      <c r="AN1224" s="222"/>
      <c r="AO1224" s="222">
        <v>0</v>
      </c>
      <c r="AP1224" s="223"/>
      <c r="DQ1224" s="234"/>
      <c r="DR1224" s="234"/>
      <c r="DS1224" s="234"/>
      <c r="EP1224" s="235"/>
      <c r="FS1224" s="236"/>
      <c r="GI1224" s="237"/>
    </row>
    <row r="1225" spans="1:191" s="154" customFormat="1" ht="36" customHeight="1" x14ac:dyDescent="0.25">
      <c r="A1225" s="223">
        <v>1</v>
      </c>
      <c r="B1225" s="225">
        <f>SUBTOTAL(103,$A$1030:A1225)</f>
        <v>171</v>
      </c>
      <c r="C1225" s="232" t="s">
        <v>179</v>
      </c>
      <c r="D1225" s="217">
        <v>1961</v>
      </c>
      <c r="E1225" s="217">
        <v>2009</v>
      </c>
      <c r="F1225" s="233" t="s">
        <v>267</v>
      </c>
      <c r="G1225" s="217">
        <v>2</v>
      </c>
      <c r="H1225" s="217" t="s">
        <v>303</v>
      </c>
      <c r="I1225" s="218">
        <v>614.6</v>
      </c>
      <c r="J1225" s="218">
        <v>565.1</v>
      </c>
      <c r="K1225" s="218">
        <v>565.1</v>
      </c>
      <c r="L1225" s="231">
        <v>23</v>
      </c>
      <c r="M1225" s="217" t="s">
        <v>265</v>
      </c>
      <c r="N1225" s="217" t="s">
        <v>266</v>
      </c>
      <c r="O1225" s="217" t="s">
        <v>268</v>
      </c>
      <c r="P1225" s="218">
        <v>2320823.9699999997</v>
      </c>
      <c r="Q1225" s="218">
        <v>0</v>
      </c>
      <c r="R1225" s="218">
        <v>0</v>
      </c>
      <c r="S1225" s="218">
        <f>P1225-Q1225-R1225</f>
        <v>2320823.9699999997</v>
      </c>
      <c r="T1225" s="190">
        <f t="shared" si="151"/>
        <v>3776.153547022453</v>
      </c>
      <c r="U1225" s="190">
        <v>5289.4349170191999</v>
      </c>
      <c r="V1225" s="221">
        <f>U1225-T1225</f>
        <v>1513.2813699967469</v>
      </c>
      <c r="W1225" s="221">
        <f>X1225+Y1225+Z1225+AA1225+AB1225+AD1225+AF1225+AH1225+AJ1225+AL1225+AN1225+AO1225</f>
        <v>5289.4349170191999</v>
      </c>
      <c r="X1225" s="221">
        <v>0</v>
      </c>
      <c r="Y1225" s="222">
        <v>0</v>
      </c>
      <c r="Z1225" s="222">
        <v>0</v>
      </c>
      <c r="AA1225" s="222">
        <v>0</v>
      </c>
      <c r="AB1225" s="222">
        <v>0</v>
      </c>
      <c r="AC1225" s="222">
        <v>0</v>
      </c>
      <c r="AD1225" s="222">
        <v>0</v>
      </c>
      <c r="AE1225" s="222">
        <v>0</v>
      </c>
      <c r="AF1225" s="221">
        <v>0</v>
      </c>
      <c r="AG1225" s="222">
        <v>0</v>
      </c>
      <c r="AH1225" s="221">
        <v>0</v>
      </c>
      <c r="AI1225" s="222">
        <v>437</v>
      </c>
      <c r="AJ1225" s="221">
        <f>7439.1*AI1225/I1225</f>
        <v>5289.4349170191999</v>
      </c>
      <c r="AK1225" s="222">
        <v>0</v>
      </c>
      <c r="AL1225" s="222">
        <v>0</v>
      </c>
      <c r="AM1225" s="222">
        <v>0</v>
      </c>
      <c r="AN1225" s="222"/>
      <c r="AO1225" s="222">
        <v>0</v>
      </c>
      <c r="AP1225" s="223"/>
      <c r="DQ1225" s="234"/>
      <c r="DR1225" s="234"/>
      <c r="DS1225" s="234"/>
      <c r="EP1225" s="235"/>
      <c r="FS1225" s="236"/>
      <c r="GI1225" s="237"/>
    </row>
    <row r="1226" spans="1:191" s="223" customFormat="1" ht="36" customHeight="1" x14ac:dyDescent="0.25">
      <c r="B1226" s="215" t="s">
        <v>834</v>
      </c>
      <c r="C1226" s="215"/>
      <c r="D1226" s="217" t="s">
        <v>890</v>
      </c>
      <c r="E1226" s="217" t="s">
        <v>890</v>
      </c>
      <c r="F1226" s="217" t="s">
        <v>890</v>
      </c>
      <c r="G1226" s="217" t="s">
        <v>890</v>
      </c>
      <c r="H1226" s="217" t="s">
        <v>890</v>
      </c>
      <c r="I1226" s="218">
        <f>SUM(I1227:I1229)</f>
        <v>1266.2</v>
      </c>
      <c r="J1226" s="218">
        <f>SUM(J1227:J1229)</f>
        <v>1144.9000000000001</v>
      </c>
      <c r="K1226" s="218">
        <f>SUM(K1227:K1229)</f>
        <v>922.5</v>
      </c>
      <c r="L1226" s="219">
        <f>SUM(L1227:L1229)</f>
        <v>63</v>
      </c>
      <c r="M1226" s="217" t="s">
        <v>890</v>
      </c>
      <c r="N1226" s="217" t="s">
        <v>890</v>
      </c>
      <c r="O1226" s="220" t="s">
        <v>890</v>
      </c>
      <c r="P1226" s="190">
        <v>4715781.71</v>
      </c>
      <c r="Q1226" s="190">
        <f>Q1227+Q1228+Q1229</f>
        <v>0</v>
      </c>
      <c r="R1226" s="190">
        <f>R1227+R1228+R1229</f>
        <v>0</v>
      </c>
      <c r="S1226" s="190">
        <f>S1227+S1228+S1229</f>
        <v>4715781.71</v>
      </c>
      <c r="T1226" s="190">
        <f t="shared" si="151"/>
        <v>3724.3576923076921</v>
      </c>
      <c r="U1226" s="190">
        <f>MAX(U1227:U1229)</f>
        <v>5409.6436314363145</v>
      </c>
      <c r="V1226" s="221">
        <f t="shared" ref="V1226:V1289" si="164">U1226-T1226</f>
        <v>1685.2859391286224</v>
      </c>
      <c r="W1226" s="221"/>
      <c r="X1226" s="221"/>
      <c r="Y1226" s="222"/>
      <c r="Z1226" s="222"/>
      <c r="AA1226" s="222"/>
      <c r="AB1226" s="222"/>
      <c r="AC1226" s="222"/>
      <c r="AD1226" s="222"/>
      <c r="AE1226" s="222"/>
      <c r="AF1226" s="222"/>
      <c r="AG1226" s="222"/>
      <c r="AH1226" s="222"/>
      <c r="AI1226" s="222"/>
      <c r="AJ1226" s="222"/>
      <c r="AK1226" s="222"/>
      <c r="AL1226" s="222"/>
      <c r="AM1226" s="222"/>
      <c r="AN1226" s="222"/>
      <c r="AO1226" s="222"/>
    </row>
    <row r="1227" spans="1:191" s="154" customFormat="1" ht="36" customHeight="1" x14ac:dyDescent="0.25">
      <c r="A1227" s="223">
        <v>1</v>
      </c>
      <c r="B1227" s="225">
        <f>SUBTOTAL(103,$A$1030:A1227)</f>
        <v>172</v>
      </c>
      <c r="C1227" s="232" t="s">
        <v>792</v>
      </c>
      <c r="D1227" s="217">
        <v>1961</v>
      </c>
      <c r="E1227" s="217"/>
      <c r="F1227" s="233" t="s">
        <v>267</v>
      </c>
      <c r="G1227" s="217">
        <v>2</v>
      </c>
      <c r="H1227" s="217" t="s">
        <v>304</v>
      </c>
      <c r="I1227" s="218">
        <v>442.8</v>
      </c>
      <c r="J1227" s="218">
        <v>393.5</v>
      </c>
      <c r="K1227" s="218">
        <v>240.4</v>
      </c>
      <c r="L1227" s="231">
        <v>21</v>
      </c>
      <c r="M1227" s="217" t="s">
        <v>265</v>
      </c>
      <c r="N1227" s="217" t="s">
        <v>337</v>
      </c>
      <c r="O1227" s="217" t="s">
        <v>338</v>
      </c>
      <c r="P1227" s="218">
        <v>1710080.82</v>
      </c>
      <c r="Q1227" s="218">
        <v>0</v>
      </c>
      <c r="R1227" s="218">
        <v>0</v>
      </c>
      <c r="S1227" s="218">
        <f>P1227-Q1227-R1227</f>
        <v>1710080.82</v>
      </c>
      <c r="T1227" s="190">
        <f t="shared" si="151"/>
        <v>3861.9711382113824</v>
      </c>
      <c r="U1227" s="190">
        <v>5409.6436314363145</v>
      </c>
      <c r="V1227" s="221">
        <f t="shared" si="164"/>
        <v>1547.6724932249322</v>
      </c>
      <c r="W1227" s="221">
        <f>X1227+Y1227+Z1227+AA1227+AB1227+AD1227+AF1227+AH1227+AJ1227+AL1227+AN1227+AO1227</f>
        <v>5409.6436314363145</v>
      </c>
      <c r="X1227" s="221">
        <v>0</v>
      </c>
      <c r="Y1227" s="222">
        <v>0</v>
      </c>
      <c r="Z1227" s="222">
        <v>0</v>
      </c>
      <c r="AA1227" s="222">
        <v>0</v>
      </c>
      <c r="AB1227" s="222">
        <v>0</v>
      </c>
      <c r="AC1227" s="222">
        <v>0</v>
      </c>
      <c r="AD1227" s="222">
        <v>0</v>
      </c>
      <c r="AE1227" s="222">
        <v>0</v>
      </c>
      <c r="AF1227" s="221">
        <v>0</v>
      </c>
      <c r="AG1227" s="222">
        <v>0</v>
      </c>
      <c r="AH1227" s="221">
        <v>0</v>
      </c>
      <c r="AI1227" s="222">
        <v>322</v>
      </c>
      <c r="AJ1227" s="221">
        <f>7439.1*AI1227/I1227</f>
        <v>5409.6436314363145</v>
      </c>
      <c r="AK1227" s="222">
        <v>0</v>
      </c>
      <c r="AL1227" s="222">
        <v>0</v>
      </c>
      <c r="AM1227" s="222">
        <v>0</v>
      </c>
      <c r="AN1227" s="222"/>
      <c r="AO1227" s="222">
        <v>0</v>
      </c>
      <c r="AP1227" s="223"/>
      <c r="DQ1227" s="234"/>
      <c r="DR1227" s="234"/>
      <c r="DS1227" s="234"/>
      <c r="EP1227" s="235"/>
      <c r="FS1227" s="236"/>
      <c r="GI1227" s="237"/>
    </row>
    <row r="1228" spans="1:191" s="154" customFormat="1" ht="36" customHeight="1" x14ac:dyDescent="0.25">
      <c r="A1228" s="223">
        <v>1</v>
      </c>
      <c r="B1228" s="225">
        <f>SUBTOTAL(103,$A$1030:A1228)</f>
        <v>173</v>
      </c>
      <c r="C1228" s="232" t="s">
        <v>182</v>
      </c>
      <c r="D1228" s="217">
        <v>1960</v>
      </c>
      <c r="E1228" s="217"/>
      <c r="F1228" s="233" t="s">
        <v>267</v>
      </c>
      <c r="G1228" s="217">
        <v>2</v>
      </c>
      <c r="H1228" s="217" t="s">
        <v>304</v>
      </c>
      <c r="I1228" s="218">
        <v>442.6</v>
      </c>
      <c r="J1228" s="218">
        <v>400.2</v>
      </c>
      <c r="K1228" s="218">
        <v>353.8</v>
      </c>
      <c r="L1228" s="231">
        <v>21</v>
      </c>
      <c r="M1228" s="217" t="s">
        <v>265</v>
      </c>
      <c r="N1228" s="217" t="s">
        <v>337</v>
      </c>
      <c r="O1228" s="217" t="s">
        <v>338</v>
      </c>
      <c r="P1228" s="218">
        <v>1452729.9</v>
      </c>
      <c r="Q1228" s="218">
        <v>0</v>
      </c>
      <c r="R1228" s="218">
        <v>0</v>
      </c>
      <c r="S1228" s="218">
        <f>P1228-Q1228-R1228</f>
        <v>1452729.9</v>
      </c>
      <c r="T1228" s="190">
        <f t="shared" si="151"/>
        <v>3282.2636692272927</v>
      </c>
      <c r="U1228" s="190">
        <v>3822.8694080433797</v>
      </c>
      <c r="V1228" s="221">
        <f t="shared" si="164"/>
        <v>540.60573881608707</v>
      </c>
      <c r="W1228" s="221">
        <f>X1228+Y1228+Z1228+AA1228+AB1228+AD1228+AF1228+AH1228+AJ1228+AL1228+AN1228+AO1228</f>
        <v>3664.9719837324892</v>
      </c>
      <c r="X1228" s="221">
        <v>0</v>
      </c>
      <c r="Y1228" s="222">
        <v>0</v>
      </c>
      <c r="Z1228" s="222">
        <v>0</v>
      </c>
      <c r="AA1228" s="222">
        <v>0</v>
      </c>
      <c r="AB1228" s="222">
        <v>0</v>
      </c>
      <c r="AC1228" s="222">
        <v>0</v>
      </c>
      <c r="AD1228" s="222">
        <v>0</v>
      </c>
      <c r="AE1228" s="222">
        <v>260</v>
      </c>
      <c r="AF1228" s="221">
        <f>6238.91*AE1228/I1228</f>
        <v>3664.9719837324892</v>
      </c>
      <c r="AG1228" s="222">
        <v>0</v>
      </c>
      <c r="AH1228" s="221">
        <v>0</v>
      </c>
      <c r="AI1228" s="222">
        <v>0</v>
      </c>
      <c r="AJ1228" s="221">
        <v>0</v>
      </c>
      <c r="AK1228" s="222">
        <v>0</v>
      </c>
      <c r="AL1228" s="222">
        <v>0</v>
      </c>
      <c r="AM1228" s="222">
        <v>0</v>
      </c>
      <c r="AN1228" s="222"/>
      <c r="AO1228" s="222">
        <v>0</v>
      </c>
      <c r="AP1228" s="223"/>
      <c r="DQ1228" s="234"/>
      <c r="DR1228" s="234"/>
      <c r="DS1228" s="234"/>
      <c r="EP1228" s="235"/>
      <c r="FS1228" s="236"/>
      <c r="GI1228" s="237"/>
    </row>
    <row r="1229" spans="1:191" s="154" customFormat="1" ht="36" customHeight="1" x14ac:dyDescent="0.25">
      <c r="A1229" s="223">
        <v>1</v>
      </c>
      <c r="B1229" s="225">
        <f>SUBTOTAL(103,$A$1030:A1229)</f>
        <v>174</v>
      </c>
      <c r="C1229" s="232" t="s">
        <v>180</v>
      </c>
      <c r="D1229" s="217">
        <v>1968</v>
      </c>
      <c r="E1229" s="217"/>
      <c r="F1229" s="233" t="s">
        <v>267</v>
      </c>
      <c r="G1229" s="217">
        <v>2</v>
      </c>
      <c r="H1229" s="217" t="s">
        <v>304</v>
      </c>
      <c r="I1229" s="218">
        <v>380.8</v>
      </c>
      <c r="J1229" s="218">
        <v>351.2</v>
      </c>
      <c r="K1229" s="218">
        <v>328.3</v>
      </c>
      <c r="L1229" s="231">
        <v>21</v>
      </c>
      <c r="M1229" s="217" t="s">
        <v>265</v>
      </c>
      <c r="N1229" s="217" t="s">
        <v>337</v>
      </c>
      <c r="O1229" s="217" t="s">
        <v>338</v>
      </c>
      <c r="P1229" s="218">
        <v>1552970.99</v>
      </c>
      <c r="Q1229" s="218">
        <v>0</v>
      </c>
      <c r="R1229" s="218">
        <v>0</v>
      </c>
      <c r="S1229" s="218">
        <f>P1229-Q1229-R1229</f>
        <v>1552970.99</v>
      </c>
      <c r="T1229" s="190">
        <f t="shared" ref="T1229:T1292" si="165">P1229/I1229</f>
        <v>4078.180120798319</v>
      </c>
      <c r="U1229" s="190">
        <v>4836.3421743697472</v>
      </c>
      <c r="V1229" s="221">
        <f t="shared" si="164"/>
        <v>758.16205357142826</v>
      </c>
      <c r="W1229" s="221">
        <f>X1229+Y1229+Z1229+AA1229+AB1229+AD1229+AF1229+AH1229+AJ1229+AL1229+AN1229+AO1229</f>
        <v>4636.584900210084</v>
      </c>
      <c r="X1229" s="221">
        <v>0</v>
      </c>
      <c r="Y1229" s="222">
        <v>0</v>
      </c>
      <c r="Z1229" s="222">
        <v>0</v>
      </c>
      <c r="AA1229" s="222">
        <v>0</v>
      </c>
      <c r="AB1229" s="222">
        <v>0</v>
      </c>
      <c r="AC1229" s="222">
        <v>0</v>
      </c>
      <c r="AD1229" s="222">
        <v>0</v>
      </c>
      <c r="AE1229" s="222">
        <v>283</v>
      </c>
      <c r="AF1229" s="221">
        <f>6238.91*AE1229/I1229</f>
        <v>4636.584900210084</v>
      </c>
      <c r="AG1229" s="222">
        <v>0</v>
      </c>
      <c r="AH1229" s="221">
        <v>0</v>
      </c>
      <c r="AI1229" s="222">
        <v>0</v>
      </c>
      <c r="AJ1229" s="221">
        <v>0</v>
      </c>
      <c r="AK1229" s="222">
        <v>0</v>
      </c>
      <c r="AL1229" s="222">
        <v>0</v>
      </c>
      <c r="AM1229" s="222">
        <v>0</v>
      </c>
      <c r="AN1229" s="222"/>
      <c r="AO1229" s="222">
        <v>0</v>
      </c>
      <c r="AP1229" s="223"/>
      <c r="DQ1229" s="234"/>
      <c r="DR1229" s="234"/>
      <c r="DS1229" s="234"/>
      <c r="EP1229" s="235"/>
      <c r="FS1229" s="236"/>
      <c r="GI1229" s="237"/>
    </row>
    <row r="1230" spans="1:191" s="223" customFormat="1" ht="36" customHeight="1" x14ac:dyDescent="0.25">
      <c r="B1230" s="215" t="s">
        <v>835</v>
      </c>
      <c r="C1230" s="215"/>
      <c r="D1230" s="217" t="s">
        <v>890</v>
      </c>
      <c r="E1230" s="217" t="s">
        <v>890</v>
      </c>
      <c r="F1230" s="217" t="s">
        <v>890</v>
      </c>
      <c r="G1230" s="217" t="s">
        <v>890</v>
      </c>
      <c r="H1230" s="217" t="s">
        <v>890</v>
      </c>
      <c r="I1230" s="218">
        <f>SUM(I1231:I1232)</f>
        <v>666.5</v>
      </c>
      <c r="J1230" s="218">
        <f>SUM(J1231:J1232)</f>
        <v>608.5</v>
      </c>
      <c r="K1230" s="218">
        <f>SUM(K1231:K1232)</f>
        <v>430.2</v>
      </c>
      <c r="L1230" s="219">
        <f>SUM(L1231:L1232)</f>
        <v>37</v>
      </c>
      <c r="M1230" s="217" t="s">
        <v>890</v>
      </c>
      <c r="N1230" s="217" t="s">
        <v>890</v>
      </c>
      <c r="O1230" s="220" t="s">
        <v>890</v>
      </c>
      <c r="P1230" s="190">
        <v>2590114.16</v>
      </c>
      <c r="Q1230" s="190">
        <f>Q1231+Q1232</f>
        <v>0</v>
      </c>
      <c r="R1230" s="190">
        <f>R1231+R1232</f>
        <v>0</v>
      </c>
      <c r="S1230" s="190">
        <f>S1231+S1232</f>
        <v>2590114.16</v>
      </c>
      <c r="T1230" s="190">
        <f t="shared" si="165"/>
        <v>3886.1427756939238</v>
      </c>
      <c r="U1230" s="190">
        <f>MAX(U1231:U1232)</f>
        <v>4633.965944272446</v>
      </c>
      <c r="V1230" s="221">
        <f t="shared" si="164"/>
        <v>747.8231685785222</v>
      </c>
      <c r="W1230" s="221"/>
      <c r="X1230" s="221"/>
      <c r="Y1230" s="222"/>
      <c r="Z1230" s="222"/>
      <c r="AA1230" s="222"/>
      <c r="AB1230" s="222"/>
      <c r="AC1230" s="222"/>
      <c r="AD1230" s="222"/>
      <c r="AE1230" s="222"/>
      <c r="AF1230" s="222"/>
      <c r="AG1230" s="222"/>
      <c r="AH1230" s="222"/>
      <c r="AI1230" s="222"/>
      <c r="AJ1230" s="222"/>
      <c r="AK1230" s="222"/>
      <c r="AL1230" s="222"/>
      <c r="AM1230" s="222"/>
      <c r="AN1230" s="222"/>
      <c r="AO1230" s="222"/>
    </row>
    <row r="1231" spans="1:191" s="154" customFormat="1" ht="36" customHeight="1" x14ac:dyDescent="0.25">
      <c r="A1231" s="223">
        <v>1</v>
      </c>
      <c r="B1231" s="225">
        <f>SUBTOTAL(103,$A$1030:A1231)</f>
        <v>175</v>
      </c>
      <c r="C1231" s="232" t="s">
        <v>1693</v>
      </c>
      <c r="D1231" s="217">
        <v>1968</v>
      </c>
      <c r="E1231" s="217"/>
      <c r="F1231" s="233" t="s">
        <v>267</v>
      </c>
      <c r="G1231" s="217">
        <v>2</v>
      </c>
      <c r="H1231" s="217" t="s">
        <v>304</v>
      </c>
      <c r="I1231" s="218">
        <v>323</v>
      </c>
      <c r="J1231" s="218">
        <v>293</v>
      </c>
      <c r="K1231" s="218">
        <v>114.7</v>
      </c>
      <c r="L1231" s="231">
        <v>17</v>
      </c>
      <c r="M1231" s="217" t="s">
        <v>265</v>
      </c>
      <c r="N1231" s="217" t="s">
        <v>337</v>
      </c>
      <c r="O1231" s="217" t="s">
        <v>339</v>
      </c>
      <c r="P1231" s="218">
        <v>1262131.9000000001</v>
      </c>
      <c r="Q1231" s="218">
        <v>0</v>
      </c>
      <c r="R1231" s="218">
        <v>0</v>
      </c>
      <c r="S1231" s="218">
        <f>P1231-Q1231-R1231</f>
        <v>1262131.9000000001</v>
      </c>
      <c r="T1231" s="190">
        <f t="shared" si="165"/>
        <v>3907.5291021671833</v>
      </c>
      <c r="U1231" s="190">
        <v>4633.965944272446</v>
      </c>
      <c r="V1231" s="221">
        <f t="shared" si="164"/>
        <v>726.43684210526271</v>
      </c>
      <c r="W1231" s="221">
        <f>X1231+Y1231+Z1231+AA1231+AB1231+AD1231+AF1231+AH1231+AJ1231+AL1231+AN1231+AO1231</f>
        <v>4442.567492260062</v>
      </c>
      <c r="X1231" s="221">
        <v>0</v>
      </c>
      <c r="Y1231" s="222">
        <v>0</v>
      </c>
      <c r="Z1231" s="222">
        <v>0</v>
      </c>
      <c r="AA1231" s="222">
        <v>0</v>
      </c>
      <c r="AB1231" s="222">
        <v>0</v>
      </c>
      <c r="AC1231" s="222">
        <v>0</v>
      </c>
      <c r="AD1231" s="222">
        <v>0</v>
      </c>
      <c r="AE1231" s="222">
        <v>230</v>
      </c>
      <c r="AF1231" s="221">
        <f>6238.91*AE1231/I1231</f>
        <v>4442.567492260062</v>
      </c>
      <c r="AG1231" s="222">
        <v>0</v>
      </c>
      <c r="AH1231" s="221">
        <v>0</v>
      </c>
      <c r="AI1231" s="222">
        <v>0</v>
      </c>
      <c r="AJ1231" s="221">
        <v>0</v>
      </c>
      <c r="AK1231" s="222">
        <v>0</v>
      </c>
      <c r="AL1231" s="222">
        <v>0</v>
      </c>
      <c r="AM1231" s="222">
        <v>0</v>
      </c>
      <c r="AN1231" s="222"/>
      <c r="AO1231" s="222">
        <v>0</v>
      </c>
      <c r="AP1231" s="223"/>
      <c r="DQ1231" s="234"/>
      <c r="DR1231" s="234"/>
      <c r="DS1231" s="234"/>
      <c r="EP1231" s="235"/>
      <c r="FS1231" s="236"/>
      <c r="GI1231" s="237"/>
    </row>
    <row r="1232" spans="1:191" s="154" customFormat="1" ht="36" customHeight="1" x14ac:dyDescent="0.25">
      <c r="A1232" s="223">
        <v>1</v>
      </c>
      <c r="B1232" s="225">
        <f>SUBTOTAL(103,$A$1030:A1232)</f>
        <v>176</v>
      </c>
      <c r="C1232" s="232" t="s">
        <v>177</v>
      </c>
      <c r="D1232" s="217">
        <v>1970</v>
      </c>
      <c r="E1232" s="217"/>
      <c r="F1232" s="233" t="s">
        <v>267</v>
      </c>
      <c r="G1232" s="217">
        <v>2</v>
      </c>
      <c r="H1232" s="217" t="s">
        <v>304</v>
      </c>
      <c r="I1232" s="218">
        <v>343.5</v>
      </c>
      <c r="J1232" s="218">
        <v>315.5</v>
      </c>
      <c r="K1232" s="218">
        <v>315.5</v>
      </c>
      <c r="L1232" s="231">
        <v>20</v>
      </c>
      <c r="M1232" s="217" t="s">
        <v>265</v>
      </c>
      <c r="N1232" s="217" t="s">
        <v>337</v>
      </c>
      <c r="O1232" s="217" t="s">
        <v>339</v>
      </c>
      <c r="P1232" s="218">
        <v>1327982.26</v>
      </c>
      <c r="Q1232" s="218">
        <v>0</v>
      </c>
      <c r="R1232" s="218">
        <v>0</v>
      </c>
      <c r="S1232" s="218">
        <f>P1232-Q1232-R1232</f>
        <v>1327982.26</v>
      </c>
      <c r="T1232" s="190">
        <f t="shared" si="165"/>
        <v>3866.0327802037846</v>
      </c>
      <c r="U1232" s="190">
        <v>4584.7551673944681</v>
      </c>
      <c r="V1232" s="221">
        <f t="shared" si="164"/>
        <v>718.72238719068355</v>
      </c>
      <c r="W1232" s="221">
        <f>X1232+Y1232+Z1232+AA1232+AB1232+AD1232+AF1232+AH1232+AJ1232+AL1232+AN1232+AO1232</f>
        <v>4395.3892867540026</v>
      </c>
      <c r="X1232" s="221">
        <v>0</v>
      </c>
      <c r="Y1232" s="222">
        <v>0</v>
      </c>
      <c r="Z1232" s="222">
        <v>0</v>
      </c>
      <c r="AA1232" s="222">
        <v>0</v>
      </c>
      <c r="AB1232" s="222">
        <v>0</v>
      </c>
      <c r="AC1232" s="222">
        <v>0</v>
      </c>
      <c r="AD1232" s="222">
        <v>0</v>
      </c>
      <c r="AE1232" s="222">
        <v>242</v>
      </c>
      <c r="AF1232" s="221">
        <f>6238.91*AE1232/I1232</f>
        <v>4395.3892867540026</v>
      </c>
      <c r="AG1232" s="222">
        <v>0</v>
      </c>
      <c r="AH1232" s="221">
        <v>0</v>
      </c>
      <c r="AI1232" s="222">
        <v>0</v>
      </c>
      <c r="AJ1232" s="221">
        <v>0</v>
      </c>
      <c r="AK1232" s="222">
        <v>0</v>
      </c>
      <c r="AL1232" s="222">
        <v>0</v>
      </c>
      <c r="AM1232" s="222">
        <v>0</v>
      </c>
      <c r="AN1232" s="222"/>
      <c r="AO1232" s="222">
        <v>0</v>
      </c>
      <c r="AP1232" s="223"/>
      <c r="DQ1232" s="234"/>
      <c r="DR1232" s="234"/>
      <c r="DS1232" s="234"/>
      <c r="EP1232" s="235"/>
      <c r="FS1232" s="236"/>
      <c r="GI1232" s="237"/>
    </row>
    <row r="1233" spans="1:191" s="223" customFormat="1" ht="36" customHeight="1" x14ac:dyDescent="0.25">
      <c r="B1233" s="215" t="s">
        <v>836</v>
      </c>
      <c r="C1233" s="215"/>
      <c r="D1233" s="217" t="s">
        <v>890</v>
      </c>
      <c r="E1233" s="217" t="s">
        <v>890</v>
      </c>
      <c r="F1233" s="217" t="s">
        <v>890</v>
      </c>
      <c r="G1233" s="217" t="s">
        <v>890</v>
      </c>
      <c r="H1233" s="217" t="s">
        <v>890</v>
      </c>
      <c r="I1233" s="218">
        <f>I1234</f>
        <v>1217.2</v>
      </c>
      <c r="J1233" s="218">
        <f>J1234</f>
        <v>862.2</v>
      </c>
      <c r="K1233" s="218">
        <f>K1234</f>
        <v>862.2</v>
      </c>
      <c r="L1233" s="219">
        <f>L1234</f>
        <v>47</v>
      </c>
      <c r="M1233" s="217" t="s">
        <v>890</v>
      </c>
      <c r="N1233" s="217" t="s">
        <v>890</v>
      </c>
      <c r="O1233" s="220" t="s">
        <v>890</v>
      </c>
      <c r="P1233" s="190">
        <v>1456533.11</v>
      </c>
      <c r="Q1233" s="190">
        <f>Q1234</f>
        <v>0</v>
      </c>
      <c r="R1233" s="190">
        <f>R1234</f>
        <v>0</v>
      </c>
      <c r="S1233" s="190">
        <f>S1234</f>
        <v>1456533.11</v>
      </c>
      <c r="T1233" s="190">
        <f t="shared" si="165"/>
        <v>1196.6259530069012</v>
      </c>
      <c r="U1233" s="190">
        <f>U1234</f>
        <v>1497.0062438383175</v>
      </c>
      <c r="V1233" s="221">
        <f t="shared" si="164"/>
        <v>300.38029083141623</v>
      </c>
      <c r="W1233" s="221"/>
      <c r="X1233" s="221"/>
      <c r="Y1233" s="222"/>
      <c r="Z1233" s="222"/>
      <c r="AA1233" s="222"/>
      <c r="AB1233" s="222"/>
      <c r="AC1233" s="222"/>
      <c r="AD1233" s="222"/>
      <c r="AE1233" s="222"/>
      <c r="AF1233" s="222"/>
      <c r="AG1233" s="222"/>
      <c r="AH1233" s="222"/>
      <c r="AI1233" s="222"/>
      <c r="AJ1233" s="222"/>
      <c r="AK1233" s="222"/>
      <c r="AL1233" s="222"/>
      <c r="AM1233" s="222"/>
      <c r="AN1233" s="222"/>
      <c r="AO1233" s="222"/>
    </row>
    <row r="1234" spans="1:191" s="154" customFormat="1" ht="36" customHeight="1" x14ac:dyDescent="0.25">
      <c r="A1234" s="223">
        <v>1</v>
      </c>
      <c r="B1234" s="225">
        <f>SUBTOTAL(103,$A$1030:A1234)</f>
        <v>177</v>
      </c>
      <c r="C1234" s="232" t="s">
        <v>793</v>
      </c>
      <c r="D1234" s="217">
        <v>1980</v>
      </c>
      <c r="E1234" s="217"/>
      <c r="F1234" s="233" t="s">
        <v>267</v>
      </c>
      <c r="G1234" s="217">
        <v>2</v>
      </c>
      <c r="H1234" s="217" t="s">
        <v>312</v>
      </c>
      <c r="I1234" s="218">
        <v>1217.2</v>
      </c>
      <c r="J1234" s="218">
        <v>862.2</v>
      </c>
      <c r="K1234" s="218">
        <v>862.2</v>
      </c>
      <c r="L1234" s="231">
        <v>47</v>
      </c>
      <c r="M1234" s="217" t="s">
        <v>265</v>
      </c>
      <c r="N1234" s="217" t="s">
        <v>341</v>
      </c>
      <c r="O1234" s="217" t="s">
        <v>812</v>
      </c>
      <c r="P1234" s="218">
        <v>1456533.11</v>
      </c>
      <c r="Q1234" s="218">
        <v>0</v>
      </c>
      <c r="R1234" s="218">
        <v>0</v>
      </c>
      <c r="S1234" s="218">
        <f>P1234-Q1234-R1234</f>
        <v>1456533.11</v>
      </c>
      <c r="T1234" s="190">
        <f t="shared" si="165"/>
        <v>1196.6259530069012</v>
      </c>
      <c r="U1234" s="190">
        <v>1497.0062438383175</v>
      </c>
      <c r="V1234" s="221">
        <f>U1234-T1234</f>
        <v>300.38029083141623</v>
      </c>
      <c r="W1234" s="221">
        <f>X1234+Y1234+Z1234+AA1234+AB1234+AD1234+AF1234+AH1234+AJ1234+AL1234+AN1234+AO1234</f>
        <v>1435.1748274728886</v>
      </c>
      <c r="X1234" s="221">
        <v>0</v>
      </c>
      <c r="Y1234" s="222">
        <v>0</v>
      </c>
      <c r="Z1234" s="222">
        <v>0</v>
      </c>
      <c r="AA1234" s="222">
        <v>0</v>
      </c>
      <c r="AB1234" s="222">
        <v>0</v>
      </c>
      <c r="AC1234" s="222">
        <v>0</v>
      </c>
      <c r="AD1234" s="222">
        <v>0</v>
      </c>
      <c r="AE1234" s="222">
        <v>280</v>
      </c>
      <c r="AF1234" s="221">
        <f>6238.91*AE1234/I1234</f>
        <v>1435.1748274728886</v>
      </c>
      <c r="AG1234" s="222">
        <v>0</v>
      </c>
      <c r="AH1234" s="221">
        <v>0</v>
      </c>
      <c r="AI1234" s="222">
        <v>0</v>
      </c>
      <c r="AJ1234" s="221">
        <v>0</v>
      </c>
      <c r="AK1234" s="222">
        <v>0</v>
      </c>
      <c r="AL1234" s="222">
        <v>0</v>
      </c>
      <c r="AM1234" s="222">
        <v>0</v>
      </c>
      <c r="AN1234" s="222"/>
      <c r="AO1234" s="222">
        <v>0</v>
      </c>
      <c r="AP1234" s="223"/>
      <c r="DQ1234" s="234"/>
      <c r="DR1234" s="234"/>
      <c r="DS1234" s="234"/>
      <c r="EP1234" s="235"/>
      <c r="FS1234" s="236"/>
      <c r="GI1234" s="237"/>
    </row>
    <row r="1235" spans="1:191" s="223" customFormat="1" ht="36" customHeight="1" x14ac:dyDescent="0.25">
      <c r="B1235" s="215" t="s">
        <v>838</v>
      </c>
      <c r="C1235" s="227"/>
      <c r="D1235" s="217" t="s">
        <v>890</v>
      </c>
      <c r="E1235" s="217" t="s">
        <v>890</v>
      </c>
      <c r="F1235" s="217" t="s">
        <v>890</v>
      </c>
      <c r="G1235" s="217" t="s">
        <v>890</v>
      </c>
      <c r="H1235" s="217" t="s">
        <v>890</v>
      </c>
      <c r="I1235" s="218">
        <f>SUM(I1236:I1238)</f>
        <v>1774</v>
      </c>
      <c r="J1235" s="218">
        <f>SUM(J1236:J1238)</f>
        <v>1612.3</v>
      </c>
      <c r="K1235" s="218">
        <f>SUM(K1236:K1238)</f>
        <v>1526.7</v>
      </c>
      <c r="L1235" s="219">
        <f>SUM(L1236:L1238)</f>
        <v>80</v>
      </c>
      <c r="M1235" s="217" t="s">
        <v>890</v>
      </c>
      <c r="N1235" s="217" t="s">
        <v>890</v>
      </c>
      <c r="O1235" s="220" t="s">
        <v>890</v>
      </c>
      <c r="P1235" s="190">
        <v>10290828.25</v>
      </c>
      <c r="Q1235" s="190">
        <f>Q1236+Q1237+Q1238</f>
        <v>0</v>
      </c>
      <c r="R1235" s="190">
        <f>R1236+R1237+R1238</f>
        <v>0</v>
      </c>
      <c r="S1235" s="190">
        <f>S1236+S1237+S1238</f>
        <v>10290828.25</v>
      </c>
      <c r="T1235" s="190">
        <f t="shared" si="165"/>
        <v>5800.9178410372042</v>
      </c>
      <c r="U1235" s="190">
        <f>MAX(U1236:U1238)</f>
        <v>9821.1207323107374</v>
      </c>
      <c r="V1235" s="221">
        <f t="shared" si="164"/>
        <v>4020.2028912735332</v>
      </c>
      <c r="W1235" s="221"/>
      <c r="X1235" s="221"/>
      <c r="Y1235" s="222"/>
      <c r="Z1235" s="222"/>
      <c r="AA1235" s="222"/>
      <c r="AB1235" s="222"/>
      <c r="AC1235" s="222"/>
      <c r="AD1235" s="222"/>
      <c r="AE1235" s="222"/>
      <c r="AF1235" s="222"/>
      <c r="AG1235" s="222"/>
      <c r="AH1235" s="222"/>
      <c r="AI1235" s="222"/>
      <c r="AJ1235" s="222"/>
      <c r="AK1235" s="222"/>
      <c r="AL1235" s="222"/>
      <c r="AM1235" s="222"/>
      <c r="AN1235" s="222"/>
      <c r="AO1235" s="222"/>
    </row>
    <row r="1236" spans="1:191" s="154" customFormat="1" ht="36" customHeight="1" x14ac:dyDescent="0.25">
      <c r="A1236" s="223">
        <v>1</v>
      </c>
      <c r="B1236" s="225">
        <f>SUBTOTAL(103,$A$1030:A1236)</f>
        <v>178</v>
      </c>
      <c r="C1236" s="232" t="s">
        <v>85</v>
      </c>
      <c r="D1236" s="217">
        <v>1952</v>
      </c>
      <c r="E1236" s="217"/>
      <c r="F1236" s="233" t="s">
        <v>267</v>
      </c>
      <c r="G1236" s="217">
        <v>2</v>
      </c>
      <c r="H1236" s="217" t="s">
        <v>303</v>
      </c>
      <c r="I1236" s="218">
        <v>744</v>
      </c>
      <c r="J1236" s="218">
        <v>669.9</v>
      </c>
      <c r="K1236" s="218">
        <v>617</v>
      </c>
      <c r="L1236" s="231">
        <v>23</v>
      </c>
      <c r="M1236" s="217" t="s">
        <v>265</v>
      </c>
      <c r="N1236" s="217" t="s">
        <v>266</v>
      </c>
      <c r="O1236" s="217" t="s">
        <v>268</v>
      </c>
      <c r="P1236" s="218">
        <v>3665226.5</v>
      </c>
      <c r="Q1236" s="218">
        <v>0</v>
      </c>
      <c r="R1236" s="218">
        <v>0</v>
      </c>
      <c r="S1236" s="218">
        <f>P1236-Q1236-R1236</f>
        <v>3665226.5</v>
      </c>
      <c r="T1236" s="190">
        <f t="shared" si="165"/>
        <v>4926.3797043010754</v>
      </c>
      <c r="U1236" s="190">
        <v>5685.4905913978491</v>
      </c>
      <c r="V1236" s="221">
        <f t="shared" si="164"/>
        <v>759.11088709677369</v>
      </c>
      <c r="W1236" s="221">
        <f>X1236+Y1236+Z1236+AA1236+AB1236+AD1236+AF1236+AH1236+AJ1236+AL1236+AN1236+AO1236</f>
        <v>5450.6606182795695</v>
      </c>
      <c r="X1236" s="221">
        <v>0</v>
      </c>
      <c r="Y1236" s="222">
        <v>0</v>
      </c>
      <c r="Z1236" s="222">
        <v>0</v>
      </c>
      <c r="AA1236" s="222">
        <v>0</v>
      </c>
      <c r="AB1236" s="222">
        <v>0</v>
      </c>
      <c r="AC1236" s="222">
        <v>0</v>
      </c>
      <c r="AD1236" s="222">
        <v>0</v>
      </c>
      <c r="AE1236" s="222">
        <v>650</v>
      </c>
      <c r="AF1236" s="221">
        <f>6238.91*AE1236/I1236</f>
        <v>5450.6606182795695</v>
      </c>
      <c r="AG1236" s="222">
        <v>0</v>
      </c>
      <c r="AH1236" s="221">
        <v>0</v>
      </c>
      <c r="AI1236" s="222">
        <v>0</v>
      </c>
      <c r="AJ1236" s="221">
        <v>0</v>
      </c>
      <c r="AK1236" s="222">
        <v>0</v>
      </c>
      <c r="AL1236" s="222">
        <v>0</v>
      </c>
      <c r="AM1236" s="222">
        <v>0</v>
      </c>
      <c r="AN1236" s="222"/>
      <c r="AO1236" s="222">
        <v>0</v>
      </c>
      <c r="AP1236" s="223"/>
      <c r="DQ1236" s="234"/>
      <c r="DR1236" s="234"/>
      <c r="DS1236" s="234"/>
      <c r="EP1236" s="235"/>
      <c r="FS1236" s="236"/>
      <c r="GI1236" s="237"/>
    </row>
    <row r="1237" spans="1:191" s="154" customFormat="1" ht="36" customHeight="1" x14ac:dyDescent="0.25">
      <c r="A1237" s="223">
        <v>1</v>
      </c>
      <c r="B1237" s="225">
        <f>SUBTOTAL(103,$A$1030:A1237)</f>
        <v>179</v>
      </c>
      <c r="C1237" s="232" t="s">
        <v>86</v>
      </c>
      <c r="D1237" s="217">
        <v>1951</v>
      </c>
      <c r="E1237" s="217"/>
      <c r="F1237" s="233" t="s">
        <v>267</v>
      </c>
      <c r="G1237" s="217">
        <v>2</v>
      </c>
      <c r="H1237" s="217" t="s">
        <v>303</v>
      </c>
      <c r="I1237" s="218">
        <v>625.79999999999995</v>
      </c>
      <c r="J1237" s="218">
        <v>578.70000000000005</v>
      </c>
      <c r="K1237" s="218">
        <v>546</v>
      </c>
      <c r="L1237" s="231">
        <v>42</v>
      </c>
      <c r="M1237" s="217" t="s">
        <v>265</v>
      </c>
      <c r="N1237" s="217" t="s">
        <v>266</v>
      </c>
      <c r="O1237" s="217" t="s">
        <v>268</v>
      </c>
      <c r="P1237" s="218">
        <v>3185927.6500000004</v>
      </c>
      <c r="Q1237" s="218">
        <v>0</v>
      </c>
      <c r="R1237" s="218">
        <v>0</v>
      </c>
      <c r="S1237" s="218">
        <f>P1237-Q1237-R1237</f>
        <v>3185927.6500000004</v>
      </c>
      <c r="T1237" s="190">
        <f t="shared" si="165"/>
        <v>5090.9678012144468</v>
      </c>
      <c r="U1237" s="190">
        <v>5875.4402364972839</v>
      </c>
      <c r="V1237" s="221">
        <f t="shared" si="164"/>
        <v>784.47243528283707</v>
      </c>
      <c r="W1237" s="221">
        <f>X1237+Y1237+Z1237+AA1237+AB1237+AD1237+AF1237+AH1237+AJ1237+AL1237+AN1237+AO1237</f>
        <v>5632.7647011824865</v>
      </c>
      <c r="X1237" s="221">
        <v>0</v>
      </c>
      <c r="Y1237" s="222">
        <v>0</v>
      </c>
      <c r="Z1237" s="222">
        <v>0</v>
      </c>
      <c r="AA1237" s="222">
        <v>0</v>
      </c>
      <c r="AB1237" s="222">
        <v>0</v>
      </c>
      <c r="AC1237" s="222">
        <v>0</v>
      </c>
      <c r="AD1237" s="222">
        <v>0</v>
      </c>
      <c r="AE1237" s="222">
        <v>565</v>
      </c>
      <c r="AF1237" s="221">
        <f>6238.91*AE1237/I1237</f>
        <v>5632.7647011824865</v>
      </c>
      <c r="AG1237" s="222">
        <v>0</v>
      </c>
      <c r="AH1237" s="221">
        <v>0</v>
      </c>
      <c r="AI1237" s="222">
        <v>0</v>
      </c>
      <c r="AJ1237" s="221">
        <v>0</v>
      </c>
      <c r="AK1237" s="222">
        <v>0</v>
      </c>
      <c r="AL1237" s="222">
        <v>0</v>
      </c>
      <c r="AM1237" s="222">
        <v>0</v>
      </c>
      <c r="AN1237" s="222"/>
      <c r="AO1237" s="222">
        <v>0</v>
      </c>
      <c r="AP1237" s="223"/>
      <c r="DQ1237" s="234"/>
      <c r="DR1237" s="234"/>
      <c r="DS1237" s="234"/>
      <c r="EP1237" s="235"/>
      <c r="FS1237" s="236"/>
      <c r="GI1237" s="237"/>
    </row>
    <row r="1238" spans="1:191" s="154" customFormat="1" ht="36" customHeight="1" x14ac:dyDescent="0.25">
      <c r="A1238" s="223">
        <v>1</v>
      </c>
      <c r="B1238" s="225">
        <f>SUBTOTAL(103,$A$1030:A1238)</f>
        <v>180</v>
      </c>
      <c r="C1238" s="232" t="s">
        <v>84</v>
      </c>
      <c r="D1238" s="217">
        <v>1951</v>
      </c>
      <c r="E1238" s="217"/>
      <c r="F1238" s="233" t="s">
        <v>267</v>
      </c>
      <c r="G1238" s="217">
        <v>2</v>
      </c>
      <c r="H1238" s="217" t="s">
        <v>303</v>
      </c>
      <c r="I1238" s="218">
        <v>404.2</v>
      </c>
      <c r="J1238" s="218">
        <v>363.7</v>
      </c>
      <c r="K1238" s="218">
        <v>363.7</v>
      </c>
      <c r="L1238" s="231">
        <v>15</v>
      </c>
      <c r="M1238" s="217" t="s">
        <v>265</v>
      </c>
      <c r="N1238" s="217" t="s">
        <v>266</v>
      </c>
      <c r="O1238" s="217" t="s">
        <v>268</v>
      </c>
      <c r="P1238" s="218">
        <v>3439674.1</v>
      </c>
      <c r="Q1238" s="218">
        <v>0</v>
      </c>
      <c r="R1238" s="218">
        <v>0</v>
      </c>
      <c r="S1238" s="218">
        <f>P1238-Q1238-R1238</f>
        <v>3439674.1</v>
      </c>
      <c r="T1238" s="190">
        <f t="shared" si="165"/>
        <v>8509.8320138545278</v>
      </c>
      <c r="U1238" s="190">
        <v>9821.1207323107374</v>
      </c>
      <c r="V1238" s="221">
        <f t="shared" si="164"/>
        <v>1311.2887184562096</v>
      </c>
      <c r="W1238" s="221">
        <f>X1238+Y1238+Z1238+AA1238+AB1238+AD1238+AF1238+AH1238+AJ1238+AL1238+AN1238+AO1238</f>
        <v>9415.4752597723909</v>
      </c>
      <c r="X1238" s="221">
        <v>0</v>
      </c>
      <c r="Y1238" s="222">
        <v>0</v>
      </c>
      <c r="Z1238" s="222">
        <v>0</v>
      </c>
      <c r="AA1238" s="222">
        <v>0</v>
      </c>
      <c r="AB1238" s="222">
        <v>0</v>
      </c>
      <c r="AC1238" s="222">
        <v>0</v>
      </c>
      <c r="AD1238" s="222">
        <v>0</v>
      </c>
      <c r="AE1238" s="222">
        <v>610</v>
      </c>
      <c r="AF1238" s="221">
        <f>6238.91*AE1238/I1238</f>
        <v>9415.4752597723909</v>
      </c>
      <c r="AG1238" s="222">
        <v>0</v>
      </c>
      <c r="AH1238" s="221">
        <v>0</v>
      </c>
      <c r="AI1238" s="222">
        <v>0</v>
      </c>
      <c r="AJ1238" s="221">
        <v>0</v>
      </c>
      <c r="AK1238" s="222">
        <v>0</v>
      </c>
      <c r="AL1238" s="222">
        <v>0</v>
      </c>
      <c r="AM1238" s="222">
        <v>0</v>
      </c>
      <c r="AN1238" s="222"/>
      <c r="AO1238" s="222">
        <v>0</v>
      </c>
      <c r="AP1238" s="223"/>
      <c r="DQ1238" s="234"/>
      <c r="DR1238" s="234"/>
      <c r="DS1238" s="234"/>
      <c r="EP1238" s="235"/>
      <c r="FS1238" s="236"/>
      <c r="GI1238" s="237"/>
    </row>
    <row r="1239" spans="1:191" s="223" customFormat="1" ht="36" customHeight="1" x14ac:dyDescent="0.25">
      <c r="B1239" s="215" t="s">
        <v>839</v>
      </c>
      <c r="C1239" s="215"/>
      <c r="D1239" s="217" t="s">
        <v>890</v>
      </c>
      <c r="E1239" s="217" t="s">
        <v>890</v>
      </c>
      <c r="F1239" s="217" t="s">
        <v>890</v>
      </c>
      <c r="G1239" s="217" t="s">
        <v>890</v>
      </c>
      <c r="H1239" s="217" t="s">
        <v>890</v>
      </c>
      <c r="I1239" s="218">
        <f>I1240</f>
        <v>609</v>
      </c>
      <c r="J1239" s="218">
        <f>J1240</f>
        <v>579</v>
      </c>
      <c r="K1239" s="218">
        <f>K1240</f>
        <v>387.6</v>
      </c>
      <c r="L1239" s="219">
        <f>L1240</f>
        <v>32</v>
      </c>
      <c r="M1239" s="217" t="s">
        <v>890</v>
      </c>
      <c r="N1239" s="217" t="s">
        <v>890</v>
      </c>
      <c r="O1239" s="220" t="s">
        <v>890</v>
      </c>
      <c r="P1239" s="190">
        <v>3013803.8600000003</v>
      </c>
      <c r="Q1239" s="190">
        <f>Q1240</f>
        <v>0</v>
      </c>
      <c r="R1239" s="190">
        <f>R1240</f>
        <v>0</v>
      </c>
      <c r="S1239" s="190">
        <f>S1240</f>
        <v>3013803.8600000003</v>
      </c>
      <c r="T1239" s="190">
        <f t="shared" si="165"/>
        <v>4948.7748111658466</v>
      </c>
      <c r="U1239" s="190">
        <f>U1240</f>
        <v>6261.9247947454842</v>
      </c>
      <c r="V1239" s="221">
        <f t="shared" si="164"/>
        <v>1313.1499835796376</v>
      </c>
      <c r="W1239" s="221"/>
      <c r="X1239" s="221"/>
      <c r="Y1239" s="222"/>
      <c r="Z1239" s="222"/>
      <c r="AA1239" s="222"/>
      <c r="AB1239" s="222"/>
      <c r="AC1239" s="222"/>
      <c r="AD1239" s="222"/>
      <c r="AE1239" s="222"/>
      <c r="AF1239" s="222"/>
      <c r="AG1239" s="222"/>
      <c r="AH1239" s="222"/>
      <c r="AI1239" s="222"/>
      <c r="AJ1239" s="222"/>
      <c r="AK1239" s="222"/>
      <c r="AL1239" s="222"/>
      <c r="AM1239" s="222"/>
      <c r="AN1239" s="222"/>
      <c r="AO1239" s="222"/>
    </row>
    <row r="1240" spans="1:191" s="154" customFormat="1" ht="36" customHeight="1" x14ac:dyDescent="0.25">
      <c r="A1240" s="223">
        <v>1</v>
      </c>
      <c r="B1240" s="225">
        <f>SUBTOTAL(103,$A$1030:A1240)</f>
        <v>181</v>
      </c>
      <c r="C1240" s="232" t="s">
        <v>88</v>
      </c>
      <c r="D1240" s="217">
        <v>1967</v>
      </c>
      <c r="E1240" s="217"/>
      <c r="F1240" s="233" t="s">
        <v>267</v>
      </c>
      <c r="G1240" s="217">
        <v>2</v>
      </c>
      <c r="H1240" s="217" t="s">
        <v>303</v>
      </c>
      <c r="I1240" s="218">
        <v>609</v>
      </c>
      <c r="J1240" s="218">
        <v>579</v>
      </c>
      <c r="K1240" s="218">
        <v>387.6</v>
      </c>
      <c r="L1240" s="231">
        <v>32</v>
      </c>
      <c r="M1240" s="217" t="s">
        <v>265</v>
      </c>
      <c r="N1240" s="217" t="s">
        <v>266</v>
      </c>
      <c r="O1240" s="217" t="s">
        <v>268</v>
      </c>
      <c r="P1240" s="218">
        <v>3013803.8600000003</v>
      </c>
      <c r="Q1240" s="218">
        <v>0</v>
      </c>
      <c r="R1240" s="218">
        <v>0</v>
      </c>
      <c r="S1240" s="218">
        <f>P1240-Q1240-R1240</f>
        <v>3013803.8600000003</v>
      </c>
      <c r="T1240" s="190">
        <f t="shared" si="165"/>
        <v>4948.7748111658466</v>
      </c>
      <c r="U1240" s="190">
        <v>6261.9247947454842</v>
      </c>
      <c r="V1240" s="221">
        <f>U1240-T1240</f>
        <v>1313.1499835796376</v>
      </c>
      <c r="W1240" s="221">
        <f>X1240+Y1240+Z1240+AA1240+AB1240+AD1240+AF1240+AH1240+AJ1240+AL1240+AN1240+AO1240</f>
        <v>6003.286141215106</v>
      </c>
      <c r="X1240" s="221">
        <v>0</v>
      </c>
      <c r="Y1240" s="222">
        <v>0</v>
      </c>
      <c r="Z1240" s="222">
        <v>0</v>
      </c>
      <c r="AA1240" s="222">
        <v>0</v>
      </c>
      <c r="AB1240" s="222">
        <v>0</v>
      </c>
      <c r="AC1240" s="222">
        <v>0</v>
      </c>
      <c r="AD1240" s="222">
        <v>0</v>
      </c>
      <c r="AE1240" s="222">
        <v>586</v>
      </c>
      <c r="AF1240" s="221">
        <f>6238.91*AE1240/I1240</f>
        <v>6003.286141215106</v>
      </c>
      <c r="AG1240" s="222">
        <v>0</v>
      </c>
      <c r="AH1240" s="221">
        <v>0</v>
      </c>
      <c r="AI1240" s="222">
        <v>0</v>
      </c>
      <c r="AJ1240" s="221">
        <v>0</v>
      </c>
      <c r="AK1240" s="222">
        <v>0</v>
      </c>
      <c r="AL1240" s="222">
        <v>0</v>
      </c>
      <c r="AM1240" s="222">
        <v>0</v>
      </c>
      <c r="AN1240" s="222"/>
      <c r="AO1240" s="222">
        <v>0</v>
      </c>
      <c r="AP1240" s="223"/>
      <c r="DQ1240" s="234"/>
      <c r="DR1240" s="234"/>
      <c r="DS1240" s="234"/>
      <c r="EP1240" s="235"/>
      <c r="FS1240" s="236"/>
      <c r="GI1240" s="237"/>
    </row>
    <row r="1241" spans="1:191" s="223" customFormat="1" ht="36" customHeight="1" x14ac:dyDescent="0.25">
      <c r="B1241" s="215" t="s">
        <v>888</v>
      </c>
      <c r="C1241" s="215"/>
      <c r="D1241" s="217" t="s">
        <v>890</v>
      </c>
      <c r="E1241" s="217" t="s">
        <v>890</v>
      </c>
      <c r="F1241" s="217" t="s">
        <v>890</v>
      </c>
      <c r="G1241" s="217" t="s">
        <v>890</v>
      </c>
      <c r="H1241" s="217" t="s">
        <v>890</v>
      </c>
      <c r="I1241" s="218">
        <f>I1242</f>
        <v>616.20000000000005</v>
      </c>
      <c r="J1241" s="218">
        <f>J1242</f>
        <v>540.1</v>
      </c>
      <c r="K1241" s="218">
        <f>K1242</f>
        <v>315</v>
      </c>
      <c r="L1241" s="219">
        <f>L1242</f>
        <v>21</v>
      </c>
      <c r="M1241" s="217" t="s">
        <v>890</v>
      </c>
      <c r="N1241" s="217" t="s">
        <v>890</v>
      </c>
      <c r="O1241" s="220" t="s">
        <v>890</v>
      </c>
      <c r="P1241" s="190">
        <v>2036502</v>
      </c>
      <c r="Q1241" s="190">
        <f>Q1242</f>
        <v>0</v>
      </c>
      <c r="R1241" s="190">
        <f>R1242</f>
        <v>0</v>
      </c>
      <c r="S1241" s="190">
        <f>S1242</f>
        <v>2036502</v>
      </c>
      <c r="T1241" s="190">
        <f t="shared" si="165"/>
        <v>3304.9367088607592</v>
      </c>
      <c r="U1241" s="190">
        <f>U1242</f>
        <v>4118.7974683544298</v>
      </c>
      <c r="V1241" s="221">
        <f t="shared" si="164"/>
        <v>813.86075949367068</v>
      </c>
      <c r="W1241" s="221"/>
      <c r="X1241" s="221"/>
      <c r="Y1241" s="222"/>
      <c r="Z1241" s="222"/>
      <c r="AA1241" s="222"/>
      <c r="AB1241" s="222"/>
      <c r="AC1241" s="222"/>
      <c r="AD1241" s="222"/>
      <c r="AE1241" s="222"/>
      <c r="AF1241" s="222"/>
      <c r="AG1241" s="222"/>
      <c r="AH1241" s="222"/>
      <c r="AI1241" s="222"/>
      <c r="AJ1241" s="222"/>
      <c r="AK1241" s="222"/>
      <c r="AL1241" s="222"/>
      <c r="AM1241" s="222"/>
      <c r="AN1241" s="222"/>
      <c r="AO1241" s="222"/>
    </row>
    <row r="1242" spans="1:191" s="154" customFormat="1" ht="36" customHeight="1" x14ac:dyDescent="0.25">
      <c r="A1242" s="223">
        <v>1</v>
      </c>
      <c r="B1242" s="225">
        <f>SUBTOTAL(103,$A$1030:A1242)</f>
        <v>182</v>
      </c>
      <c r="C1242" s="232" t="s">
        <v>87</v>
      </c>
      <c r="D1242" s="217">
        <v>1982</v>
      </c>
      <c r="E1242" s="217"/>
      <c r="F1242" s="233" t="s">
        <v>267</v>
      </c>
      <c r="G1242" s="217">
        <v>2</v>
      </c>
      <c r="H1242" s="217" t="s">
        <v>303</v>
      </c>
      <c r="I1242" s="218">
        <v>616.20000000000005</v>
      </c>
      <c r="J1242" s="218">
        <v>540.1</v>
      </c>
      <c r="K1242" s="218">
        <v>315</v>
      </c>
      <c r="L1242" s="231">
        <v>21</v>
      </c>
      <c r="M1242" s="217" t="s">
        <v>265</v>
      </c>
      <c r="N1242" s="217" t="s">
        <v>266</v>
      </c>
      <c r="O1242" s="217" t="s">
        <v>268</v>
      </c>
      <c r="P1242" s="218">
        <v>2036502</v>
      </c>
      <c r="Q1242" s="218">
        <v>0</v>
      </c>
      <c r="R1242" s="218">
        <v>0</v>
      </c>
      <c r="S1242" s="218">
        <f>P1242-Q1242-R1242</f>
        <v>2036502</v>
      </c>
      <c r="T1242" s="190">
        <f t="shared" si="165"/>
        <v>3304.9367088607592</v>
      </c>
      <c r="U1242" s="190">
        <v>4118.7974683544298</v>
      </c>
      <c r="V1242" s="221">
        <f>U1242-T1242</f>
        <v>813.86075949367068</v>
      </c>
      <c r="W1242" s="221">
        <f>X1242+Y1242+Z1242+AA1242+AB1242+AD1242+AF1242+AH1242+AJ1242+AL1242+AN1242+AO1242</f>
        <v>3948.6772151898731</v>
      </c>
      <c r="X1242" s="221">
        <v>0</v>
      </c>
      <c r="Y1242" s="222">
        <v>0</v>
      </c>
      <c r="Z1242" s="222">
        <v>0</v>
      </c>
      <c r="AA1242" s="222">
        <v>0</v>
      </c>
      <c r="AB1242" s="222">
        <v>0</v>
      </c>
      <c r="AC1242" s="222">
        <v>0</v>
      </c>
      <c r="AD1242" s="222">
        <v>0</v>
      </c>
      <c r="AE1242" s="222">
        <v>390</v>
      </c>
      <c r="AF1242" s="221">
        <f>6238.91*AE1242/I1242</f>
        <v>3948.6772151898731</v>
      </c>
      <c r="AG1242" s="222">
        <v>0</v>
      </c>
      <c r="AH1242" s="221">
        <v>0</v>
      </c>
      <c r="AI1242" s="222">
        <v>0</v>
      </c>
      <c r="AJ1242" s="221">
        <v>0</v>
      </c>
      <c r="AK1242" s="222">
        <v>0</v>
      </c>
      <c r="AL1242" s="222">
        <v>0</v>
      </c>
      <c r="AM1242" s="222">
        <v>0</v>
      </c>
      <c r="AN1242" s="222"/>
      <c r="AO1242" s="222">
        <v>0</v>
      </c>
      <c r="AP1242" s="223"/>
      <c r="DQ1242" s="234"/>
      <c r="DR1242" s="234"/>
      <c r="DS1242" s="234"/>
      <c r="EP1242" s="235"/>
      <c r="FS1242" s="236"/>
      <c r="GI1242" s="237"/>
    </row>
    <row r="1243" spans="1:191" s="223" customFormat="1" ht="36" customHeight="1" x14ac:dyDescent="0.25">
      <c r="B1243" s="215" t="s">
        <v>840</v>
      </c>
      <c r="C1243" s="227"/>
      <c r="D1243" s="217" t="s">
        <v>890</v>
      </c>
      <c r="E1243" s="217" t="s">
        <v>890</v>
      </c>
      <c r="F1243" s="217" t="s">
        <v>890</v>
      </c>
      <c r="G1243" s="217" t="s">
        <v>890</v>
      </c>
      <c r="H1243" s="217" t="s">
        <v>890</v>
      </c>
      <c r="I1243" s="218">
        <f>I1244</f>
        <v>772.9</v>
      </c>
      <c r="J1243" s="218">
        <f>J1244</f>
        <v>728.9</v>
      </c>
      <c r="K1243" s="218">
        <f>K1244</f>
        <v>650.20000000000005</v>
      </c>
      <c r="L1243" s="219">
        <f>L1244</f>
        <v>30</v>
      </c>
      <c r="M1243" s="217" t="s">
        <v>890</v>
      </c>
      <c r="N1243" s="217" t="s">
        <v>890</v>
      </c>
      <c r="O1243" s="220" t="s">
        <v>890</v>
      </c>
      <c r="P1243" s="190">
        <v>3592598.4</v>
      </c>
      <c r="Q1243" s="190">
        <f>Q1244</f>
        <v>0</v>
      </c>
      <c r="R1243" s="190">
        <f>R1244</f>
        <v>0</v>
      </c>
      <c r="S1243" s="190">
        <f>S1244</f>
        <v>3592598.4</v>
      </c>
      <c r="T1243" s="190">
        <f t="shared" si="165"/>
        <v>4648.2059774873851</v>
      </c>
      <c r="U1243" s="190">
        <f>U1244</f>
        <v>5792.8549618320603</v>
      </c>
      <c r="V1243" s="221">
        <f t="shared" si="164"/>
        <v>1144.6489843446752</v>
      </c>
      <c r="W1243" s="221"/>
      <c r="X1243" s="221"/>
      <c r="Y1243" s="222"/>
      <c r="Z1243" s="222"/>
      <c r="AA1243" s="222"/>
      <c r="AB1243" s="222"/>
      <c r="AC1243" s="222"/>
      <c r="AD1243" s="222"/>
      <c r="AE1243" s="222"/>
      <c r="AF1243" s="222"/>
      <c r="AG1243" s="222"/>
      <c r="AH1243" s="222"/>
      <c r="AI1243" s="222"/>
      <c r="AJ1243" s="222"/>
      <c r="AK1243" s="222"/>
      <c r="AL1243" s="222"/>
      <c r="AM1243" s="222"/>
      <c r="AN1243" s="222"/>
      <c r="AO1243" s="222"/>
    </row>
    <row r="1244" spans="1:191" s="154" customFormat="1" ht="36" customHeight="1" x14ac:dyDescent="0.25">
      <c r="A1244" s="223">
        <v>1</v>
      </c>
      <c r="B1244" s="225">
        <f>SUBTOTAL(103,$A$1030:A1244)</f>
        <v>183</v>
      </c>
      <c r="C1244" s="232" t="s">
        <v>108</v>
      </c>
      <c r="D1244" s="217">
        <v>1971</v>
      </c>
      <c r="E1244" s="217"/>
      <c r="F1244" s="233" t="s">
        <v>267</v>
      </c>
      <c r="G1244" s="217">
        <v>2</v>
      </c>
      <c r="H1244" s="217" t="s">
        <v>304</v>
      </c>
      <c r="I1244" s="218">
        <v>772.9</v>
      </c>
      <c r="J1244" s="218">
        <v>728.9</v>
      </c>
      <c r="K1244" s="218">
        <v>650.20000000000005</v>
      </c>
      <c r="L1244" s="231">
        <v>30</v>
      </c>
      <c r="M1244" s="217" t="s">
        <v>265</v>
      </c>
      <c r="N1244" s="217" t="s">
        <v>266</v>
      </c>
      <c r="O1244" s="217" t="s">
        <v>268</v>
      </c>
      <c r="P1244" s="218">
        <v>3592598.4</v>
      </c>
      <c r="Q1244" s="218">
        <v>0</v>
      </c>
      <c r="R1244" s="218">
        <v>0</v>
      </c>
      <c r="S1244" s="218">
        <f>P1244-Q1244-R1244</f>
        <v>3592598.4</v>
      </c>
      <c r="T1244" s="190">
        <f t="shared" si="165"/>
        <v>4648.2059774873851</v>
      </c>
      <c r="U1244" s="190">
        <v>5792.8549618320603</v>
      </c>
      <c r="V1244" s="221">
        <f>U1244-T1244</f>
        <v>1144.6489843446752</v>
      </c>
      <c r="W1244" s="221">
        <f>X1244+Y1244+Z1244+AA1244+AB1244+AD1244+AF1244+AH1244+AJ1244+AL1244+AN1244+AO1244</f>
        <v>5553.5904774226938</v>
      </c>
      <c r="X1244" s="221">
        <v>0</v>
      </c>
      <c r="Y1244" s="222">
        <v>0</v>
      </c>
      <c r="Z1244" s="222">
        <v>0</v>
      </c>
      <c r="AA1244" s="222">
        <v>0</v>
      </c>
      <c r="AB1244" s="222">
        <v>0</v>
      </c>
      <c r="AC1244" s="222">
        <v>0</v>
      </c>
      <c r="AD1244" s="222">
        <v>0</v>
      </c>
      <c r="AE1244" s="222">
        <v>688</v>
      </c>
      <c r="AF1244" s="221">
        <f>6238.91*AE1244/I1244</f>
        <v>5553.5904774226938</v>
      </c>
      <c r="AG1244" s="222">
        <v>0</v>
      </c>
      <c r="AH1244" s="221">
        <v>0</v>
      </c>
      <c r="AI1244" s="222">
        <v>0</v>
      </c>
      <c r="AJ1244" s="221">
        <v>0</v>
      </c>
      <c r="AK1244" s="222">
        <v>0</v>
      </c>
      <c r="AL1244" s="222">
        <v>0</v>
      </c>
      <c r="AM1244" s="222">
        <v>0</v>
      </c>
      <c r="AN1244" s="222"/>
      <c r="AO1244" s="222">
        <v>0</v>
      </c>
      <c r="AP1244" s="223"/>
      <c r="DQ1244" s="234"/>
      <c r="DR1244" s="234"/>
      <c r="DS1244" s="234"/>
      <c r="EP1244" s="235"/>
      <c r="FS1244" s="236"/>
      <c r="GI1244" s="237"/>
    </row>
    <row r="1245" spans="1:191" s="223" customFormat="1" ht="36" customHeight="1" x14ac:dyDescent="0.25">
      <c r="B1245" s="215" t="s">
        <v>875</v>
      </c>
      <c r="C1245" s="215"/>
      <c r="D1245" s="217" t="s">
        <v>751</v>
      </c>
      <c r="E1245" s="217" t="s">
        <v>751</v>
      </c>
      <c r="F1245" s="217" t="s">
        <v>751</v>
      </c>
      <c r="G1245" s="217" t="s">
        <v>751</v>
      </c>
      <c r="H1245" s="217" t="s">
        <v>751</v>
      </c>
      <c r="I1245" s="218">
        <f>I1246</f>
        <v>976.3</v>
      </c>
      <c r="J1245" s="218">
        <f>J1246</f>
        <v>976.3</v>
      </c>
      <c r="K1245" s="218">
        <f>K1246</f>
        <v>880.1</v>
      </c>
      <c r="L1245" s="219">
        <f>L1246</f>
        <v>36</v>
      </c>
      <c r="M1245" s="217" t="s">
        <v>890</v>
      </c>
      <c r="N1245" s="217" t="s">
        <v>890</v>
      </c>
      <c r="O1245" s="220" t="s">
        <v>890</v>
      </c>
      <c r="P1245" s="190">
        <v>4454195.3999999994</v>
      </c>
      <c r="Q1245" s="190">
        <f>Q1246</f>
        <v>0</v>
      </c>
      <c r="R1245" s="190">
        <f>R1246</f>
        <v>0</v>
      </c>
      <c r="S1245" s="190">
        <f>S1246</f>
        <v>4454195.3999999994</v>
      </c>
      <c r="T1245" s="190">
        <f t="shared" si="165"/>
        <v>4562.3224418723748</v>
      </c>
      <c r="U1245" s="190">
        <f>U1246</f>
        <v>5685.8220833760115</v>
      </c>
      <c r="V1245" s="221">
        <f t="shared" si="164"/>
        <v>1123.4996415036367</v>
      </c>
      <c r="W1245" s="221"/>
      <c r="X1245" s="221"/>
      <c r="Y1245" s="222"/>
      <c r="Z1245" s="222"/>
      <c r="AA1245" s="222"/>
      <c r="AB1245" s="222"/>
      <c r="AC1245" s="222"/>
      <c r="AD1245" s="222"/>
      <c r="AE1245" s="222"/>
      <c r="AF1245" s="222"/>
      <c r="AG1245" s="222"/>
      <c r="AH1245" s="222"/>
      <c r="AI1245" s="222"/>
      <c r="AJ1245" s="222"/>
      <c r="AK1245" s="222"/>
      <c r="AL1245" s="222"/>
      <c r="AM1245" s="222"/>
      <c r="AN1245" s="222"/>
      <c r="AO1245" s="222"/>
    </row>
    <row r="1246" spans="1:191" s="154" customFormat="1" ht="36" customHeight="1" x14ac:dyDescent="0.25">
      <c r="A1246" s="223">
        <v>1</v>
      </c>
      <c r="B1246" s="225">
        <f>SUBTOTAL(103,$A$1030:A1246)</f>
        <v>184</v>
      </c>
      <c r="C1246" s="232" t="s">
        <v>110</v>
      </c>
      <c r="D1246" s="217">
        <v>1987</v>
      </c>
      <c r="E1246" s="217"/>
      <c r="F1246" s="233" t="s">
        <v>267</v>
      </c>
      <c r="G1246" s="217">
        <v>2</v>
      </c>
      <c r="H1246" s="217" t="s">
        <v>312</v>
      </c>
      <c r="I1246" s="218">
        <v>976.3</v>
      </c>
      <c r="J1246" s="218">
        <v>976.3</v>
      </c>
      <c r="K1246" s="218">
        <v>880.1</v>
      </c>
      <c r="L1246" s="231">
        <v>36</v>
      </c>
      <c r="M1246" s="217" t="s">
        <v>265</v>
      </c>
      <c r="N1246" s="217" t="s">
        <v>266</v>
      </c>
      <c r="O1246" s="217" t="s">
        <v>268</v>
      </c>
      <c r="P1246" s="218">
        <v>4454195.3999999994</v>
      </c>
      <c r="Q1246" s="218">
        <v>0</v>
      </c>
      <c r="R1246" s="218">
        <v>0</v>
      </c>
      <c r="S1246" s="218">
        <f>P1246-Q1246-R1246</f>
        <v>4454195.3999999994</v>
      </c>
      <c r="T1246" s="190">
        <f t="shared" si="165"/>
        <v>4562.3224418723748</v>
      </c>
      <c r="U1246" s="190">
        <v>5685.8220833760115</v>
      </c>
      <c r="V1246" s="221">
        <f>U1246-T1246</f>
        <v>1123.4996415036367</v>
      </c>
      <c r="W1246" s="221">
        <f>X1246+Y1246+Z1246+AA1246+AB1246+AD1246+AF1246+AH1246+AJ1246+AL1246+AN1246+AO1246</f>
        <v>5450.9784185188973</v>
      </c>
      <c r="X1246" s="221">
        <v>0</v>
      </c>
      <c r="Y1246" s="222">
        <v>0</v>
      </c>
      <c r="Z1246" s="222">
        <v>0</v>
      </c>
      <c r="AA1246" s="222">
        <v>0</v>
      </c>
      <c r="AB1246" s="222">
        <v>0</v>
      </c>
      <c r="AC1246" s="222">
        <v>0</v>
      </c>
      <c r="AD1246" s="222">
        <v>0</v>
      </c>
      <c r="AE1246" s="222">
        <v>853</v>
      </c>
      <c r="AF1246" s="221">
        <f>6238.91*AE1246/I1246</f>
        <v>5450.9784185188973</v>
      </c>
      <c r="AG1246" s="222">
        <v>0</v>
      </c>
      <c r="AH1246" s="221">
        <v>0</v>
      </c>
      <c r="AI1246" s="222">
        <v>0</v>
      </c>
      <c r="AJ1246" s="221">
        <v>0</v>
      </c>
      <c r="AK1246" s="222">
        <v>0</v>
      </c>
      <c r="AL1246" s="222">
        <v>0</v>
      </c>
      <c r="AM1246" s="222">
        <v>0</v>
      </c>
      <c r="AN1246" s="222"/>
      <c r="AO1246" s="222">
        <v>0</v>
      </c>
      <c r="AP1246" s="223"/>
      <c r="DQ1246" s="234"/>
      <c r="DR1246" s="234"/>
      <c r="DS1246" s="234"/>
      <c r="EP1246" s="235"/>
      <c r="FS1246" s="236"/>
      <c r="GI1246" s="237"/>
    </row>
    <row r="1247" spans="1:191" s="223" customFormat="1" ht="36" customHeight="1" x14ac:dyDescent="0.25">
      <c r="B1247" s="215" t="s">
        <v>889</v>
      </c>
      <c r="C1247" s="227"/>
      <c r="D1247" s="217" t="s">
        <v>751</v>
      </c>
      <c r="E1247" s="217" t="s">
        <v>751</v>
      </c>
      <c r="F1247" s="217" t="s">
        <v>751</v>
      </c>
      <c r="G1247" s="217" t="s">
        <v>751</v>
      </c>
      <c r="H1247" s="217" t="s">
        <v>751</v>
      </c>
      <c r="I1247" s="218">
        <f>I1248</f>
        <v>781.7</v>
      </c>
      <c r="J1247" s="218">
        <f>J1248</f>
        <v>781.7</v>
      </c>
      <c r="K1247" s="218">
        <f>K1248</f>
        <v>505.6</v>
      </c>
      <c r="L1247" s="219">
        <f>L1248</f>
        <v>40</v>
      </c>
      <c r="M1247" s="217" t="s">
        <v>890</v>
      </c>
      <c r="N1247" s="217" t="s">
        <v>890</v>
      </c>
      <c r="O1247" s="220" t="s">
        <v>890</v>
      </c>
      <c r="P1247" s="190">
        <v>5304624.57</v>
      </c>
      <c r="Q1247" s="190">
        <f>Q1248</f>
        <v>0</v>
      </c>
      <c r="R1247" s="190">
        <f>R1248</f>
        <v>0</v>
      </c>
      <c r="S1247" s="190">
        <f>S1248</f>
        <v>5304624.57</v>
      </c>
      <c r="T1247" s="190">
        <f t="shared" si="165"/>
        <v>6786.0107074325188</v>
      </c>
      <c r="U1247" s="190">
        <f>U1248</f>
        <v>7715.9160688243564</v>
      </c>
      <c r="V1247" s="221">
        <f t="shared" si="164"/>
        <v>929.90536139183769</v>
      </c>
      <c r="W1247" s="221"/>
      <c r="X1247" s="221"/>
      <c r="Y1247" s="222"/>
      <c r="Z1247" s="222"/>
      <c r="AA1247" s="222"/>
      <c r="AB1247" s="222"/>
      <c r="AC1247" s="222"/>
      <c r="AD1247" s="222"/>
      <c r="AE1247" s="222"/>
      <c r="AF1247" s="222"/>
      <c r="AG1247" s="222"/>
      <c r="AH1247" s="222"/>
      <c r="AI1247" s="222"/>
      <c r="AJ1247" s="222"/>
      <c r="AK1247" s="222"/>
      <c r="AL1247" s="222"/>
      <c r="AM1247" s="222"/>
      <c r="AN1247" s="222"/>
      <c r="AO1247" s="222"/>
    </row>
    <row r="1248" spans="1:191" s="154" customFormat="1" ht="36" customHeight="1" x14ac:dyDescent="0.25">
      <c r="A1248" s="223">
        <v>1</v>
      </c>
      <c r="B1248" s="225">
        <f>SUBTOTAL(103,$A$1030:A1248)</f>
        <v>185</v>
      </c>
      <c r="C1248" s="232" t="s">
        <v>210</v>
      </c>
      <c r="D1248" s="217">
        <v>1968</v>
      </c>
      <c r="E1248" s="217"/>
      <c r="F1248" s="233" t="s">
        <v>267</v>
      </c>
      <c r="G1248" s="217">
        <v>2</v>
      </c>
      <c r="H1248" s="217" t="s">
        <v>303</v>
      </c>
      <c r="I1248" s="218">
        <v>781.7</v>
      </c>
      <c r="J1248" s="218">
        <v>781.7</v>
      </c>
      <c r="K1248" s="218">
        <v>505.6</v>
      </c>
      <c r="L1248" s="231">
        <v>40</v>
      </c>
      <c r="M1248" s="217" t="s">
        <v>265</v>
      </c>
      <c r="N1248" s="217" t="s">
        <v>269</v>
      </c>
      <c r="O1248" s="217" t="s">
        <v>331</v>
      </c>
      <c r="P1248" s="218">
        <v>5304624.57</v>
      </c>
      <c r="Q1248" s="218">
        <v>0</v>
      </c>
      <c r="R1248" s="218">
        <v>0</v>
      </c>
      <c r="S1248" s="218">
        <f>P1248-Q1248-R1248</f>
        <v>5304624.57</v>
      </c>
      <c r="T1248" s="190">
        <f t="shared" si="165"/>
        <v>6786.0107074325188</v>
      </c>
      <c r="U1248" s="190">
        <v>7715.9160688243564</v>
      </c>
      <c r="V1248" s="221">
        <f>U1248-T1248</f>
        <v>929.90536139183769</v>
      </c>
      <c r="W1248" s="221">
        <f>X1248+Y1248+Z1248+AA1248+AB1248+AD1248+AF1248+AH1248+AJ1248+AL1248+AN1248+AO1248</f>
        <v>7397.2226625303829</v>
      </c>
      <c r="X1248" s="221">
        <v>0</v>
      </c>
      <c r="Y1248" s="222">
        <v>0</v>
      </c>
      <c r="Z1248" s="222">
        <v>0</v>
      </c>
      <c r="AA1248" s="222">
        <v>0</v>
      </c>
      <c r="AB1248" s="222">
        <v>0</v>
      </c>
      <c r="AC1248" s="222">
        <v>0</v>
      </c>
      <c r="AD1248" s="222">
        <v>0</v>
      </c>
      <c r="AE1248" s="222">
        <v>926.83</v>
      </c>
      <c r="AF1248" s="221">
        <f>6238.91*AE1248/I1248</f>
        <v>7397.2226625303829</v>
      </c>
      <c r="AG1248" s="222">
        <v>0</v>
      </c>
      <c r="AH1248" s="221">
        <v>0</v>
      </c>
      <c r="AI1248" s="222">
        <v>0</v>
      </c>
      <c r="AJ1248" s="221">
        <v>0</v>
      </c>
      <c r="AK1248" s="222">
        <v>0</v>
      </c>
      <c r="AL1248" s="222">
        <v>0</v>
      </c>
      <c r="AM1248" s="222">
        <v>0</v>
      </c>
      <c r="AN1248" s="222"/>
      <c r="AO1248" s="222">
        <v>0</v>
      </c>
      <c r="AP1248" s="223"/>
      <c r="DQ1248" s="234"/>
      <c r="DR1248" s="234"/>
      <c r="DS1248" s="234"/>
      <c r="EP1248" s="235"/>
      <c r="FS1248" s="236"/>
      <c r="GI1248" s="237"/>
    </row>
    <row r="1249" spans="1:191" s="223" customFormat="1" ht="36" customHeight="1" x14ac:dyDescent="0.25">
      <c r="B1249" s="215" t="s">
        <v>841</v>
      </c>
      <c r="C1249" s="227"/>
      <c r="D1249" s="217" t="s">
        <v>751</v>
      </c>
      <c r="E1249" s="217" t="s">
        <v>751</v>
      </c>
      <c r="F1249" s="217" t="s">
        <v>751</v>
      </c>
      <c r="G1249" s="217" t="s">
        <v>751</v>
      </c>
      <c r="H1249" s="217" t="s">
        <v>751</v>
      </c>
      <c r="I1249" s="218">
        <f>I1250</f>
        <v>736.7</v>
      </c>
      <c r="J1249" s="218">
        <f>J1250</f>
        <v>450.8</v>
      </c>
      <c r="K1249" s="218">
        <f>K1250</f>
        <v>447.6</v>
      </c>
      <c r="L1249" s="219">
        <f>L1250</f>
        <v>41</v>
      </c>
      <c r="M1249" s="217" t="s">
        <v>890</v>
      </c>
      <c r="N1249" s="217" t="s">
        <v>890</v>
      </c>
      <c r="O1249" s="220" t="s">
        <v>890</v>
      </c>
      <c r="P1249" s="190">
        <v>3231458.3</v>
      </c>
      <c r="Q1249" s="190">
        <f>Q1250</f>
        <v>0</v>
      </c>
      <c r="R1249" s="190">
        <f>R1250</f>
        <v>1851570.68</v>
      </c>
      <c r="S1249" s="190">
        <f>S1250</f>
        <v>1379887.6199999999</v>
      </c>
      <c r="T1249" s="190">
        <f t="shared" si="165"/>
        <v>4386.3964978960221</v>
      </c>
      <c r="U1249" s="190">
        <f>U1250</f>
        <v>6773.6504411565084</v>
      </c>
      <c r="V1249" s="221">
        <f t="shared" si="164"/>
        <v>2387.2539432604863</v>
      </c>
      <c r="W1249" s="221"/>
      <c r="X1249" s="221"/>
      <c r="Y1249" s="222"/>
      <c r="Z1249" s="222"/>
      <c r="AA1249" s="222"/>
      <c r="AB1249" s="222"/>
      <c r="AC1249" s="222"/>
      <c r="AD1249" s="222"/>
      <c r="AE1249" s="222"/>
      <c r="AF1249" s="222"/>
      <c r="AG1249" s="222"/>
      <c r="AH1249" s="222"/>
      <c r="AI1249" s="222"/>
      <c r="AJ1249" s="222"/>
      <c r="AK1249" s="222"/>
      <c r="AL1249" s="222"/>
      <c r="AM1249" s="222"/>
      <c r="AN1249" s="222"/>
      <c r="AO1249" s="222"/>
    </row>
    <row r="1250" spans="1:191" s="154" customFormat="1" ht="36" customHeight="1" x14ac:dyDescent="0.25">
      <c r="A1250" s="223">
        <v>1</v>
      </c>
      <c r="B1250" s="225">
        <f>SUBTOTAL(103,$A$1030:A1250)</f>
        <v>186</v>
      </c>
      <c r="C1250" s="232" t="s">
        <v>66</v>
      </c>
      <c r="D1250" s="217">
        <v>1978</v>
      </c>
      <c r="E1250" s="217"/>
      <c r="F1250" s="233" t="s">
        <v>267</v>
      </c>
      <c r="G1250" s="217">
        <v>2</v>
      </c>
      <c r="H1250" s="217" t="s">
        <v>303</v>
      </c>
      <c r="I1250" s="218">
        <v>736.7</v>
      </c>
      <c r="J1250" s="218">
        <v>450.8</v>
      </c>
      <c r="K1250" s="218">
        <v>447.6</v>
      </c>
      <c r="L1250" s="231">
        <v>41</v>
      </c>
      <c r="M1250" s="217" t="s">
        <v>265</v>
      </c>
      <c r="N1250" s="217" t="s">
        <v>266</v>
      </c>
      <c r="O1250" s="217" t="s">
        <v>268</v>
      </c>
      <c r="P1250" s="218">
        <v>3231458.3</v>
      </c>
      <c r="Q1250" s="218">
        <v>0</v>
      </c>
      <c r="R1250" s="218">
        <v>1851570.68</v>
      </c>
      <c r="S1250" s="218">
        <f>P1250-Q1250-R1250</f>
        <v>1379887.6199999999</v>
      </c>
      <c r="T1250" s="190">
        <f t="shared" si="165"/>
        <v>4386.3964978960221</v>
      </c>
      <c r="U1250" s="190">
        <v>6773.6504411565084</v>
      </c>
      <c r="V1250" s="221">
        <f>U1250-T1250</f>
        <v>2387.2539432604863</v>
      </c>
      <c r="W1250" s="221">
        <f>X1250+Y1250+Z1250+AA1250+AB1250+AD1250+AF1250+AH1250+AJ1250+AL1250+AN1250+AO1250</f>
        <v>6773.6504411565084</v>
      </c>
      <c r="X1250" s="221">
        <v>0</v>
      </c>
      <c r="Y1250" s="222">
        <v>0</v>
      </c>
      <c r="Z1250" s="222">
        <v>0</v>
      </c>
      <c r="AA1250" s="222">
        <v>0</v>
      </c>
      <c r="AB1250" s="222">
        <v>0</v>
      </c>
      <c r="AC1250" s="222">
        <v>0</v>
      </c>
      <c r="AD1250" s="222">
        <v>0</v>
      </c>
      <c r="AE1250" s="222">
        <v>0</v>
      </c>
      <c r="AF1250" s="221">
        <v>0</v>
      </c>
      <c r="AG1250" s="222">
        <v>0</v>
      </c>
      <c r="AH1250" s="221">
        <v>0</v>
      </c>
      <c r="AI1250" s="222">
        <v>670.8</v>
      </c>
      <c r="AJ1250" s="221">
        <f>7439.1*AI1250/I1250</f>
        <v>6773.6504411565084</v>
      </c>
      <c r="AK1250" s="222">
        <v>0</v>
      </c>
      <c r="AL1250" s="222">
        <v>0</v>
      </c>
      <c r="AM1250" s="222">
        <v>0</v>
      </c>
      <c r="AN1250" s="222"/>
      <c r="AO1250" s="222">
        <v>0</v>
      </c>
      <c r="AP1250" s="223"/>
      <c r="DQ1250" s="234"/>
      <c r="DR1250" s="234"/>
      <c r="DS1250" s="234"/>
      <c r="EP1250" s="235"/>
      <c r="FS1250" s="236"/>
      <c r="GI1250" s="237"/>
    </row>
    <row r="1251" spans="1:191" s="223" customFormat="1" ht="36" customHeight="1" x14ac:dyDescent="0.25">
      <c r="B1251" s="215" t="s">
        <v>843</v>
      </c>
      <c r="C1251" s="215"/>
      <c r="D1251" s="217" t="s">
        <v>890</v>
      </c>
      <c r="E1251" s="217" t="s">
        <v>890</v>
      </c>
      <c r="F1251" s="217" t="s">
        <v>890</v>
      </c>
      <c r="G1251" s="217" t="s">
        <v>890</v>
      </c>
      <c r="H1251" s="217" t="s">
        <v>890</v>
      </c>
      <c r="I1251" s="218">
        <f>SUM(I1252:I1254)</f>
        <v>9352.4</v>
      </c>
      <c r="J1251" s="218">
        <f>SUM(J1252:J1254)</f>
        <v>9002.2999999999993</v>
      </c>
      <c r="K1251" s="218">
        <f>SUM(K1252:K1254)</f>
        <v>8355.619999999999</v>
      </c>
      <c r="L1251" s="219">
        <f>SUM(L1252:L1254)</f>
        <v>384</v>
      </c>
      <c r="M1251" s="217" t="s">
        <v>890</v>
      </c>
      <c r="N1251" s="217" t="s">
        <v>890</v>
      </c>
      <c r="O1251" s="220" t="s">
        <v>890</v>
      </c>
      <c r="P1251" s="190">
        <v>16849360.93</v>
      </c>
      <c r="Q1251" s="190">
        <f>Q1252+Q1253+Q1254</f>
        <v>0</v>
      </c>
      <c r="R1251" s="190">
        <f>R1252+R1253+R1254</f>
        <v>0</v>
      </c>
      <c r="S1251" s="190">
        <f>S1252+S1253+S1254</f>
        <v>16849360.93</v>
      </c>
      <c r="T1251" s="190">
        <f t="shared" si="165"/>
        <v>1801.6082428039863</v>
      </c>
      <c r="U1251" s="190">
        <f>MAX(U1252:U1254)</f>
        <v>4187.79</v>
      </c>
      <c r="V1251" s="221">
        <f t="shared" si="164"/>
        <v>2386.1817571960137</v>
      </c>
      <c r="W1251" s="221"/>
      <c r="X1251" s="221"/>
      <c r="Y1251" s="222"/>
      <c r="Z1251" s="222"/>
      <c r="AA1251" s="222"/>
      <c r="AB1251" s="222"/>
      <c r="AC1251" s="222"/>
      <c r="AD1251" s="222"/>
      <c r="AE1251" s="222"/>
      <c r="AF1251" s="222"/>
      <c r="AG1251" s="222"/>
      <c r="AH1251" s="222"/>
      <c r="AI1251" s="222"/>
      <c r="AJ1251" s="222"/>
      <c r="AK1251" s="222"/>
      <c r="AL1251" s="222"/>
      <c r="AM1251" s="222"/>
      <c r="AN1251" s="222"/>
      <c r="AO1251" s="222"/>
    </row>
    <row r="1252" spans="1:191" s="154" customFormat="1" ht="36" customHeight="1" x14ac:dyDescent="0.25">
      <c r="A1252" s="223">
        <v>1</v>
      </c>
      <c r="B1252" s="225">
        <f>SUBTOTAL(103,$A$1030:A1252)</f>
        <v>187</v>
      </c>
      <c r="C1252" s="232" t="s">
        <v>69</v>
      </c>
      <c r="D1252" s="217">
        <v>1977</v>
      </c>
      <c r="E1252" s="217"/>
      <c r="F1252" s="233" t="s">
        <v>267</v>
      </c>
      <c r="G1252" s="217">
        <v>5</v>
      </c>
      <c r="H1252" s="217" t="s">
        <v>371</v>
      </c>
      <c r="I1252" s="218">
        <v>4338.6000000000004</v>
      </c>
      <c r="J1252" s="218">
        <v>4154.6000000000004</v>
      </c>
      <c r="K1252" s="218">
        <v>3916.52</v>
      </c>
      <c r="L1252" s="231">
        <v>177</v>
      </c>
      <c r="M1252" s="217" t="s">
        <v>265</v>
      </c>
      <c r="N1252" s="217" t="s">
        <v>269</v>
      </c>
      <c r="O1252" s="217" t="s">
        <v>271</v>
      </c>
      <c r="P1252" s="218">
        <v>5782944.25</v>
      </c>
      <c r="Q1252" s="218">
        <v>0</v>
      </c>
      <c r="R1252" s="218">
        <v>0</v>
      </c>
      <c r="S1252" s="218">
        <f>P1252-Q1252-R1252</f>
        <v>5782944.25</v>
      </c>
      <c r="T1252" s="190">
        <f t="shared" si="165"/>
        <v>1332.905603189969</v>
      </c>
      <c r="U1252" s="190">
        <v>1571.3517079242149</v>
      </c>
      <c r="V1252" s="221">
        <f t="shared" si="164"/>
        <v>238.44610473424586</v>
      </c>
      <c r="W1252" s="221">
        <f>X1252+Y1252+Z1252+AA1252+AB1252+AD1252+AF1252+AH1252+AJ1252+AL1252+AN1252+AO1252</f>
        <v>1506.4495726732123</v>
      </c>
      <c r="X1252" s="221">
        <v>0</v>
      </c>
      <c r="Y1252" s="222">
        <v>0</v>
      </c>
      <c r="Z1252" s="222">
        <v>0</v>
      </c>
      <c r="AA1252" s="222">
        <v>0</v>
      </c>
      <c r="AB1252" s="222">
        <v>0</v>
      </c>
      <c r="AC1252" s="222">
        <v>0</v>
      </c>
      <c r="AD1252" s="222">
        <v>0</v>
      </c>
      <c r="AE1252" s="222">
        <v>1047.5999999999999</v>
      </c>
      <c r="AF1252" s="221">
        <f>6238.91*AE1252/I1252</f>
        <v>1506.4495726732123</v>
      </c>
      <c r="AG1252" s="222">
        <v>0</v>
      </c>
      <c r="AH1252" s="221">
        <v>0</v>
      </c>
      <c r="AI1252" s="222">
        <v>0</v>
      </c>
      <c r="AJ1252" s="221">
        <v>0</v>
      </c>
      <c r="AK1252" s="222">
        <v>0</v>
      </c>
      <c r="AL1252" s="222">
        <v>0</v>
      </c>
      <c r="AM1252" s="222">
        <v>0</v>
      </c>
      <c r="AN1252" s="222"/>
      <c r="AO1252" s="222">
        <v>0</v>
      </c>
      <c r="AP1252" s="223"/>
      <c r="DQ1252" s="234"/>
      <c r="DR1252" s="234"/>
      <c r="DS1252" s="234"/>
      <c r="EP1252" s="235"/>
      <c r="FS1252" s="236"/>
      <c r="GI1252" s="237"/>
    </row>
    <row r="1253" spans="1:191" s="154" customFormat="1" ht="36" customHeight="1" x14ac:dyDescent="0.25">
      <c r="A1253" s="223">
        <v>1</v>
      </c>
      <c r="B1253" s="225">
        <f>SUBTOTAL(103,$A$1030:A1253)</f>
        <v>188</v>
      </c>
      <c r="C1253" s="232" t="s">
        <v>68</v>
      </c>
      <c r="D1253" s="217">
        <v>1965</v>
      </c>
      <c r="E1253" s="217"/>
      <c r="F1253" s="233" t="s">
        <v>267</v>
      </c>
      <c r="G1253" s="217">
        <v>4</v>
      </c>
      <c r="H1253" s="217" t="s">
        <v>308</v>
      </c>
      <c r="I1253" s="218">
        <v>2512.9</v>
      </c>
      <c r="J1253" s="218">
        <v>2431.4</v>
      </c>
      <c r="K1253" s="218">
        <v>2131.1999999999998</v>
      </c>
      <c r="L1253" s="231">
        <v>90</v>
      </c>
      <c r="M1253" s="217" t="s">
        <v>265</v>
      </c>
      <c r="N1253" s="217" t="s">
        <v>269</v>
      </c>
      <c r="O1253" s="217" t="s">
        <v>271</v>
      </c>
      <c r="P1253" s="218">
        <v>6823737.3099999996</v>
      </c>
      <c r="Q1253" s="218">
        <v>0</v>
      </c>
      <c r="R1253" s="218">
        <v>0</v>
      </c>
      <c r="S1253" s="218">
        <f>P1253-Q1253-R1253</f>
        <v>6823737.3099999996</v>
      </c>
      <c r="T1253" s="190">
        <f t="shared" si="165"/>
        <v>2715.4830315571648</v>
      </c>
      <c r="U1253" s="190">
        <v>3208.4004655975168</v>
      </c>
      <c r="V1253" s="221">
        <f t="shared" si="164"/>
        <v>492.91743404035196</v>
      </c>
      <c r="W1253" s="221">
        <f>X1253+Y1253+Z1253+AA1253+AB1253+AD1253+AF1253+AH1253+AJ1253+AL1253+AN1253+AO1253</f>
        <v>3075.8826849456805</v>
      </c>
      <c r="X1253" s="221">
        <v>0</v>
      </c>
      <c r="Y1253" s="222">
        <v>0</v>
      </c>
      <c r="Z1253" s="222">
        <v>0</v>
      </c>
      <c r="AA1253" s="222">
        <v>0</v>
      </c>
      <c r="AB1253" s="222">
        <v>0</v>
      </c>
      <c r="AC1253" s="222">
        <v>0</v>
      </c>
      <c r="AD1253" s="222">
        <v>0</v>
      </c>
      <c r="AE1253" s="222">
        <v>1238.9000000000001</v>
      </c>
      <c r="AF1253" s="221">
        <f>6238.91*AE1253/I1253</f>
        <v>3075.8826849456805</v>
      </c>
      <c r="AG1253" s="222">
        <v>0</v>
      </c>
      <c r="AH1253" s="221">
        <v>0</v>
      </c>
      <c r="AI1253" s="222">
        <v>0</v>
      </c>
      <c r="AJ1253" s="221">
        <v>0</v>
      </c>
      <c r="AK1253" s="222">
        <v>0</v>
      </c>
      <c r="AL1253" s="222">
        <v>0</v>
      </c>
      <c r="AM1253" s="222">
        <v>0</v>
      </c>
      <c r="AN1253" s="222"/>
      <c r="AO1253" s="222">
        <v>0</v>
      </c>
      <c r="AP1253" s="223"/>
      <c r="DQ1253" s="234"/>
      <c r="DR1253" s="234"/>
      <c r="DS1253" s="234"/>
      <c r="EP1253" s="235"/>
      <c r="FS1253" s="236"/>
      <c r="GI1253" s="237"/>
    </row>
    <row r="1254" spans="1:191" s="154" customFormat="1" ht="36" customHeight="1" x14ac:dyDescent="0.25">
      <c r="A1254" s="223">
        <v>1</v>
      </c>
      <c r="B1254" s="225">
        <f>SUBTOTAL(103,$A$1030:A1254)</f>
        <v>189</v>
      </c>
      <c r="C1254" s="232" t="s">
        <v>67</v>
      </c>
      <c r="D1254" s="217">
        <v>1967</v>
      </c>
      <c r="E1254" s="217"/>
      <c r="F1254" s="233" t="s">
        <v>267</v>
      </c>
      <c r="G1254" s="217">
        <v>4</v>
      </c>
      <c r="H1254" s="217" t="s">
        <v>308</v>
      </c>
      <c r="I1254" s="218">
        <v>2500.9</v>
      </c>
      <c r="J1254" s="218">
        <v>2416.3000000000002</v>
      </c>
      <c r="K1254" s="218">
        <v>2307.9</v>
      </c>
      <c r="L1254" s="231">
        <v>117</v>
      </c>
      <c r="M1254" s="217" t="s">
        <v>265</v>
      </c>
      <c r="N1254" s="217" t="s">
        <v>269</v>
      </c>
      <c r="O1254" s="217" t="s">
        <v>271</v>
      </c>
      <c r="P1254" s="218">
        <v>4242679.37</v>
      </c>
      <c r="Q1254" s="218">
        <v>0</v>
      </c>
      <c r="R1254" s="218">
        <v>0</v>
      </c>
      <c r="S1254" s="218">
        <f>P1254-Q1254-R1254</f>
        <v>4242679.37</v>
      </c>
      <c r="T1254" s="190">
        <f t="shared" si="165"/>
        <v>1696.4610220320685</v>
      </c>
      <c r="U1254" s="190">
        <v>4187.79</v>
      </c>
      <c r="V1254" s="221">
        <f t="shared" si="164"/>
        <v>2491.3289779679317</v>
      </c>
      <c r="W1254" s="221">
        <f>X1254+Y1254+Z1254+AA1254+AB1254+AD1254+AF1254+AH1254+AJ1254+AL1254+AN1254+AO1254</f>
        <v>3791.6299999999997</v>
      </c>
      <c r="X1254" s="221">
        <v>101.55</v>
      </c>
      <c r="Y1254" s="222">
        <v>245.44</v>
      </c>
      <c r="Z1254" s="222">
        <v>3259.66</v>
      </c>
      <c r="AA1254" s="222">
        <v>184.98</v>
      </c>
      <c r="AB1254" s="222">
        <v>0</v>
      </c>
      <c r="AC1254" s="222">
        <v>0</v>
      </c>
      <c r="AD1254" s="222">
        <v>0</v>
      </c>
      <c r="AE1254" s="222">
        <v>0</v>
      </c>
      <c r="AF1254" s="221">
        <v>0</v>
      </c>
      <c r="AG1254" s="222">
        <v>0</v>
      </c>
      <c r="AH1254" s="221">
        <v>0</v>
      </c>
      <c r="AI1254" s="222">
        <v>0</v>
      </c>
      <c r="AJ1254" s="221">
        <v>0</v>
      </c>
      <c r="AK1254" s="222">
        <v>0</v>
      </c>
      <c r="AL1254" s="222">
        <v>0</v>
      </c>
      <c r="AM1254" s="222">
        <v>0</v>
      </c>
      <c r="AN1254" s="222"/>
      <c r="AO1254" s="222">
        <v>0</v>
      </c>
      <c r="AP1254" s="223"/>
      <c r="DQ1254" s="234"/>
      <c r="DR1254" s="234"/>
      <c r="DS1254" s="234"/>
      <c r="EP1254" s="235"/>
      <c r="FS1254" s="236"/>
      <c r="GI1254" s="237"/>
    </row>
    <row r="1255" spans="1:191" s="223" customFormat="1" ht="36" customHeight="1" x14ac:dyDescent="0.25">
      <c r="B1255" s="215" t="s">
        <v>844</v>
      </c>
      <c r="C1255" s="215"/>
      <c r="D1255" s="217" t="s">
        <v>890</v>
      </c>
      <c r="E1255" s="217" t="s">
        <v>890</v>
      </c>
      <c r="F1255" s="217" t="s">
        <v>890</v>
      </c>
      <c r="G1255" s="217" t="s">
        <v>890</v>
      </c>
      <c r="H1255" s="217" t="s">
        <v>890</v>
      </c>
      <c r="I1255" s="218">
        <f>I1256</f>
        <v>2168.41</v>
      </c>
      <c r="J1255" s="218">
        <f>J1256</f>
        <v>1286.56</v>
      </c>
      <c r="K1255" s="218">
        <f>K1256</f>
        <v>1251.51</v>
      </c>
      <c r="L1255" s="219">
        <f>L1256</f>
        <v>63</v>
      </c>
      <c r="M1255" s="217" t="s">
        <v>890</v>
      </c>
      <c r="N1255" s="217" t="s">
        <v>890</v>
      </c>
      <c r="O1255" s="220" t="s">
        <v>890</v>
      </c>
      <c r="P1255" s="190">
        <v>3221353.3</v>
      </c>
      <c r="Q1255" s="190">
        <f>Q1256</f>
        <v>0</v>
      </c>
      <c r="R1255" s="190">
        <f>R1256</f>
        <v>0</v>
      </c>
      <c r="S1255" s="190">
        <f>S1256</f>
        <v>3221353.3</v>
      </c>
      <c r="T1255" s="190">
        <f t="shared" si="165"/>
        <v>1485.5831231178606</v>
      </c>
      <c r="U1255" s="190">
        <f>U1256</f>
        <v>2125.7068128259875</v>
      </c>
      <c r="V1255" s="221">
        <f t="shared" si="164"/>
        <v>640.1236897081269</v>
      </c>
      <c r="W1255" s="221"/>
      <c r="X1255" s="221"/>
      <c r="Y1255" s="222"/>
      <c r="Z1255" s="222"/>
      <c r="AA1255" s="222"/>
      <c r="AB1255" s="222"/>
      <c r="AC1255" s="222"/>
      <c r="AD1255" s="222"/>
      <c r="AE1255" s="222"/>
      <c r="AF1255" s="222"/>
      <c r="AG1255" s="222"/>
      <c r="AH1255" s="222"/>
      <c r="AI1255" s="222"/>
      <c r="AJ1255" s="222"/>
      <c r="AK1255" s="222"/>
      <c r="AL1255" s="222"/>
      <c r="AM1255" s="222"/>
      <c r="AN1255" s="222"/>
      <c r="AO1255" s="222"/>
    </row>
    <row r="1256" spans="1:191" s="154" customFormat="1" ht="36" customHeight="1" x14ac:dyDescent="0.25">
      <c r="A1256" s="223">
        <v>1</v>
      </c>
      <c r="B1256" s="225">
        <f>SUBTOTAL(103,$A$1030:A1256)</f>
        <v>190</v>
      </c>
      <c r="C1256" s="232" t="s">
        <v>65</v>
      </c>
      <c r="D1256" s="217">
        <v>1954</v>
      </c>
      <c r="E1256" s="217"/>
      <c r="F1256" s="233" t="s">
        <v>267</v>
      </c>
      <c r="G1256" s="217">
        <v>3</v>
      </c>
      <c r="H1256" s="217" t="s">
        <v>312</v>
      </c>
      <c r="I1256" s="218">
        <v>2168.41</v>
      </c>
      <c r="J1256" s="218">
        <v>1286.56</v>
      </c>
      <c r="K1256" s="218">
        <v>1251.51</v>
      </c>
      <c r="L1256" s="231">
        <v>63</v>
      </c>
      <c r="M1256" s="217" t="s">
        <v>265</v>
      </c>
      <c r="N1256" s="217" t="s">
        <v>269</v>
      </c>
      <c r="O1256" s="217" t="s">
        <v>272</v>
      </c>
      <c r="P1256" s="218">
        <v>3221353.3</v>
      </c>
      <c r="Q1256" s="218">
        <v>0</v>
      </c>
      <c r="R1256" s="218">
        <v>0</v>
      </c>
      <c r="S1256" s="218">
        <f>P1256-Q1256-R1256</f>
        <v>3221353.3</v>
      </c>
      <c r="T1256" s="190">
        <f t="shared" si="165"/>
        <v>1485.5831231178606</v>
      </c>
      <c r="U1256" s="190">
        <v>2125.7068128259875</v>
      </c>
      <c r="V1256" s="221">
        <f>U1256-T1256</f>
        <v>640.1236897081269</v>
      </c>
      <c r="W1256" s="221">
        <f>X1256+Y1256+Z1256+AA1256+AB1256+AD1256+AF1256+AH1256+AJ1256+AL1256+AN1256+AO1256</f>
        <v>2576.4374197684019</v>
      </c>
      <c r="X1256" s="221">
        <v>0</v>
      </c>
      <c r="Y1256" s="222">
        <v>0</v>
      </c>
      <c r="Z1256" s="222">
        <v>0</v>
      </c>
      <c r="AA1256" s="222">
        <v>0</v>
      </c>
      <c r="AB1256" s="222">
        <v>0</v>
      </c>
      <c r="AC1256" s="222">
        <v>0</v>
      </c>
      <c r="AD1256" s="222">
        <v>0</v>
      </c>
      <c r="AE1256" s="222">
        <v>0</v>
      </c>
      <c r="AF1256" s="221">
        <v>0</v>
      </c>
      <c r="AG1256" s="222">
        <v>0</v>
      </c>
      <c r="AH1256" s="221">
        <v>0</v>
      </c>
      <c r="AI1256" s="222">
        <v>0</v>
      </c>
      <c r="AJ1256" s="221">
        <v>0</v>
      </c>
      <c r="AK1256" s="222">
        <v>72.77</v>
      </c>
      <c r="AL1256" s="221">
        <f>76773.02*AK1256/I1256</f>
        <v>2576.4374197684019</v>
      </c>
      <c r="AM1256" s="222">
        <v>0</v>
      </c>
      <c r="AN1256" s="222"/>
      <c r="AO1256" s="222">
        <v>0</v>
      </c>
      <c r="AP1256" s="223"/>
      <c r="DQ1256" s="234"/>
      <c r="DR1256" s="234"/>
      <c r="DS1256" s="234"/>
      <c r="EP1256" s="235"/>
      <c r="FS1256" s="236"/>
      <c r="GI1256" s="237"/>
    </row>
    <row r="1257" spans="1:191" s="223" customFormat="1" ht="36" customHeight="1" x14ac:dyDescent="0.25">
      <c r="B1257" s="215" t="s">
        <v>845</v>
      </c>
      <c r="C1257" s="215"/>
      <c r="D1257" s="217" t="s">
        <v>751</v>
      </c>
      <c r="E1257" s="217" t="s">
        <v>751</v>
      </c>
      <c r="F1257" s="217" t="s">
        <v>751</v>
      </c>
      <c r="G1257" s="217" t="s">
        <v>751</v>
      </c>
      <c r="H1257" s="217" t="s">
        <v>751</v>
      </c>
      <c r="I1257" s="218">
        <f>I1258</f>
        <v>780.3</v>
      </c>
      <c r="J1257" s="218">
        <f>J1258</f>
        <v>720.3</v>
      </c>
      <c r="K1257" s="218">
        <f>K1258</f>
        <v>720.3</v>
      </c>
      <c r="L1257" s="219">
        <f>L1258</f>
        <v>40</v>
      </c>
      <c r="M1257" s="217" t="s">
        <v>890</v>
      </c>
      <c r="N1257" s="217" t="s">
        <v>890</v>
      </c>
      <c r="O1257" s="220" t="s">
        <v>890</v>
      </c>
      <c r="P1257" s="190">
        <v>2311215.4500000002</v>
      </c>
      <c r="Q1257" s="190">
        <f>Q1258</f>
        <v>0</v>
      </c>
      <c r="R1257" s="190">
        <f>R1258</f>
        <v>0</v>
      </c>
      <c r="S1257" s="190">
        <f>S1258</f>
        <v>2311215.4500000002</v>
      </c>
      <c r="T1257" s="190">
        <f t="shared" si="165"/>
        <v>2961.9575163398695</v>
      </c>
      <c r="U1257" s="190">
        <f>U1258</f>
        <v>3919.7987953351276</v>
      </c>
      <c r="V1257" s="221">
        <f t="shared" si="164"/>
        <v>957.84127899525811</v>
      </c>
      <c r="W1257" s="221"/>
      <c r="X1257" s="221"/>
      <c r="Y1257" s="222"/>
      <c r="Z1257" s="222"/>
      <c r="AA1257" s="222"/>
      <c r="AB1257" s="222"/>
      <c r="AC1257" s="222"/>
      <c r="AD1257" s="222"/>
      <c r="AE1257" s="222"/>
      <c r="AF1257" s="222"/>
      <c r="AG1257" s="222"/>
      <c r="AH1257" s="222"/>
      <c r="AI1257" s="222"/>
      <c r="AJ1257" s="222"/>
      <c r="AK1257" s="222"/>
      <c r="AL1257" s="222"/>
      <c r="AM1257" s="222"/>
      <c r="AN1257" s="222"/>
      <c r="AO1257" s="222"/>
    </row>
    <row r="1258" spans="1:191" s="154" customFormat="1" ht="36" customHeight="1" x14ac:dyDescent="0.25">
      <c r="A1258" s="223">
        <v>1</v>
      </c>
      <c r="B1258" s="225">
        <f>SUBTOTAL(103,$A$1030:A1258)</f>
        <v>191</v>
      </c>
      <c r="C1258" s="232" t="s">
        <v>64</v>
      </c>
      <c r="D1258" s="217">
        <v>1961</v>
      </c>
      <c r="E1258" s="217"/>
      <c r="F1258" s="233" t="s">
        <v>267</v>
      </c>
      <c r="G1258" s="217">
        <v>2</v>
      </c>
      <c r="H1258" s="217" t="s">
        <v>303</v>
      </c>
      <c r="I1258" s="218">
        <v>780.3</v>
      </c>
      <c r="J1258" s="218">
        <v>720.3</v>
      </c>
      <c r="K1258" s="218">
        <v>720.3</v>
      </c>
      <c r="L1258" s="231">
        <v>40</v>
      </c>
      <c r="M1258" s="217" t="s">
        <v>265</v>
      </c>
      <c r="N1258" s="217" t="s">
        <v>269</v>
      </c>
      <c r="O1258" s="217" t="s">
        <v>273</v>
      </c>
      <c r="P1258" s="218">
        <v>2311215.4500000002</v>
      </c>
      <c r="Q1258" s="218">
        <v>0</v>
      </c>
      <c r="R1258" s="218">
        <v>0</v>
      </c>
      <c r="S1258" s="218">
        <f>P1258-Q1258-R1258</f>
        <v>2311215.4500000002</v>
      </c>
      <c r="T1258" s="190">
        <f t="shared" si="165"/>
        <v>2961.9575163398695</v>
      </c>
      <c r="U1258" s="190">
        <v>3919.7987953351276</v>
      </c>
      <c r="V1258" s="221">
        <f>U1258-T1258</f>
        <v>957.84127899525811</v>
      </c>
      <c r="W1258" s="221">
        <f>X1258+Y1258+Z1258+AA1258+AB1258+AD1258+AF1258+AH1258+AJ1258+AL1258+AN1258+AO1258</f>
        <v>3757.8978597975138</v>
      </c>
      <c r="X1258" s="221">
        <v>0</v>
      </c>
      <c r="Y1258" s="222">
        <v>0</v>
      </c>
      <c r="Z1258" s="222">
        <v>0</v>
      </c>
      <c r="AA1258" s="222">
        <v>0</v>
      </c>
      <c r="AB1258" s="222">
        <v>0</v>
      </c>
      <c r="AC1258" s="222">
        <v>0</v>
      </c>
      <c r="AD1258" s="222">
        <v>0</v>
      </c>
      <c r="AE1258" s="222">
        <v>470</v>
      </c>
      <c r="AF1258" s="221">
        <f>6238.91*AE1258/I1258</f>
        <v>3757.8978597975138</v>
      </c>
      <c r="AG1258" s="222">
        <v>0</v>
      </c>
      <c r="AH1258" s="221">
        <v>0</v>
      </c>
      <c r="AI1258" s="222">
        <v>0</v>
      </c>
      <c r="AJ1258" s="221">
        <v>0</v>
      </c>
      <c r="AK1258" s="222">
        <v>0</v>
      </c>
      <c r="AL1258" s="222">
        <v>0</v>
      </c>
      <c r="AM1258" s="222">
        <v>0</v>
      </c>
      <c r="AN1258" s="222"/>
      <c r="AO1258" s="222">
        <v>0</v>
      </c>
      <c r="AP1258" s="223"/>
      <c r="DQ1258" s="234"/>
      <c r="DR1258" s="234"/>
      <c r="DS1258" s="234"/>
      <c r="EP1258" s="235"/>
      <c r="FS1258" s="236"/>
      <c r="GI1258" s="237"/>
    </row>
    <row r="1259" spans="1:191" s="223" customFormat="1" ht="36" customHeight="1" x14ac:dyDescent="0.25">
      <c r="B1259" s="215" t="s">
        <v>883</v>
      </c>
      <c r="C1259" s="215"/>
      <c r="D1259" s="217" t="s">
        <v>751</v>
      </c>
      <c r="E1259" s="217" t="s">
        <v>751</v>
      </c>
      <c r="F1259" s="217" t="s">
        <v>751</v>
      </c>
      <c r="G1259" s="217" t="s">
        <v>751</v>
      </c>
      <c r="H1259" s="217" t="s">
        <v>751</v>
      </c>
      <c r="I1259" s="218">
        <f>I1260</f>
        <v>540.79999999999995</v>
      </c>
      <c r="J1259" s="218">
        <f>J1260</f>
        <v>388.59</v>
      </c>
      <c r="K1259" s="218">
        <f>K1260</f>
        <v>251.8</v>
      </c>
      <c r="L1259" s="219">
        <f>L1260</f>
        <v>26</v>
      </c>
      <c r="M1259" s="217" t="s">
        <v>890</v>
      </c>
      <c r="N1259" s="217" t="s">
        <v>890</v>
      </c>
      <c r="O1259" s="220" t="s">
        <v>890</v>
      </c>
      <c r="P1259" s="190">
        <v>3215375.5700000003</v>
      </c>
      <c r="Q1259" s="190">
        <f>Q1260</f>
        <v>0</v>
      </c>
      <c r="R1259" s="190">
        <f>R1260</f>
        <v>0</v>
      </c>
      <c r="S1259" s="190">
        <f>S1260</f>
        <v>3215375.5700000003</v>
      </c>
      <c r="T1259" s="190">
        <f t="shared" si="165"/>
        <v>5945.5909208579897</v>
      </c>
      <c r="U1259" s="190">
        <f>U1260</f>
        <v>7409.728831360947</v>
      </c>
      <c r="V1259" s="221">
        <f t="shared" si="164"/>
        <v>1464.1379105029573</v>
      </c>
      <c r="W1259" s="221"/>
      <c r="X1259" s="221"/>
      <c r="Y1259" s="222"/>
      <c r="Z1259" s="222"/>
      <c r="AA1259" s="222"/>
      <c r="AB1259" s="222"/>
      <c r="AC1259" s="222"/>
      <c r="AD1259" s="222"/>
      <c r="AE1259" s="222"/>
      <c r="AF1259" s="222"/>
      <c r="AG1259" s="222"/>
      <c r="AH1259" s="222"/>
      <c r="AI1259" s="222"/>
      <c r="AJ1259" s="222"/>
      <c r="AK1259" s="222"/>
      <c r="AL1259" s="222"/>
      <c r="AM1259" s="222"/>
      <c r="AN1259" s="222"/>
      <c r="AO1259" s="222"/>
    </row>
    <row r="1260" spans="1:191" s="154" customFormat="1" ht="36" customHeight="1" x14ac:dyDescent="0.25">
      <c r="A1260" s="223">
        <v>1</v>
      </c>
      <c r="B1260" s="225">
        <f>SUBTOTAL(103,$A$1030:A1260)</f>
        <v>192</v>
      </c>
      <c r="C1260" s="232" t="s">
        <v>70</v>
      </c>
      <c r="D1260" s="217">
        <v>1958</v>
      </c>
      <c r="E1260" s="217"/>
      <c r="F1260" s="233" t="s">
        <v>267</v>
      </c>
      <c r="G1260" s="217">
        <v>2</v>
      </c>
      <c r="H1260" s="217" t="s">
        <v>303</v>
      </c>
      <c r="I1260" s="218">
        <v>540.79999999999995</v>
      </c>
      <c r="J1260" s="218">
        <v>388.59</v>
      </c>
      <c r="K1260" s="218">
        <v>251.8</v>
      </c>
      <c r="L1260" s="231">
        <v>26</v>
      </c>
      <c r="M1260" s="217" t="s">
        <v>265</v>
      </c>
      <c r="N1260" s="217" t="s">
        <v>266</v>
      </c>
      <c r="O1260" s="217" t="s">
        <v>268</v>
      </c>
      <c r="P1260" s="218">
        <v>3215375.5700000003</v>
      </c>
      <c r="Q1260" s="218">
        <v>0</v>
      </c>
      <c r="R1260" s="218">
        <v>0</v>
      </c>
      <c r="S1260" s="218">
        <f>P1260-Q1260-R1260</f>
        <v>3215375.5700000003</v>
      </c>
      <c r="T1260" s="190">
        <f t="shared" si="165"/>
        <v>5945.5909208579897</v>
      </c>
      <c r="U1260" s="190">
        <v>7409.728831360947</v>
      </c>
      <c r="V1260" s="221">
        <f>U1260-T1260</f>
        <v>1464.1379105029573</v>
      </c>
      <c r="W1260" s="221">
        <f>X1260+Y1260+Z1260+AA1260+AB1260+AD1260+AF1260+AH1260+AJ1260+AL1260+AN1260+AO1260</f>
        <v>7103.6819926035505</v>
      </c>
      <c r="X1260" s="221">
        <v>0</v>
      </c>
      <c r="Y1260" s="222">
        <v>0</v>
      </c>
      <c r="Z1260" s="222">
        <v>0</v>
      </c>
      <c r="AA1260" s="222">
        <v>0</v>
      </c>
      <c r="AB1260" s="222">
        <v>0</v>
      </c>
      <c r="AC1260" s="222">
        <v>0</v>
      </c>
      <c r="AD1260" s="222">
        <v>0</v>
      </c>
      <c r="AE1260" s="222">
        <v>615.76</v>
      </c>
      <c r="AF1260" s="221">
        <f>6238.91*AE1260/I1260</f>
        <v>7103.6819926035505</v>
      </c>
      <c r="AG1260" s="222">
        <v>0</v>
      </c>
      <c r="AH1260" s="221">
        <v>0</v>
      </c>
      <c r="AI1260" s="222">
        <v>0</v>
      </c>
      <c r="AJ1260" s="221">
        <v>0</v>
      </c>
      <c r="AK1260" s="222">
        <v>0</v>
      </c>
      <c r="AL1260" s="222">
        <v>0</v>
      </c>
      <c r="AM1260" s="222">
        <v>0</v>
      </c>
      <c r="AN1260" s="222"/>
      <c r="AO1260" s="222">
        <v>0</v>
      </c>
      <c r="AP1260" s="223"/>
      <c r="DQ1260" s="234"/>
      <c r="DR1260" s="234"/>
      <c r="DS1260" s="234"/>
      <c r="EP1260" s="235"/>
      <c r="FS1260" s="236"/>
      <c r="GI1260" s="237"/>
    </row>
    <row r="1261" spans="1:191" s="223" customFormat="1" ht="36" customHeight="1" x14ac:dyDescent="0.25">
      <c r="B1261" s="215" t="s">
        <v>846</v>
      </c>
      <c r="C1261" s="215"/>
      <c r="D1261" s="217" t="s">
        <v>890</v>
      </c>
      <c r="E1261" s="217" t="s">
        <v>890</v>
      </c>
      <c r="F1261" s="217" t="s">
        <v>890</v>
      </c>
      <c r="G1261" s="217" t="s">
        <v>890</v>
      </c>
      <c r="H1261" s="217" t="s">
        <v>890</v>
      </c>
      <c r="I1261" s="218">
        <f>SUM(I1262:I1264)</f>
        <v>2550.6999999999998</v>
      </c>
      <c r="J1261" s="218">
        <f>SUM(J1262:J1264)</f>
        <v>2520.7799999999997</v>
      </c>
      <c r="K1261" s="218">
        <f>SUM(K1262:K1264)</f>
        <v>2068.7200000000003</v>
      </c>
      <c r="L1261" s="219">
        <f>SUM(L1262:L1264)</f>
        <v>140</v>
      </c>
      <c r="M1261" s="217" t="s">
        <v>890</v>
      </c>
      <c r="N1261" s="217" t="s">
        <v>890</v>
      </c>
      <c r="O1261" s="220" t="s">
        <v>890</v>
      </c>
      <c r="P1261" s="190">
        <v>10672314.84</v>
      </c>
      <c r="Q1261" s="190">
        <f>Q1262+Q1263+Q1264</f>
        <v>0</v>
      </c>
      <c r="R1261" s="190">
        <f>R1262+R1263+R1264</f>
        <v>0</v>
      </c>
      <c r="S1261" s="190">
        <f>S1262+S1263+S1264</f>
        <v>10672314.84</v>
      </c>
      <c r="T1261" s="190">
        <f t="shared" si="165"/>
        <v>4184.0729368408674</v>
      </c>
      <c r="U1261" s="190">
        <f>MAX(U1262:U1264)</f>
        <v>6306.430927835052</v>
      </c>
      <c r="V1261" s="221">
        <f t="shared" si="164"/>
        <v>2122.3579909941845</v>
      </c>
      <c r="W1261" s="221"/>
      <c r="X1261" s="221"/>
      <c r="Y1261" s="222"/>
      <c r="Z1261" s="222"/>
      <c r="AA1261" s="222"/>
      <c r="AB1261" s="222"/>
      <c r="AC1261" s="222"/>
      <c r="AD1261" s="222"/>
      <c r="AE1261" s="222"/>
      <c r="AF1261" s="222"/>
      <c r="AG1261" s="222"/>
      <c r="AH1261" s="222"/>
      <c r="AI1261" s="222"/>
      <c r="AJ1261" s="222"/>
      <c r="AK1261" s="222"/>
      <c r="AL1261" s="222"/>
      <c r="AM1261" s="222"/>
      <c r="AN1261" s="222"/>
      <c r="AO1261" s="222"/>
    </row>
    <row r="1262" spans="1:191" s="154" customFormat="1" ht="36" customHeight="1" x14ac:dyDescent="0.25">
      <c r="A1262" s="223">
        <v>1</v>
      </c>
      <c r="B1262" s="225">
        <f>SUBTOTAL(103,$A$1030:A1262)</f>
        <v>193</v>
      </c>
      <c r="C1262" s="232" t="s">
        <v>71</v>
      </c>
      <c r="D1262" s="217">
        <v>1977</v>
      </c>
      <c r="E1262" s="217"/>
      <c r="F1262" s="233" t="s">
        <v>267</v>
      </c>
      <c r="G1262" s="217">
        <v>3</v>
      </c>
      <c r="H1262" s="217" t="s">
        <v>303</v>
      </c>
      <c r="I1262" s="218">
        <v>850.1</v>
      </c>
      <c r="J1262" s="218">
        <v>850.1</v>
      </c>
      <c r="K1262" s="218">
        <v>745</v>
      </c>
      <c r="L1262" s="231">
        <v>38</v>
      </c>
      <c r="M1262" s="217" t="s">
        <v>265</v>
      </c>
      <c r="N1262" s="217" t="s">
        <v>266</v>
      </c>
      <c r="O1262" s="217" t="s">
        <v>268</v>
      </c>
      <c r="P1262" s="218">
        <v>2391584.4</v>
      </c>
      <c r="Q1262" s="218">
        <v>0</v>
      </c>
      <c r="R1262" s="218">
        <v>0</v>
      </c>
      <c r="S1262" s="218">
        <f>P1262-Q1262-R1262</f>
        <v>2391584.4</v>
      </c>
      <c r="T1262" s="190">
        <f t="shared" si="165"/>
        <v>2813.2977296788613</v>
      </c>
      <c r="U1262" s="190">
        <v>3506.0894012469121</v>
      </c>
      <c r="V1262" s="221">
        <f t="shared" si="164"/>
        <v>692.79167156805079</v>
      </c>
      <c r="W1262" s="221">
        <f>X1262+Y1262+Z1262+AA1262+AB1262+AD1262+AF1262+AH1262+AJ1262+AL1262+AN1262+AO1262</f>
        <v>3361.2760616398068</v>
      </c>
      <c r="X1262" s="221">
        <v>0</v>
      </c>
      <c r="Y1262" s="222">
        <v>0</v>
      </c>
      <c r="Z1262" s="222">
        <v>0</v>
      </c>
      <c r="AA1262" s="222">
        <v>0</v>
      </c>
      <c r="AB1262" s="222">
        <v>0</v>
      </c>
      <c r="AC1262" s="222">
        <v>0</v>
      </c>
      <c r="AD1262" s="222">
        <v>0</v>
      </c>
      <c r="AE1262" s="222">
        <v>458</v>
      </c>
      <c r="AF1262" s="221">
        <f>6238.91*AE1262/I1262</f>
        <v>3361.2760616398068</v>
      </c>
      <c r="AG1262" s="222">
        <v>0</v>
      </c>
      <c r="AH1262" s="221">
        <v>0</v>
      </c>
      <c r="AI1262" s="222">
        <v>0</v>
      </c>
      <c r="AJ1262" s="221">
        <v>0</v>
      </c>
      <c r="AK1262" s="222">
        <v>0</v>
      </c>
      <c r="AL1262" s="222">
        <v>0</v>
      </c>
      <c r="AM1262" s="222">
        <v>0</v>
      </c>
      <c r="AN1262" s="222"/>
      <c r="AO1262" s="222">
        <v>0</v>
      </c>
      <c r="AP1262" s="223"/>
      <c r="DQ1262" s="234"/>
      <c r="DR1262" s="234"/>
      <c r="DS1262" s="234"/>
      <c r="EP1262" s="235"/>
      <c r="FS1262" s="236"/>
      <c r="GI1262" s="237"/>
    </row>
    <row r="1263" spans="1:191" s="154" customFormat="1" ht="36" customHeight="1" x14ac:dyDescent="0.25">
      <c r="A1263" s="223">
        <v>1</v>
      </c>
      <c r="B1263" s="225">
        <f>SUBTOTAL(103,$A$1030:A1263)</f>
        <v>194</v>
      </c>
      <c r="C1263" s="232" t="s">
        <v>72</v>
      </c>
      <c r="D1263" s="217">
        <v>1980</v>
      </c>
      <c r="E1263" s="217"/>
      <c r="F1263" s="233" t="s">
        <v>267</v>
      </c>
      <c r="G1263" s="217">
        <v>2</v>
      </c>
      <c r="H1263" s="217" t="s">
        <v>312</v>
      </c>
      <c r="I1263" s="218">
        <v>970</v>
      </c>
      <c r="J1263" s="218">
        <v>970</v>
      </c>
      <c r="K1263" s="218">
        <v>826.90000000000009</v>
      </c>
      <c r="L1263" s="231">
        <v>68</v>
      </c>
      <c r="M1263" s="217" t="s">
        <v>265</v>
      </c>
      <c r="N1263" s="217" t="s">
        <v>266</v>
      </c>
      <c r="O1263" s="217" t="s">
        <v>268</v>
      </c>
      <c r="P1263" s="218">
        <v>4908492</v>
      </c>
      <c r="Q1263" s="218">
        <v>0</v>
      </c>
      <c r="R1263" s="218">
        <v>0</v>
      </c>
      <c r="S1263" s="218">
        <f>P1263-Q1263-R1263</f>
        <v>4908492</v>
      </c>
      <c r="T1263" s="190">
        <f t="shared" si="165"/>
        <v>5060.3010309278352</v>
      </c>
      <c r="U1263" s="190">
        <v>6306.430927835052</v>
      </c>
      <c r="V1263" s="221">
        <f t="shared" si="164"/>
        <v>1246.1298969072168</v>
      </c>
      <c r="W1263" s="221">
        <f>X1263+Y1263+Z1263+AA1263+AB1263+AD1263+AF1263+AH1263+AJ1263+AL1263+AN1263+AO1263</f>
        <v>6045.9540206185566</v>
      </c>
      <c r="X1263" s="221">
        <v>0</v>
      </c>
      <c r="Y1263" s="222">
        <v>0</v>
      </c>
      <c r="Z1263" s="222">
        <v>0</v>
      </c>
      <c r="AA1263" s="222">
        <v>0</v>
      </c>
      <c r="AB1263" s="222">
        <v>0</v>
      </c>
      <c r="AC1263" s="222">
        <v>0</v>
      </c>
      <c r="AD1263" s="222">
        <v>0</v>
      </c>
      <c r="AE1263" s="222">
        <v>940</v>
      </c>
      <c r="AF1263" s="221">
        <f>6238.91*AE1263/I1263</f>
        <v>6045.9540206185566</v>
      </c>
      <c r="AG1263" s="222">
        <v>0</v>
      </c>
      <c r="AH1263" s="221">
        <v>0</v>
      </c>
      <c r="AI1263" s="222">
        <v>0</v>
      </c>
      <c r="AJ1263" s="221">
        <v>0</v>
      </c>
      <c r="AK1263" s="222">
        <v>0</v>
      </c>
      <c r="AL1263" s="222">
        <v>0</v>
      </c>
      <c r="AM1263" s="222">
        <v>0</v>
      </c>
      <c r="AN1263" s="222"/>
      <c r="AO1263" s="222">
        <v>0</v>
      </c>
      <c r="AP1263" s="223"/>
      <c r="DQ1263" s="234"/>
      <c r="DR1263" s="234"/>
      <c r="DS1263" s="234"/>
      <c r="EP1263" s="235"/>
      <c r="FS1263" s="236"/>
      <c r="GI1263" s="237"/>
    </row>
    <row r="1264" spans="1:191" s="154" customFormat="1" ht="36" customHeight="1" x14ac:dyDescent="0.25">
      <c r="A1264" s="223">
        <v>1</v>
      </c>
      <c r="B1264" s="225">
        <f>SUBTOTAL(103,$A$1030:A1264)</f>
        <v>195</v>
      </c>
      <c r="C1264" s="232" t="s">
        <v>73</v>
      </c>
      <c r="D1264" s="217">
        <v>1969</v>
      </c>
      <c r="E1264" s="217"/>
      <c r="F1264" s="233" t="s">
        <v>267</v>
      </c>
      <c r="G1264" s="217">
        <v>2</v>
      </c>
      <c r="H1264" s="217" t="s">
        <v>303</v>
      </c>
      <c r="I1264" s="218">
        <v>730.6</v>
      </c>
      <c r="J1264" s="218">
        <v>700.68</v>
      </c>
      <c r="K1264" s="218">
        <v>496.82</v>
      </c>
      <c r="L1264" s="231">
        <v>34</v>
      </c>
      <c r="M1264" s="217" t="s">
        <v>265</v>
      </c>
      <c r="N1264" s="217" t="s">
        <v>266</v>
      </c>
      <c r="O1264" s="217" t="s">
        <v>268</v>
      </c>
      <c r="P1264" s="218">
        <v>3372238.44</v>
      </c>
      <c r="Q1264" s="218">
        <v>0</v>
      </c>
      <c r="R1264" s="218">
        <v>0</v>
      </c>
      <c r="S1264" s="218">
        <f>P1264-Q1264-R1264</f>
        <v>3372238.44</v>
      </c>
      <c r="T1264" s="190">
        <f t="shared" si="165"/>
        <v>4615.710977278949</v>
      </c>
      <c r="U1264" s="190">
        <v>5752.3578702436344</v>
      </c>
      <c r="V1264" s="221">
        <f t="shared" si="164"/>
        <v>1136.6468929646853</v>
      </c>
      <c r="W1264" s="221">
        <f>X1264+Y1264+Z1264+AA1264+AB1264+AD1264+AF1264+AH1264+AJ1264+AL1264+AN1264+AO1264</f>
        <v>5514.7660525595393</v>
      </c>
      <c r="X1264" s="221">
        <v>0</v>
      </c>
      <c r="Y1264" s="222">
        <v>0</v>
      </c>
      <c r="Z1264" s="222">
        <v>0</v>
      </c>
      <c r="AA1264" s="222">
        <v>0</v>
      </c>
      <c r="AB1264" s="222">
        <v>0</v>
      </c>
      <c r="AC1264" s="222">
        <v>0</v>
      </c>
      <c r="AD1264" s="222">
        <v>0</v>
      </c>
      <c r="AE1264" s="222">
        <v>645.79999999999995</v>
      </c>
      <c r="AF1264" s="221">
        <f>6238.91*AE1264/I1264</f>
        <v>5514.7660525595393</v>
      </c>
      <c r="AG1264" s="222">
        <v>0</v>
      </c>
      <c r="AH1264" s="221">
        <v>0</v>
      </c>
      <c r="AI1264" s="222">
        <v>0</v>
      </c>
      <c r="AJ1264" s="221">
        <v>0</v>
      </c>
      <c r="AK1264" s="222">
        <v>0</v>
      </c>
      <c r="AL1264" s="222">
        <v>0</v>
      </c>
      <c r="AM1264" s="222">
        <v>0</v>
      </c>
      <c r="AN1264" s="222"/>
      <c r="AO1264" s="222">
        <v>0</v>
      </c>
      <c r="AP1264" s="223"/>
      <c r="DQ1264" s="234"/>
      <c r="DR1264" s="234"/>
      <c r="DS1264" s="234"/>
      <c r="EP1264" s="235"/>
      <c r="FS1264" s="236"/>
      <c r="GI1264" s="237"/>
    </row>
    <row r="1265" spans="1:191" s="223" customFormat="1" ht="36" customHeight="1" x14ac:dyDescent="0.25">
      <c r="B1265" s="215" t="s">
        <v>842</v>
      </c>
      <c r="C1265" s="215"/>
      <c r="D1265" s="217" t="s">
        <v>890</v>
      </c>
      <c r="E1265" s="217" t="s">
        <v>890</v>
      </c>
      <c r="F1265" s="217" t="s">
        <v>890</v>
      </c>
      <c r="G1265" s="217" t="s">
        <v>890</v>
      </c>
      <c r="H1265" s="217" t="s">
        <v>890</v>
      </c>
      <c r="I1265" s="218">
        <f>I1266</f>
        <v>5523</v>
      </c>
      <c r="J1265" s="218">
        <f>J1266</f>
        <v>4570.6000000000004</v>
      </c>
      <c r="K1265" s="218">
        <f>K1266</f>
        <v>2967.3500000000004</v>
      </c>
      <c r="L1265" s="219">
        <f>L1266</f>
        <v>208</v>
      </c>
      <c r="M1265" s="217" t="s">
        <v>890</v>
      </c>
      <c r="N1265" s="217" t="s">
        <v>890</v>
      </c>
      <c r="O1265" s="220" t="s">
        <v>890</v>
      </c>
      <c r="P1265" s="190">
        <v>3912770.8299999996</v>
      </c>
      <c r="Q1265" s="190">
        <f>Q1266</f>
        <v>0</v>
      </c>
      <c r="R1265" s="190">
        <f>R1266</f>
        <v>0</v>
      </c>
      <c r="S1265" s="190">
        <f>S1266</f>
        <v>3912770.8299999996</v>
      </c>
      <c r="T1265" s="190">
        <f t="shared" si="165"/>
        <v>708.45026797030596</v>
      </c>
      <c r="U1265" s="190">
        <f>U1266</f>
        <v>1555.3438348723521</v>
      </c>
      <c r="V1265" s="221">
        <f t="shared" si="164"/>
        <v>846.89356690204613</v>
      </c>
      <c r="W1265" s="221"/>
      <c r="X1265" s="221"/>
      <c r="Y1265" s="222"/>
      <c r="Z1265" s="222"/>
      <c r="AA1265" s="222"/>
      <c r="AB1265" s="222"/>
      <c r="AC1265" s="222"/>
      <c r="AD1265" s="222"/>
      <c r="AE1265" s="222"/>
      <c r="AF1265" s="222"/>
      <c r="AG1265" s="222"/>
      <c r="AH1265" s="222"/>
      <c r="AI1265" s="222"/>
      <c r="AJ1265" s="222"/>
      <c r="AK1265" s="222"/>
      <c r="AL1265" s="222"/>
      <c r="AM1265" s="222"/>
      <c r="AN1265" s="222"/>
      <c r="AO1265" s="222"/>
    </row>
    <row r="1266" spans="1:191" s="154" customFormat="1" ht="36" customHeight="1" x14ac:dyDescent="0.25">
      <c r="A1266" s="223">
        <v>1</v>
      </c>
      <c r="B1266" s="225">
        <f>SUBTOTAL(103,$A$1030:A1266)</f>
        <v>196</v>
      </c>
      <c r="C1266" s="232" t="s">
        <v>1561</v>
      </c>
      <c r="D1266" s="217">
        <v>1979</v>
      </c>
      <c r="E1266" s="217"/>
      <c r="F1266" s="233" t="s">
        <v>1571</v>
      </c>
      <c r="G1266" s="217">
        <v>5</v>
      </c>
      <c r="H1266" s="217" t="s">
        <v>371</v>
      </c>
      <c r="I1266" s="218">
        <v>5523</v>
      </c>
      <c r="J1266" s="218">
        <v>4570.6000000000004</v>
      </c>
      <c r="K1266" s="218">
        <v>2967.3500000000004</v>
      </c>
      <c r="L1266" s="231">
        <v>208</v>
      </c>
      <c r="M1266" s="217" t="s">
        <v>265</v>
      </c>
      <c r="N1266" s="217" t="s">
        <v>269</v>
      </c>
      <c r="O1266" s="217" t="s">
        <v>1523</v>
      </c>
      <c r="P1266" s="218">
        <v>3912770.8299999996</v>
      </c>
      <c r="Q1266" s="218">
        <v>0</v>
      </c>
      <c r="R1266" s="218">
        <v>0</v>
      </c>
      <c r="S1266" s="218">
        <f>P1266-Q1266-R1266</f>
        <v>3912770.8299999996</v>
      </c>
      <c r="T1266" s="190">
        <f t="shared" si="165"/>
        <v>708.45026797030596</v>
      </c>
      <c r="U1266" s="190">
        <v>1555.3438348723521</v>
      </c>
      <c r="V1266" s="221">
        <f>U1266-T1266</f>
        <v>846.89356690204613</v>
      </c>
      <c r="W1266" s="221">
        <f>X1266+Y1266+Z1266+AA1266+AB1266+AD1266+AF1266+AH1266+AJ1266+AL1266+AN1266+AO1266</f>
        <v>1491.1028788701792</v>
      </c>
      <c r="X1266" s="221">
        <v>0</v>
      </c>
      <c r="Y1266" s="222">
        <v>0</v>
      </c>
      <c r="Z1266" s="222">
        <v>0</v>
      </c>
      <c r="AA1266" s="222">
        <v>0</v>
      </c>
      <c r="AB1266" s="222">
        <v>0</v>
      </c>
      <c r="AC1266" s="222">
        <v>0</v>
      </c>
      <c r="AD1266" s="222">
        <v>0</v>
      </c>
      <c r="AE1266" s="222">
        <v>1320</v>
      </c>
      <c r="AF1266" s="221">
        <f>6238.91*AE1266/I1266</f>
        <v>1491.1028788701792</v>
      </c>
      <c r="AG1266" s="222">
        <v>0</v>
      </c>
      <c r="AH1266" s="221">
        <v>0</v>
      </c>
      <c r="AI1266" s="222">
        <v>0</v>
      </c>
      <c r="AJ1266" s="221">
        <v>0</v>
      </c>
      <c r="AK1266" s="222">
        <v>0</v>
      </c>
      <c r="AL1266" s="222">
        <v>0</v>
      </c>
      <c r="AM1266" s="222">
        <v>0</v>
      </c>
      <c r="AN1266" s="222"/>
      <c r="AO1266" s="222">
        <v>0</v>
      </c>
      <c r="AP1266" s="223"/>
      <c r="DQ1266" s="234"/>
      <c r="DR1266" s="234"/>
      <c r="DS1266" s="234"/>
      <c r="EP1266" s="235"/>
      <c r="FS1266" s="236"/>
      <c r="GI1266" s="237"/>
    </row>
    <row r="1267" spans="1:191" s="223" customFormat="1" ht="36" customHeight="1" x14ac:dyDescent="0.25">
      <c r="B1267" s="215" t="s">
        <v>847</v>
      </c>
      <c r="C1267" s="227"/>
      <c r="D1267" s="217" t="s">
        <v>890</v>
      </c>
      <c r="E1267" s="217" t="s">
        <v>890</v>
      </c>
      <c r="F1267" s="217" t="s">
        <v>890</v>
      </c>
      <c r="G1267" s="217" t="s">
        <v>890</v>
      </c>
      <c r="H1267" s="217" t="s">
        <v>890</v>
      </c>
      <c r="I1267" s="218">
        <f>I1268</f>
        <v>1046.8</v>
      </c>
      <c r="J1267" s="218">
        <f>J1268</f>
        <v>929.5</v>
      </c>
      <c r="K1267" s="218">
        <f>K1268</f>
        <v>929.5</v>
      </c>
      <c r="L1267" s="219">
        <f>L1268</f>
        <v>44</v>
      </c>
      <c r="M1267" s="217" t="s">
        <v>890</v>
      </c>
      <c r="N1267" s="217" t="s">
        <v>890</v>
      </c>
      <c r="O1267" s="220" t="s">
        <v>890</v>
      </c>
      <c r="P1267" s="190">
        <v>4804056</v>
      </c>
      <c r="Q1267" s="190">
        <f>Q1268</f>
        <v>0</v>
      </c>
      <c r="R1267" s="190">
        <f>R1268</f>
        <v>0</v>
      </c>
      <c r="S1267" s="190">
        <f>S1268</f>
        <v>4804056</v>
      </c>
      <c r="T1267" s="190">
        <f t="shared" si="165"/>
        <v>4589.277799006496</v>
      </c>
      <c r="U1267" s="190">
        <f>U1268</f>
        <v>5750.4991402369124</v>
      </c>
      <c r="V1267" s="221">
        <f t="shared" si="164"/>
        <v>1161.2213412304163</v>
      </c>
      <c r="W1267" s="221"/>
      <c r="X1267" s="221"/>
      <c r="Y1267" s="222"/>
      <c r="Z1267" s="222"/>
      <c r="AA1267" s="222"/>
      <c r="AB1267" s="222"/>
      <c r="AC1267" s="222"/>
      <c r="AD1267" s="222"/>
      <c r="AE1267" s="222"/>
      <c r="AF1267" s="222"/>
      <c r="AG1267" s="222"/>
      <c r="AH1267" s="222"/>
      <c r="AI1267" s="222"/>
      <c r="AJ1267" s="222"/>
      <c r="AK1267" s="222"/>
      <c r="AL1267" s="222"/>
      <c r="AM1267" s="222"/>
      <c r="AN1267" s="222"/>
      <c r="AO1267" s="222"/>
    </row>
    <row r="1268" spans="1:191" s="154" customFormat="1" ht="36" customHeight="1" x14ac:dyDescent="0.25">
      <c r="A1268" s="223">
        <v>1</v>
      </c>
      <c r="B1268" s="225">
        <f>SUBTOTAL(103,$A$1030:A1268)</f>
        <v>197</v>
      </c>
      <c r="C1268" s="232" t="s">
        <v>226</v>
      </c>
      <c r="D1268" s="217">
        <v>1994</v>
      </c>
      <c r="E1268" s="217"/>
      <c r="F1268" s="233" t="s">
        <v>267</v>
      </c>
      <c r="G1268" s="217">
        <v>2</v>
      </c>
      <c r="H1268" s="217" t="s">
        <v>312</v>
      </c>
      <c r="I1268" s="218">
        <v>1046.8</v>
      </c>
      <c r="J1268" s="218">
        <v>929.5</v>
      </c>
      <c r="K1268" s="218">
        <v>929.5</v>
      </c>
      <c r="L1268" s="231">
        <v>44</v>
      </c>
      <c r="M1268" s="217" t="s">
        <v>265</v>
      </c>
      <c r="N1268" s="217" t="s">
        <v>269</v>
      </c>
      <c r="O1268" s="217" t="s">
        <v>702</v>
      </c>
      <c r="P1268" s="218">
        <v>4804056</v>
      </c>
      <c r="Q1268" s="218">
        <v>0</v>
      </c>
      <c r="R1268" s="218">
        <v>0</v>
      </c>
      <c r="S1268" s="218">
        <f>P1268-Q1268-R1268</f>
        <v>4804056</v>
      </c>
      <c r="T1268" s="190">
        <f t="shared" si="165"/>
        <v>4589.277799006496</v>
      </c>
      <c r="U1268" s="190">
        <v>5750.4991402369124</v>
      </c>
      <c r="V1268" s="221">
        <f>U1268-T1268</f>
        <v>1161.2213412304163</v>
      </c>
      <c r="W1268" s="221">
        <f>X1268+Y1268+Z1268+AA1268+AB1268+AD1268+AF1268+AH1268+AJ1268+AL1268+AN1268+AO1268</f>
        <v>5512.9840943828813</v>
      </c>
      <c r="X1268" s="221">
        <v>0</v>
      </c>
      <c r="Y1268" s="222">
        <v>0</v>
      </c>
      <c r="Z1268" s="222">
        <v>0</v>
      </c>
      <c r="AA1268" s="222">
        <v>0</v>
      </c>
      <c r="AB1268" s="222">
        <v>0</v>
      </c>
      <c r="AC1268" s="222">
        <v>0</v>
      </c>
      <c r="AD1268" s="222">
        <v>0</v>
      </c>
      <c r="AE1268" s="222">
        <v>925</v>
      </c>
      <c r="AF1268" s="221">
        <f>6238.91*AE1268/I1268</f>
        <v>5512.9840943828813</v>
      </c>
      <c r="AG1268" s="222">
        <v>0</v>
      </c>
      <c r="AH1268" s="221">
        <v>0</v>
      </c>
      <c r="AI1268" s="222">
        <v>0</v>
      </c>
      <c r="AJ1268" s="221">
        <v>0</v>
      </c>
      <c r="AK1268" s="222">
        <v>0</v>
      </c>
      <c r="AL1268" s="222">
        <v>0</v>
      </c>
      <c r="AM1268" s="222">
        <v>0</v>
      </c>
      <c r="AN1268" s="222"/>
      <c r="AO1268" s="222">
        <v>0</v>
      </c>
      <c r="AP1268" s="223"/>
      <c r="DQ1268" s="234"/>
      <c r="DR1268" s="234"/>
      <c r="DS1268" s="234"/>
      <c r="EP1268" s="235"/>
      <c r="FS1268" s="236"/>
      <c r="GI1268" s="237"/>
    </row>
    <row r="1269" spans="1:191" s="223" customFormat="1" ht="36" customHeight="1" x14ac:dyDescent="0.25">
      <c r="B1269" s="215" t="s">
        <v>882</v>
      </c>
      <c r="C1269" s="227"/>
      <c r="D1269" s="217" t="s">
        <v>890</v>
      </c>
      <c r="E1269" s="217" t="s">
        <v>890</v>
      </c>
      <c r="F1269" s="217" t="s">
        <v>890</v>
      </c>
      <c r="G1269" s="217" t="s">
        <v>890</v>
      </c>
      <c r="H1269" s="217" t="s">
        <v>890</v>
      </c>
      <c r="I1269" s="218">
        <f>I1270</f>
        <v>3554.5</v>
      </c>
      <c r="J1269" s="218">
        <f>J1270</f>
        <v>3554.5</v>
      </c>
      <c r="K1269" s="218">
        <f>K1270</f>
        <v>3220.4</v>
      </c>
      <c r="L1269" s="219">
        <f>L1270</f>
        <v>158</v>
      </c>
      <c r="M1269" s="217" t="s">
        <v>890</v>
      </c>
      <c r="N1269" s="217" t="s">
        <v>890</v>
      </c>
      <c r="O1269" s="220" t="s">
        <v>890</v>
      </c>
      <c r="P1269" s="190">
        <v>7297176.4800000004</v>
      </c>
      <c r="Q1269" s="190">
        <f>Q1270</f>
        <v>0</v>
      </c>
      <c r="R1269" s="190">
        <f>R1270</f>
        <v>0</v>
      </c>
      <c r="S1269" s="190">
        <f>S1270</f>
        <v>7297176.4800000004</v>
      </c>
      <c r="T1269" s="190">
        <f t="shared" si="165"/>
        <v>2052.9403516669013</v>
      </c>
      <c r="U1269" s="190">
        <f>U1270</f>
        <v>2749.0157904065272</v>
      </c>
      <c r="V1269" s="221">
        <f t="shared" si="164"/>
        <v>696.07543873962595</v>
      </c>
      <c r="W1269" s="221"/>
      <c r="X1269" s="221"/>
      <c r="Y1269" s="222"/>
      <c r="Z1269" s="222"/>
      <c r="AA1269" s="222"/>
      <c r="AB1269" s="222"/>
      <c r="AC1269" s="222"/>
      <c r="AD1269" s="222"/>
      <c r="AE1269" s="222"/>
      <c r="AF1269" s="222"/>
      <c r="AG1269" s="222"/>
      <c r="AH1269" s="222"/>
      <c r="AI1269" s="222"/>
      <c r="AJ1269" s="222"/>
      <c r="AK1269" s="222"/>
      <c r="AL1269" s="222"/>
      <c r="AM1269" s="222"/>
      <c r="AN1269" s="222"/>
      <c r="AO1269" s="222"/>
    </row>
    <row r="1270" spans="1:191" s="154" customFormat="1" ht="36" customHeight="1" x14ac:dyDescent="0.25">
      <c r="A1270" s="223">
        <v>1</v>
      </c>
      <c r="B1270" s="225">
        <f>SUBTOTAL(103,$A$1030:A1270)</f>
        <v>198</v>
      </c>
      <c r="C1270" s="232" t="s">
        <v>159</v>
      </c>
      <c r="D1270" s="217">
        <v>1987</v>
      </c>
      <c r="E1270" s="217"/>
      <c r="F1270" s="233" t="s">
        <v>287</v>
      </c>
      <c r="G1270" s="217">
        <v>3</v>
      </c>
      <c r="H1270" s="217" t="s">
        <v>2267</v>
      </c>
      <c r="I1270" s="218">
        <v>3554.5</v>
      </c>
      <c r="J1270" s="218">
        <v>3554.5</v>
      </c>
      <c r="K1270" s="218">
        <v>3220.4</v>
      </c>
      <c r="L1270" s="231">
        <v>158</v>
      </c>
      <c r="M1270" s="217" t="s">
        <v>265</v>
      </c>
      <c r="N1270" s="217" t="s">
        <v>269</v>
      </c>
      <c r="O1270" s="217" t="s">
        <v>993</v>
      </c>
      <c r="P1270" s="218">
        <v>7297176.4800000004</v>
      </c>
      <c r="Q1270" s="218">
        <v>0</v>
      </c>
      <c r="R1270" s="218">
        <v>0</v>
      </c>
      <c r="S1270" s="218">
        <f>P1270-Q1270-R1270</f>
        <v>7297176.4800000004</v>
      </c>
      <c r="T1270" s="190">
        <f t="shared" si="165"/>
        <v>2052.9403516669013</v>
      </c>
      <c r="U1270" s="190">
        <v>2749.0157904065272</v>
      </c>
      <c r="V1270" s="221">
        <f>U1270-T1270</f>
        <v>696.07543873962595</v>
      </c>
      <c r="W1270" s="221">
        <f>X1270+Y1270+Z1270+AA1270+AB1270+AD1270+AF1270+AH1270+AJ1270+AL1270+AN1270+AO1270</f>
        <v>2635.4670456907224</v>
      </c>
      <c r="X1270" s="221">
        <v>0</v>
      </c>
      <c r="Y1270" s="222">
        <v>0</v>
      </c>
      <c r="Z1270" s="222">
        <v>0</v>
      </c>
      <c r="AA1270" s="222">
        <v>0</v>
      </c>
      <c r="AB1270" s="222">
        <v>0</v>
      </c>
      <c r="AC1270" s="222">
        <v>0</v>
      </c>
      <c r="AD1270" s="222">
        <v>0</v>
      </c>
      <c r="AE1270" s="222">
        <v>1501.50709241</v>
      </c>
      <c r="AF1270" s="221">
        <f>6238.91*AE1270/I1270</f>
        <v>2635.4670456907224</v>
      </c>
      <c r="AG1270" s="222">
        <v>0</v>
      </c>
      <c r="AH1270" s="221">
        <v>0</v>
      </c>
      <c r="AI1270" s="222">
        <v>0</v>
      </c>
      <c r="AJ1270" s="221">
        <v>0</v>
      </c>
      <c r="AK1270" s="222">
        <v>0</v>
      </c>
      <c r="AL1270" s="222">
        <v>0</v>
      </c>
      <c r="AM1270" s="222">
        <v>0</v>
      </c>
      <c r="AN1270" s="222"/>
      <c r="AO1270" s="222">
        <v>0</v>
      </c>
      <c r="AP1270" s="223"/>
      <c r="DQ1270" s="234"/>
      <c r="DR1270" s="234"/>
      <c r="DS1270" s="234"/>
      <c r="EP1270" s="235"/>
      <c r="FS1270" s="236"/>
      <c r="GI1270" s="237"/>
    </row>
    <row r="1271" spans="1:191" s="223" customFormat="1" ht="36" customHeight="1" x14ac:dyDescent="0.25">
      <c r="B1271" s="215" t="s">
        <v>878</v>
      </c>
      <c r="C1271" s="215"/>
      <c r="D1271" s="217" t="s">
        <v>890</v>
      </c>
      <c r="E1271" s="217" t="s">
        <v>890</v>
      </c>
      <c r="F1271" s="217" t="s">
        <v>890</v>
      </c>
      <c r="G1271" s="217" t="s">
        <v>890</v>
      </c>
      <c r="H1271" s="217" t="s">
        <v>890</v>
      </c>
      <c r="I1271" s="218">
        <f>SUM(I1272:I1273)</f>
        <v>2640.94</v>
      </c>
      <c r="J1271" s="218">
        <f>SUM(J1272:J1273)</f>
        <v>1584.6</v>
      </c>
      <c r="K1271" s="218">
        <f>SUM(K1272:K1273)</f>
        <v>1443.9</v>
      </c>
      <c r="L1271" s="219">
        <f>SUM(L1272:L1273)</f>
        <v>92</v>
      </c>
      <c r="M1271" s="217" t="s">
        <v>890</v>
      </c>
      <c r="N1271" s="217" t="s">
        <v>890</v>
      </c>
      <c r="O1271" s="220" t="s">
        <v>890</v>
      </c>
      <c r="P1271" s="190">
        <v>4011881.02</v>
      </c>
      <c r="Q1271" s="190">
        <f>Q1272+Q1273</f>
        <v>0</v>
      </c>
      <c r="R1271" s="190">
        <f>R1272+R1273</f>
        <v>0</v>
      </c>
      <c r="S1271" s="190">
        <f>S1272+S1273</f>
        <v>4011881.02</v>
      </c>
      <c r="T1271" s="190">
        <f t="shared" si="165"/>
        <v>1519.1110059297068</v>
      </c>
      <c r="U1271" s="190">
        <f>MAX(U1272:U1273)</f>
        <v>3530.8805727554177</v>
      </c>
      <c r="V1271" s="221">
        <f t="shared" si="164"/>
        <v>2011.7695668257109</v>
      </c>
      <c r="W1271" s="221"/>
      <c r="X1271" s="221"/>
      <c r="Y1271" s="222"/>
      <c r="Z1271" s="222"/>
      <c r="AA1271" s="222"/>
      <c r="AB1271" s="222"/>
      <c r="AC1271" s="222"/>
      <c r="AD1271" s="222"/>
      <c r="AE1271" s="222"/>
      <c r="AF1271" s="222"/>
      <c r="AG1271" s="222"/>
      <c r="AH1271" s="222"/>
      <c r="AI1271" s="222"/>
      <c r="AJ1271" s="222"/>
      <c r="AK1271" s="222"/>
      <c r="AL1271" s="222"/>
      <c r="AM1271" s="222"/>
      <c r="AN1271" s="222"/>
      <c r="AO1271" s="222"/>
    </row>
    <row r="1272" spans="1:191" s="154" customFormat="1" ht="36" customHeight="1" x14ac:dyDescent="0.25">
      <c r="A1272" s="223">
        <v>1</v>
      </c>
      <c r="B1272" s="225">
        <f>SUBTOTAL(103,$A$1030:A1272)</f>
        <v>199</v>
      </c>
      <c r="C1272" s="232" t="s">
        <v>164</v>
      </c>
      <c r="D1272" s="217">
        <v>1978</v>
      </c>
      <c r="E1272" s="217"/>
      <c r="F1272" s="233" t="s">
        <v>267</v>
      </c>
      <c r="G1272" s="217">
        <v>2</v>
      </c>
      <c r="H1272" s="217" t="s">
        <v>303</v>
      </c>
      <c r="I1272" s="218">
        <v>1219.74</v>
      </c>
      <c r="J1272" s="218">
        <v>712.8</v>
      </c>
      <c r="K1272" s="218">
        <v>712.8</v>
      </c>
      <c r="L1272" s="231">
        <v>45</v>
      </c>
      <c r="M1272" s="217" t="s">
        <v>265</v>
      </c>
      <c r="N1272" s="217" t="s">
        <v>269</v>
      </c>
      <c r="O1272" s="217" t="s">
        <v>993</v>
      </c>
      <c r="P1272" s="218">
        <v>329863.09999999998</v>
      </c>
      <c r="Q1272" s="218">
        <v>0</v>
      </c>
      <c r="R1272" s="218">
        <v>0</v>
      </c>
      <c r="S1272" s="218">
        <f>P1272-Q1272-R1272</f>
        <v>329863.09999999998</v>
      </c>
      <c r="T1272" s="190">
        <f t="shared" si="165"/>
        <v>270.43722432649577</v>
      </c>
      <c r="U1272" s="190">
        <v>597.69442668109605</v>
      </c>
      <c r="V1272" s="221">
        <f t="shared" si="164"/>
        <v>327.25720235460028</v>
      </c>
      <c r="W1272" s="221">
        <f>X1272+Y1272+Z1272+AA1272+AB1272+AD1272+AF1272+AH1272+AJ1272+AL1272+AN1272+AO1272</f>
        <v>597.69442668109605</v>
      </c>
      <c r="X1272" s="221">
        <v>0</v>
      </c>
      <c r="Y1272" s="222">
        <v>0</v>
      </c>
      <c r="Z1272" s="222">
        <v>0</v>
      </c>
      <c r="AA1272" s="222">
        <v>0</v>
      </c>
      <c r="AB1272" s="222">
        <v>0</v>
      </c>
      <c r="AC1272" s="222">
        <v>0</v>
      </c>
      <c r="AD1272" s="222">
        <v>0</v>
      </c>
      <c r="AE1272" s="222">
        <v>0</v>
      </c>
      <c r="AF1272" s="221">
        <v>0</v>
      </c>
      <c r="AG1272" s="222">
        <v>0</v>
      </c>
      <c r="AH1272" s="221">
        <v>0</v>
      </c>
      <c r="AI1272" s="222">
        <v>98</v>
      </c>
      <c r="AJ1272" s="221">
        <f>7439.1*AI1272/I1272</f>
        <v>597.69442668109605</v>
      </c>
      <c r="AK1272" s="222">
        <v>0</v>
      </c>
      <c r="AL1272" s="222">
        <v>0</v>
      </c>
      <c r="AM1272" s="222">
        <v>0</v>
      </c>
      <c r="AN1272" s="222"/>
      <c r="AO1272" s="222">
        <v>0</v>
      </c>
      <c r="AP1272" s="223"/>
      <c r="DQ1272" s="234"/>
      <c r="DR1272" s="234"/>
      <c r="DS1272" s="234"/>
      <c r="EP1272" s="235"/>
      <c r="FS1272" s="236"/>
      <c r="GI1272" s="237"/>
    </row>
    <row r="1273" spans="1:191" s="154" customFormat="1" ht="36" customHeight="1" x14ac:dyDescent="0.25">
      <c r="A1273" s="223">
        <v>1</v>
      </c>
      <c r="B1273" s="225">
        <f>SUBTOTAL(103,$A$1030:A1273)</f>
        <v>200</v>
      </c>
      <c r="C1273" s="232" t="s">
        <v>165</v>
      </c>
      <c r="D1273" s="217">
        <v>1989</v>
      </c>
      <c r="E1273" s="217"/>
      <c r="F1273" s="233" t="s">
        <v>267</v>
      </c>
      <c r="G1273" s="217">
        <v>2</v>
      </c>
      <c r="H1273" s="217" t="s">
        <v>312</v>
      </c>
      <c r="I1273" s="218">
        <v>1421.2</v>
      </c>
      <c r="J1273" s="218">
        <v>871.8</v>
      </c>
      <c r="K1273" s="218">
        <v>731.1</v>
      </c>
      <c r="L1273" s="231">
        <v>47</v>
      </c>
      <c r="M1273" s="217" t="s">
        <v>265</v>
      </c>
      <c r="N1273" s="217" t="s">
        <v>269</v>
      </c>
      <c r="O1273" s="217" t="s">
        <v>993</v>
      </c>
      <c r="P1273" s="218">
        <v>3682017.92</v>
      </c>
      <c r="Q1273" s="218">
        <v>0</v>
      </c>
      <c r="R1273" s="218">
        <v>0</v>
      </c>
      <c r="S1273" s="218">
        <f>P1273-Q1273-R1273</f>
        <v>3682017.92</v>
      </c>
      <c r="T1273" s="190">
        <f t="shared" si="165"/>
        <v>2590.7809738249366</v>
      </c>
      <c r="U1273" s="190">
        <v>3530.8805727554177</v>
      </c>
      <c r="V1273" s="221">
        <f t="shared" si="164"/>
        <v>940.09959893048108</v>
      </c>
      <c r="W1273" s="221">
        <f>X1273+Y1273+Z1273+AA1273+AB1273+AD1273+AF1273+AH1273+AJ1273+AL1273+AN1273+AO1273</f>
        <v>3385.0432739938083</v>
      </c>
      <c r="X1273" s="221">
        <v>0</v>
      </c>
      <c r="Y1273" s="222">
        <v>0</v>
      </c>
      <c r="Z1273" s="222">
        <v>0</v>
      </c>
      <c r="AA1273" s="222">
        <v>0</v>
      </c>
      <c r="AB1273" s="222">
        <v>0</v>
      </c>
      <c r="AC1273" s="222">
        <v>0</v>
      </c>
      <c r="AD1273" s="222">
        <v>0</v>
      </c>
      <c r="AE1273" s="222">
        <v>771.1</v>
      </c>
      <c r="AF1273" s="221">
        <f>6238.91*AE1273/I1273</f>
        <v>3385.0432739938083</v>
      </c>
      <c r="AG1273" s="222">
        <v>0</v>
      </c>
      <c r="AH1273" s="221">
        <v>0</v>
      </c>
      <c r="AI1273" s="222">
        <v>0</v>
      </c>
      <c r="AJ1273" s="221">
        <v>0</v>
      </c>
      <c r="AK1273" s="222">
        <v>0</v>
      </c>
      <c r="AL1273" s="222">
        <v>0</v>
      </c>
      <c r="AM1273" s="222">
        <v>0</v>
      </c>
      <c r="AN1273" s="222"/>
      <c r="AO1273" s="222">
        <v>0</v>
      </c>
      <c r="AP1273" s="223"/>
      <c r="DQ1273" s="234"/>
      <c r="DR1273" s="234"/>
      <c r="DS1273" s="234"/>
      <c r="EP1273" s="235"/>
      <c r="FS1273" s="236"/>
      <c r="GI1273" s="237"/>
    </row>
    <row r="1274" spans="1:191" s="223" customFormat="1" ht="36" customHeight="1" x14ac:dyDescent="0.25">
      <c r="B1274" s="215" t="s">
        <v>851</v>
      </c>
      <c r="C1274" s="215"/>
      <c r="D1274" s="217" t="s">
        <v>890</v>
      </c>
      <c r="E1274" s="217" t="s">
        <v>890</v>
      </c>
      <c r="F1274" s="217" t="s">
        <v>890</v>
      </c>
      <c r="G1274" s="217" t="s">
        <v>890</v>
      </c>
      <c r="H1274" s="217" t="s">
        <v>890</v>
      </c>
      <c r="I1274" s="218">
        <f>SUM(I1275:I1277)</f>
        <v>3872.1</v>
      </c>
      <c r="J1274" s="218">
        <f>SUM(J1275:J1277)</f>
        <v>3872.1</v>
      </c>
      <c r="K1274" s="218">
        <f>SUM(K1275:K1277)</f>
        <v>3735</v>
      </c>
      <c r="L1274" s="219">
        <f>SUM(L1275:L1277)</f>
        <v>163</v>
      </c>
      <c r="M1274" s="217" t="s">
        <v>890</v>
      </c>
      <c r="N1274" s="217" t="s">
        <v>890</v>
      </c>
      <c r="O1274" s="220" t="s">
        <v>890</v>
      </c>
      <c r="P1274" s="190">
        <v>6079528.0199999996</v>
      </c>
      <c r="Q1274" s="190">
        <f>Q1275+Q1276+Q1277</f>
        <v>0</v>
      </c>
      <c r="R1274" s="190">
        <f>R1275+R1276+R1277</f>
        <v>0</v>
      </c>
      <c r="S1274" s="190">
        <f>S1275+S1276+S1277</f>
        <v>6079528.0199999996</v>
      </c>
      <c r="T1274" s="190">
        <f t="shared" si="165"/>
        <v>1570.0854884946152</v>
      </c>
      <c r="U1274" s="190">
        <f>MAX(U1275:U1277)</f>
        <v>6696.9294781752542</v>
      </c>
      <c r="V1274" s="221">
        <f t="shared" si="164"/>
        <v>5126.8439896806394</v>
      </c>
      <c r="W1274" s="221"/>
      <c r="X1274" s="221"/>
      <c r="Y1274" s="222"/>
      <c r="Z1274" s="222"/>
      <c r="AA1274" s="222"/>
      <c r="AB1274" s="222"/>
      <c r="AC1274" s="222"/>
      <c r="AD1274" s="222"/>
      <c r="AE1274" s="222"/>
      <c r="AF1274" s="222"/>
      <c r="AG1274" s="222"/>
      <c r="AH1274" s="222"/>
      <c r="AI1274" s="222"/>
      <c r="AJ1274" s="222"/>
      <c r="AK1274" s="222"/>
      <c r="AL1274" s="222"/>
      <c r="AM1274" s="222"/>
      <c r="AN1274" s="222"/>
      <c r="AO1274" s="222"/>
    </row>
    <row r="1275" spans="1:191" s="154" customFormat="1" ht="36" customHeight="1" x14ac:dyDescent="0.25">
      <c r="A1275" s="223">
        <v>1</v>
      </c>
      <c r="B1275" s="225">
        <f>SUBTOTAL(103,$A$1030:A1275)</f>
        <v>201</v>
      </c>
      <c r="C1275" s="232" t="s">
        <v>1950</v>
      </c>
      <c r="D1275" s="217">
        <v>1986</v>
      </c>
      <c r="E1275" s="217"/>
      <c r="F1275" s="233" t="s">
        <v>267</v>
      </c>
      <c r="G1275" s="217">
        <v>5</v>
      </c>
      <c r="H1275" s="217" t="s">
        <v>308</v>
      </c>
      <c r="I1275" s="218">
        <v>2959.8</v>
      </c>
      <c r="J1275" s="218">
        <v>2959.8</v>
      </c>
      <c r="K1275" s="218">
        <f>J1275-113.1</f>
        <v>2846.7000000000003</v>
      </c>
      <c r="L1275" s="231">
        <v>127</v>
      </c>
      <c r="M1275" s="217" t="s">
        <v>265</v>
      </c>
      <c r="N1275" s="217" t="s">
        <v>269</v>
      </c>
      <c r="O1275" s="217" t="s">
        <v>289</v>
      </c>
      <c r="P1275" s="218">
        <v>3274967.59</v>
      </c>
      <c r="Q1275" s="218">
        <v>0</v>
      </c>
      <c r="R1275" s="218">
        <v>0</v>
      </c>
      <c r="S1275" s="218">
        <f>P1275-Q1275-R1275</f>
        <v>3274967.59</v>
      </c>
      <c r="T1275" s="190">
        <f t="shared" si="165"/>
        <v>1106.4827319413473</v>
      </c>
      <c r="U1275" s="190">
        <v>1687.2792012973846</v>
      </c>
      <c r="V1275" s="221">
        <f t="shared" si="164"/>
        <v>580.79646935603728</v>
      </c>
      <c r="W1275" s="221">
        <f>X1275+Y1275+Z1275+AA1275+AB1275+AD1275+AF1275+AH1275+AJ1275+AL1275+AN1275+AO1275</f>
        <v>1851.5638029596591</v>
      </c>
      <c r="X1275" s="221">
        <v>0</v>
      </c>
      <c r="Y1275" s="222">
        <v>0</v>
      </c>
      <c r="Z1275" s="222">
        <v>0</v>
      </c>
      <c r="AA1275" s="222">
        <v>0</v>
      </c>
      <c r="AB1275" s="222">
        <v>0</v>
      </c>
      <c r="AC1275" s="222">
        <v>0</v>
      </c>
      <c r="AD1275" s="222">
        <v>0</v>
      </c>
      <c r="AE1275" s="222">
        <v>878.4</v>
      </c>
      <c r="AF1275" s="221">
        <f>6238.91*AE1275/I1275</f>
        <v>1851.5638029596591</v>
      </c>
      <c r="AG1275" s="222">
        <v>0</v>
      </c>
      <c r="AH1275" s="221">
        <v>0</v>
      </c>
      <c r="AI1275" s="222">
        <v>0</v>
      </c>
      <c r="AJ1275" s="221">
        <v>0</v>
      </c>
      <c r="AK1275" s="222">
        <v>0</v>
      </c>
      <c r="AL1275" s="222">
        <v>0</v>
      </c>
      <c r="AM1275" s="222">
        <v>0</v>
      </c>
      <c r="AN1275" s="222"/>
      <c r="AO1275" s="222">
        <v>0</v>
      </c>
      <c r="AP1275" s="223"/>
      <c r="DQ1275" s="234"/>
      <c r="DR1275" s="234"/>
      <c r="DS1275" s="234"/>
      <c r="EP1275" s="235"/>
      <c r="FS1275" s="236"/>
      <c r="GI1275" s="237"/>
    </row>
    <row r="1276" spans="1:191" s="154" customFormat="1" ht="36" customHeight="1" x14ac:dyDescent="0.25">
      <c r="A1276" s="223">
        <v>1</v>
      </c>
      <c r="B1276" s="225">
        <f>SUBTOTAL(103,$A$1030:A1276)</f>
        <v>202</v>
      </c>
      <c r="C1276" s="232" t="s">
        <v>1958</v>
      </c>
      <c r="D1276" s="217">
        <v>1970</v>
      </c>
      <c r="E1276" s="217"/>
      <c r="F1276" s="233" t="s">
        <v>1571</v>
      </c>
      <c r="G1276" s="217" t="s">
        <v>308</v>
      </c>
      <c r="H1276" s="217" t="s">
        <v>304</v>
      </c>
      <c r="I1276" s="218">
        <v>607.6</v>
      </c>
      <c r="J1276" s="218">
        <v>607.6</v>
      </c>
      <c r="K1276" s="218">
        <v>607.6</v>
      </c>
      <c r="L1276" s="231">
        <v>25</v>
      </c>
      <c r="M1276" s="217" t="s">
        <v>265</v>
      </c>
      <c r="N1276" s="217" t="s">
        <v>269</v>
      </c>
      <c r="O1276" s="217" t="s">
        <v>289</v>
      </c>
      <c r="P1276" s="218">
        <v>1167219.1299999999</v>
      </c>
      <c r="Q1276" s="218">
        <v>0</v>
      </c>
      <c r="R1276" s="218">
        <v>0</v>
      </c>
      <c r="S1276" s="218">
        <f>P1276-Q1276-R1276</f>
        <v>1167219.1299999999</v>
      </c>
      <c r="T1276" s="190">
        <f t="shared" si="165"/>
        <v>1921.0321428571426</v>
      </c>
      <c r="U1276" s="190">
        <v>2072.481813693219</v>
      </c>
      <c r="V1276" s="221">
        <f>U1276-T1276</f>
        <v>151.44967083607639</v>
      </c>
      <c r="W1276" s="221">
        <f>X1276+Y1276+Z1276+AA1276+AB1276+AD1276+AF1276+AH1276+AJ1276+AL1276+AN1276+AO1276</f>
        <v>3219.657480457538</v>
      </c>
      <c r="X1276" s="221">
        <v>0</v>
      </c>
      <c r="Y1276" s="222">
        <v>0</v>
      </c>
      <c r="Z1276" s="222">
        <v>0</v>
      </c>
      <c r="AA1276" s="222">
        <v>0</v>
      </c>
      <c r="AB1276" s="222">
        <v>0</v>
      </c>
      <c r="AC1276" s="222">
        <v>0</v>
      </c>
      <c r="AD1276" s="222">
        <v>0</v>
      </c>
      <c r="AE1276" s="222">
        <v>313.55860000000001</v>
      </c>
      <c r="AF1276" s="221">
        <f>6238.91*AE1276/I1276</f>
        <v>3219.657480457538</v>
      </c>
      <c r="AG1276" s="222">
        <v>0</v>
      </c>
      <c r="AH1276" s="221">
        <v>0</v>
      </c>
      <c r="AI1276" s="222">
        <v>0</v>
      </c>
      <c r="AJ1276" s="221">
        <v>0</v>
      </c>
      <c r="AK1276" s="222">
        <v>0</v>
      </c>
      <c r="AL1276" s="222">
        <v>0</v>
      </c>
      <c r="AM1276" s="222">
        <v>0</v>
      </c>
      <c r="AN1276" s="222"/>
      <c r="AO1276" s="222">
        <v>0</v>
      </c>
      <c r="AP1276" s="223"/>
      <c r="DQ1276" s="234"/>
      <c r="DR1276" s="234"/>
      <c r="DS1276" s="234"/>
      <c r="EP1276" s="235"/>
      <c r="FS1276" s="236"/>
      <c r="GI1276" s="237"/>
    </row>
    <row r="1277" spans="1:191" s="154" customFormat="1" ht="36" customHeight="1" x14ac:dyDescent="0.25">
      <c r="A1277" s="223">
        <v>1</v>
      </c>
      <c r="B1277" s="225">
        <f>SUBTOTAL(103,$A$1030:A1277)</f>
        <v>203</v>
      </c>
      <c r="C1277" s="232" t="s">
        <v>163</v>
      </c>
      <c r="D1277" s="217">
        <v>1973</v>
      </c>
      <c r="E1277" s="217"/>
      <c r="F1277" s="233" t="s">
        <v>267</v>
      </c>
      <c r="G1277" s="217">
        <v>2</v>
      </c>
      <c r="H1277" s="217" t="s">
        <v>304</v>
      </c>
      <c r="I1277" s="218">
        <v>304.7</v>
      </c>
      <c r="J1277" s="218">
        <v>304.7</v>
      </c>
      <c r="K1277" s="218">
        <v>280.7</v>
      </c>
      <c r="L1277" s="231">
        <v>11</v>
      </c>
      <c r="M1277" s="217" t="s">
        <v>265</v>
      </c>
      <c r="N1277" s="217" t="s">
        <v>269</v>
      </c>
      <c r="O1277" s="217" t="s">
        <v>289</v>
      </c>
      <c r="P1277" s="218">
        <v>1637341.3</v>
      </c>
      <c r="Q1277" s="218">
        <v>0</v>
      </c>
      <c r="R1277" s="218">
        <v>0</v>
      </c>
      <c r="S1277" s="218">
        <f>P1277-Q1277-R1277</f>
        <v>1637341.3</v>
      </c>
      <c r="T1277" s="190">
        <f t="shared" si="165"/>
        <v>5373.6176567115199</v>
      </c>
      <c r="U1277" s="190">
        <v>6696.9294781752542</v>
      </c>
      <c r="V1277" s="221">
        <f t="shared" si="164"/>
        <v>1323.3118214637343</v>
      </c>
      <c r="W1277" s="221">
        <f>X1277+Y1277+Z1277+AA1277+AB1277+AD1277+AF1277+AH1277+AJ1277+AL1277+AN1277+AO1277</f>
        <v>6420.2949954906471</v>
      </c>
      <c r="X1277" s="221">
        <v>0</v>
      </c>
      <c r="Y1277" s="222">
        <v>0</v>
      </c>
      <c r="Z1277" s="222">
        <v>0</v>
      </c>
      <c r="AA1277" s="222">
        <v>0</v>
      </c>
      <c r="AB1277" s="222">
        <v>0</v>
      </c>
      <c r="AC1277" s="222">
        <v>0</v>
      </c>
      <c r="AD1277" s="222">
        <v>0</v>
      </c>
      <c r="AE1277" s="222">
        <v>313.55860000000001</v>
      </c>
      <c r="AF1277" s="221">
        <f>6238.91*AE1277/I1277</f>
        <v>6420.2949954906471</v>
      </c>
      <c r="AG1277" s="222">
        <v>0</v>
      </c>
      <c r="AH1277" s="221">
        <v>0</v>
      </c>
      <c r="AI1277" s="222">
        <v>0</v>
      </c>
      <c r="AJ1277" s="221">
        <v>0</v>
      </c>
      <c r="AK1277" s="222">
        <v>0</v>
      </c>
      <c r="AL1277" s="222">
        <v>0</v>
      </c>
      <c r="AM1277" s="222">
        <v>0</v>
      </c>
      <c r="AN1277" s="222"/>
      <c r="AO1277" s="222">
        <v>0</v>
      </c>
      <c r="AP1277" s="223"/>
      <c r="DQ1277" s="234"/>
      <c r="DR1277" s="234"/>
      <c r="DS1277" s="234"/>
      <c r="EP1277" s="235"/>
      <c r="FS1277" s="236"/>
      <c r="GI1277" s="237"/>
    </row>
    <row r="1278" spans="1:191" s="223" customFormat="1" ht="36" customHeight="1" x14ac:dyDescent="0.25">
      <c r="B1278" s="215" t="s">
        <v>852</v>
      </c>
      <c r="C1278" s="215"/>
      <c r="D1278" s="217" t="s">
        <v>890</v>
      </c>
      <c r="E1278" s="217" t="s">
        <v>890</v>
      </c>
      <c r="F1278" s="217" t="s">
        <v>890</v>
      </c>
      <c r="G1278" s="217" t="s">
        <v>890</v>
      </c>
      <c r="H1278" s="217" t="s">
        <v>890</v>
      </c>
      <c r="I1278" s="218">
        <f>I1279+I1280+I1281</f>
        <v>13642.179999999998</v>
      </c>
      <c r="J1278" s="218">
        <f>J1279+J1280+J1281</f>
        <v>8514.9</v>
      </c>
      <c r="K1278" s="218">
        <f>K1279+K1280+K1281</f>
        <v>504.30000000000007</v>
      </c>
      <c r="L1278" s="219">
        <f>L1279+L1280+L1281</f>
        <v>462</v>
      </c>
      <c r="M1278" s="217" t="s">
        <v>890</v>
      </c>
      <c r="N1278" s="217" t="s">
        <v>890</v>
      </c>
      <c r="O1278" s="220" t="s">
        <v>890</v>
      </c>
      <c r="P1278" s="190">
        <v>12459674.15</v>
      </c>
      <c r="Q1278" s="190">
        <f>Q1279+Q1280+Q1281</f>
        <v>0</v>
      </c>
      <c r="R1278" s="190">
        <f>R1279+R1280+R1281</f>
        <v>0</v>
      </c>
      <c r="S1278" s="190">
        <f>S1279+S1280+S1281</f>
        <v>12459674.15</v>
      </c>
      <c r="T1278" s="190">
        <f t="shared" si="165"/>
        <v>913.31987629543096</v>
      </c>
      <c r="U1278" s="190">
        <f>MAX(U1279:U1281)</f>
        <v>1817.2206986638801</v>
      </c>
      <c r="V1278" s="221">
        <f t="shared" si="164"/>
        <v>903.9008223684491</v>
      </c>
      <c r="W1278" s="221"/>
      <c r="X1278" s="221"/>
      <c r="Y1278" s="222"/>
      <c r="Z1278" s="222"/>
      <c r="AA1278" s="222"/>
      <c r="AB1278" s="222"/>
      <c r="AC1278" s="222"/>
      <c r="AD1278" s="222"/>
      <c r="AE1278" s="222"/>
      <c r="AF1278" s="222"/>
      <c r="AG1278" s="222"/>
      <c r="AH1278" s="222"/>
      <c r="AI1278" s="222"/>
      <c r="AJ1278" s="222"/>
      <c r="AK1278" s="222"/>
      <c r="AL1278" s="222"/>
      <c r="AM1278" s="222"/>
      <c r="AN1278" s="222"/>
      <c r="AO1278" s="222"/>
    </row>
    <row r="1279" spans="1:191" s="154" customFormat="1" ht="36" customHeight="1" x14ac:dyDescent="0.25">
      <c r="A1279" s="223">
        <v>1</v>
      </c>
      <c r="B1279" s="225">
        <f>SUBTOTAL(103,$A$1030:A1279)</f>
        <v>204</v>
      </c>
      <c r="C1279" s="232" t="s">
        <v>160</v>
      </c>
      <c r="D1279" s="217">
        <v>1988</v>
      </c>
      <c r="E1279" s="217"/>
      <c r="F1279" s="233" t="s">
        <v>267</v>
      </c>
      <c r="G1279" s="217">
        <v>5</v>
      </c>
      <c r="H1279" s="217" t="s">
        <v>371</v>
      </c>
      <c r="I1279" s="218">
        <v>6118.54</v>
      </c>
      <c r="J1279" s="218">
        <v>4395.5</v>
      </c>
      <c r="K1279" s="218">
        <v>202.8</v>
      </c>
      <c r="L1279" s="231">
        <v>234</v>
      </c>
      <c r="M1279" s="217" t="s">
        <v>265</v>
      </c>
      <c r="N1279" s="217" t="s">
        <v>269</v>
      </c>
      <c r="O1279" s="217" t="s">
        <v>290</v>
      </c>
      <c r="P1279" s="218">
        <v>5095413.53</v>
      </c>
      <c r="Q1279" s="218">
        <v>0</v>
      </c>
      <c r="R1279" s="218">
        <v>0</v>
      </c>
      <c r="S1279" s="218">
        <f>P1279-Q1279-R1279</f>
        <v>5095413.53</v>
      </c>
      <c r="T1279" s="190">
        <f t="shared" si="165"/>
        <v>832.78258048488692</v>
      </c>
      <c r="U1279" s="190">
        <v>1357.9981961382944</v>
      </c>
      <c r="V1279" s="221">
        <f t="shared" si="164"/>
        <v>525.21561565340744</v>
      </c>
      <c r="W1279" s="221">
        <f>X1279+Y1279+Z1279+AA1279+AB1279+AD1279+AF1279+AH1279+AJ1279+AL1279+AN1279+AO1279</f>
        <v>1301.908281861359</v>
      </c>
      <c r="X1279" s="221">
        <v>0</v>
      </c>
      <c r="Y1279" s="222">
        <v>0</v>
      </c>
      <c r="Z1279" s="222">
        <v>0</v>
      </c>
      <c r="AA1279" s="222">
        <v>0</v>
      </c>
      <c r="AB1279" s="222">
        <v>0</v>
      </c>
      <c r="AC1279" s="222">
        <v>0</v>
      </c>
      <c r="AD1279" s="222">
        <v>0</v>
      </c>
      <c r="AE1279" s="222">
        <v>1276.79</v>
      </c>
      <c r="AF1279" s="221">
        <f>6238.91*AE1279/I1279</f>
        <v>1301.908281861359</v>
      </c>
      <c r="AG1279" s="222">
        <v>0</v>
      </c>
      <c r="AH1279" s="221">
        <v>0</v>
      </c>
      <c r="AI1279" s="222">
        <v>0</v>
      </c>
      <c r="AJ1279" s="221">
        <v>0</v>
      </c>
      <c r="AK1279" s="222">
        <v>0</v>
      </c>
      <c r="AL1279" s="222">
        <v>0</v>
      </c>
      <c r="AM1279" s="222">
        <v>0</v>
      </c>
      <c r="AN1279" s="222"/>
      <c r="AO1279" s="222">
        <v>0</v>
      </c>
      <c r="AP1279" s="223"/>
      <c r="DQ1279" s="234"/>
      <c r="DR1279" s="234"/>
      <c r="DS1279" s="234"/>
      <c r="EP1279" s="235"/>
      <c r="FS1279" s="236"/>
      <c r="GI1279" s="237"/>
    </row>
    <row r="1280" spans="1:191" s="154" customFormat="1" ht="36" customHeight="1" x14ac:dyDescent="0.25">
      <c r="A1280" s="223">
        <v>1</v>
      </c>
      <c r="B1280" s="225">
        <f>SUBTOTAL(103,$A$1030:A1280)</f>
        <v>205</v>
      </c>
      <c r="C1280" s="232" t="s">
        <v>161</v>
      </c>
      <c r="D1280" s="217">
        <v>1985</v>
      </c>
      <c r="E1280" s="217"/>
      <c r="F1280" s="233" t="s">
        <v>267</v>
      </c>
      <c r="G1280" s="217">
        <v>5</v>
      </c>
      <c r="H1280" s="217" t="s">
        <v>351</v>
      </c>
      <c r="I1280" s="218">
        <v>4844.24</v>
      </c>
      <c r="J1280" s="218">
        <v>2814.6</v>
      </c>
      <c r="K1280" s="218">
        <v>192.4</v>
      </c>
      <c r="L1280" s="231">
        <v>152</v>
      </c>
      <c r="M1280" s="217" t="s">
        <v>265</v>
      </c>
      <c r="N1280" s="217" t="s">
        <v>269</v>
      </c>
      <c r="O1280" s="217" t="s">
        <v>290</v>
      </c>
      <c r="P1280" s="218">
        <v>3457309.86</v>
      </c>
      <c r="Q1280" s="218">
        <v>0</v>
      </c>
      <c r="R1280" s="218">
        <v>0</v>
      </c>
      <c r="S1280" s="218">
        <f>P1280-Q1280-R1280</f>
        <v>3457309.86</v>
      </c>
      <c r="T1280" s="190">
        <f t="shared" si="165"/>
        <v>713.69499859627103</v>
      </c>
      <c r="U1280" s="190">
        <v>1163.8049857149936</v>
      </c>
      <c r="V1280" s="221">
        <f t="shared" si="164"/>
        <v>450.10998711872253</v>
      </c>
      <c r="W1280" s="221">
        <f>X1280+Y1280+Z1280+AA1280+AB1280+AD1280+AF1280+AH1280+AJ1280+AL1280+AN1280+AO1280</f>
        <v>1115.7359072217728</v>
      </c>
      <c r="X1280" s="221">
        <v>0</v>
      </c>
      <c r="Y1280" s="222">
        <v>0</v>
      </c>
      <c r="Z1280" s="222">
        <v>0</v>
      </c>
      <c r="AA1280" s="222">
        <v>0</v>
      </c>
      <c r="AB1280" s="222">
        <v>0</v>
      </c>
      <c r="AC1280" s="222">
        <v>0</v>
      </c>
      <c r="AD1280" s="222">
        <v>0</v>
      </c>
      <c r="AE1280" s="222">
        <v>866.32</v>
      </c>
      <c r="AF1280" s="221">
        <f>6238.91*AE1280/I1280</f>
        <v>1115.7359072217728</v>
      </c>
      <c r="AG1280" s="222">
        <v>0</v>
      </c>
      <c r="AH1280" s="221">
        <v>0</v>
      </c>
      <c r="AI1280" s="222">
        <v>0</v>
      </c>
      <c r="AJ1280" s="221">
        <v>0</v>
      </c>
      <c r="AK1280" s="222">
        <v>0</v>
      </c>
      <c r="AL1280" s="222">
        <v>0</v>
      </c>
      <c r="AM1280" s="222">
        <v>0</v>
      </c>
      <c r="AN1280" s="222"/>
      <c r="AO1280" s="222">
        <v>0</v>
      </c>
      <c r="AP1280" s="223"/>
      <c r="DQ1280" s="234"/>
      <c r="DR1280" s="234"/>
      <c r="DS1280" s="234"/>
      <c r="EP1280" s="235"/>
      <c r="FS1280" s="236"/>
      <c r="GI1280" s="237"/>
    </row>
    <row r="1281" spans="1:191" s="154" customFormat="1" ht="36" customHeight="1" x14ac:dyDescent="0.25">
      <c r="A1281" s="223">
        <v>1</v>
      </c>
      <c r="B1281" s="225">
        <f>SUBTOTAL(103,$A$1030:A1281)</f>
        <v>206</v>
      </c>
      <c r="C1281" s="232" t="s">
        <v>162</v>
      </c>
      <c r="D1281" s="217">
        <v>1979</v>
      </c>
      <c r="E1281" s="217"/>
      <c r="F1281" s="233" t="s">
        <v>267</v>
      </c>
      <c r="G1281" s="217">
        <v>3</v>
      </c>
      <c r="H1281" s="217" t="s">
        <v>312</v>
      </c>
      <c r="I1281" s="218">
        <v>2679.4</v>
      </c>
      <c r="J1281" s="218">
        <v>1304.8</v>
      </c>
      <c r="K1281" s="218">
        <v>109.1</v>
      </c>
      <c r="L1281" s="231">
        <v>76</v>
      </c>
      <c r="M1281" s="217" t="s">
        <v>265</v>
      </c>
      <c r="N1281" s="217" t="s">
        <v>269</v>
      </c>
      <c r="O1281" s="217" t="s">
        <v>294</v>
      </c>
      <c r="P1281" s="218">
        <v>3906950.76</v>
      </c>
      <c r="Q1281" s="218">
        <v>0</v>
      </c>
      <c r="R1281" s="218">
        <v>0</v>
      </c>
      <c r="S1281" s="218">
        <f>P1281-Q1281-R1281</f>
        <v>3906950.76</v>
      </c>
      <c r="T1281" s="190">
        <f t="shared" si="165"/>
        <v>1458.1438978875867</v>
      </c>
      <c r="U1281" s="190">
        <v>1817.2206986638801</v>
      </c>
      <c r="V1281" s="221">
        <f t="shared" si="164"/>
        <v>359.07680077629334</v>
      </c>
      <c r="W1281" s="221">
        <f>X1281+Y1281+Z1281+AA1281+AB1281+AD1281+AF1281+AH1281+AJ1281+AL1281+AN1281+AO1281</f>
        <v>1742.1633432858102</v>
      </c>
      <c r="X1281" s="221">
        <v>0</v>
      </c>
      <c r="Y1281" s="222">
        <v>0</v>
      </c>
      <c r="Z1281" s="222">
        <v>0</v>
      </c>
      <c r="AA1281" s="222">
        <v>0</v>
      </c>
      <c r="AB1281" s="222">
        <v>0</v>
      </c>
      <c r="AC1281" s="222">
        <v>0</v>
      </c>
      <c r="AD1281" s="222">
        <v>0</v>
      </c>
      <c r="AE1281" s="222">
        <v>748.2</v>
      </c>
      <c r="AF1281" s="221">
        <f>6238.91*AE1281/I1281</f>
        <v>1742.1633432858102</v>
      </c>
      <c r="AG1281" s="222">
        <v>0</v>
      </c>
      <c r="AH1281" s="221">
        <v>0</v>
      </c>
      <c r="AI1281" s="222">
        <v>0</v>
      </c>
      <c r="AJ1281" s="221">
        <v>0</v>
      </c>
      <c r="AK1281" s="222">
        <v>0</v>
      </c>
      <c r="AL1281" s="222">
        <v>0</v>
      </c>
      <c r="AM1281" s="222">
        <v>0</v>
      </c>
      <c r="AN1281" s="222"/>
      <c r="AO1281" s="222">
        <v>0</v>
      </c>
      <c r="AP1281" s="223"/>
      <c r="DQ1281" s="234"/>
      <c r="DR1281" s="234"/>
      <c r="DS1281" s="234"/>
      <c r="EP1281" s="235"/>
      <c r="FS1281" s="236"/>
      <c r="GI1281" s="237"/>
    </row>
    <row r="1282" spans="1:191" s="223" customFormat="1" ht="36" customHeight="1" x14ac:dyDescent="0.25">
      <c r="B1282" s="215" t="s">
        <v>853</v>
      </c>
      <c r="C1282" s="215"/>
      <c r="D1282" s="217" t="s">
        <v>890</v>
      </c>
      <c r="E1282" s="217" t="s">
        <v>890</v>
      </c>
      <c r="F1282" s="217" t="s">
        <v>890</v>
      </c>
      <c r="G1282" s="217" t="s">
        <v>890</v>
      </c>
      <c r="H1282" s="217" t="s">
        <v>890</v>
      </c>
      <c r="I1282" s="218">
        <f>SUM(I1283:I1285)</f>
        <v>5318.7099999999991</v>
      </c>
      <c r="J1282" s="218">
        <f>SUM(J1283:J1285)</f>
        <v>3721.18</v>
      </c>
      <c r="K1282" s="218">
        <f>SUM(K1283:K1285)</f>
        <v>3281.14</v>
      </c>
      <c r="L1282" s="219">
        <f>SUM(L1283:L1285)</f>
        <v>278</v>
      </c>
      <c r="M1282" s="217" t="s">
        <v>890</v>
      </c>
      <c r="N1282" s="217" t="s">
        <v>890</v>
      </c>
      <c r="O1282" s="220" t="s">
        <v>890</v>
      </c>
      <c r="P1282" s="190">
        <v>8976986.379999999</v>
      </c>
      <c r="Q1282" s="190">
        <f>SUM(Q1283:Q1285)</f>
        <v>0</v>
      </c>
      <c r="R1282" s="190">
        <f>SUM(R1283:R1285)</f>
        <v>0</v>
      </c>
      <c r="S1282" s="190">
        <f>SUM(S1283:S1285)</f>
        <v>8976986.379999999</v>
      </c>
      <c r="T1282" s="190">
        <f t="shared" si="165"/>
        <v>1687.8127177454685</v>
      </c>
      <c r="U1282" s="190">
        <f>MAX(U1283:U1285)</f>
        <v>6123.1343665070153</v>
      </c>
      <c r="V1282" s="221">
        <f t="shared" si="164"/>
        <v>4435.3216487615464</v>
      </c>
      <c r="W1282" s="221"/>
      <c r="X1282" s="221"/>
      <c r="Y1282" s="222"/>
      <c r="Z1282" s="222"/>
      <c r="AA1282" s="222"/>
      <c r="AB1282" s="222"/>
      <c r="AC1282" s="222"/>
      <c r="AD1282" s="222"/>
      <c r="AE1282" s="222"/>
      <c r="AF1282" s="222"/>
      <c r="AG1282" s="222"/>
      <c r="AH1282" s="222"/>
      <c r="AI1282" s="222"/>
      <c r="AJ1282" s="222"/>
      <c r="AK1282" s="222"/>
      <c r="AL1282" s="222"/>
      <c r="AM1282" s="222"/>
      <c r="AN1282" s="222"/>
      <c r="AO1282" s="222"/>
    </row>
    <row r="1283" spans="1:191" s="154" customFormat="1" ht="36" customHeight="1" x14ac:dyDescent="0.25">
      <c r="A1283" s="223">
        <v>1</v>
      </c>
      <c r="B1283" s="225">
        <f>SUBTOTAL(103,$A$1030:A1283)</f>
        <v>207</v>
      </c>
      <c r="C1283" s="232" t="s">
        <v>156</v>
      </c>
      <c r="D1283" s="217">
        <v>1971</v>
      </c>
      <c r="E1283" s="217"/>
      <c r="F1283" s="233" t="s">
        <v>267</v>
      </c>
      <c r="G1283" s="217">
        <v>5</v>
      </c>
      <c r="H1283" s="217" t="s">
        <v>312</v>
      </c>
      <c r="I1283" s="218">
        <v>3186.9</v>
      </c>
      <c r="J1283" s="218">
        <v>1676</v>
      </c>
      <c r="K1283" s="218">
        <v>1676</v>
      </c>
      <c r="L1283" s="231">
        <v>174</v>
      </c>
      <c r="M1283" s="217" t="s">
        <v>265</v>
      </c>
      <c r="N1283" s="217" t="s">
        <v>298</v>
      </c>
      <c r="O1283" s="217" t="s">
        <v>299</v>
      </c>
      <c r="P1283" s="218">
        <v>3026428.7099999995</v>
      </c>
      <c r="Q1283" s="218">
        <v>0</v>
      </c>
      <c r="R1283" s="218">
        <v>0</v>
      </c>
      <c r="S1283" s="218">
        <f>P1283-Q1283-R1283</f>
        <v>3026428.7099999995</v>
      </c>
      <c r="T1283" s="190">
        <f t="shared" si="165"/>
        <v>949.64658759295844</v>
      </c>
      <c r="U1283" s="190">
        <v>1216.8337676111582</v>
      </c>
      <c r="V1283" s="221">
        <f t="shared" si="164"/>
        <v>267.1871800181998</v>
      </c>
      <c r="W1283" s="221">
        <f>X1283+Y1283+Z1283+AA1283+AB1283+AD1283+AF1283+AH1283+AJ1283+AL1283+AN1283+AO1283</f>
        <v>406.3737676111582</v>
      </c>
      <c r="X1283" s="221">
        <v>0</v>
      </c>
      <c r="Y1283" s="222">
        <v>0</v>
      </c>
      <c r="Z1283" s="222">
        <v>0</v>
      </c>
      <c r="AA1283" s="222">
        <v>0</v>
      </c>
      <c r="AB1283" s="222">
        <v>0</v>
      </c>
      <c r="AC1283" s="222">
        <v>0</v>
      </c>
      <c r="AD1283" s="222">
        <v>0</v>
      </c>
      <c r="AE1283" s="222">
        <v>0</v>
      </c>
      <c r="AF1283" s="221">
        <v>0</v>
      </c>
      <c r="AG1283" s="222">
        <v>146</v>
      </c>
      <c r="AH1283" s="221">
        <f>8870.36*AG1283/I1283</f>
        <v>406.3737676111582</v>
      </c>
      <c r="AI1283" s="222">
        <v>0</v>
      </c>
      <c r="AJ1283" s="221">
        <v>0</v>
      </c>
      <c r="AK1283" s="222">
        <v>0</v>
      </c>
      <c r="AL1283" s="222">
        <v>0</v>
      </c>
      <c r="AM1283" s="222">
        <v>0</v>
      </c>
      <c r="AN1283" s="222"/>
      <c r="AO1283" s="222">
        <v>0</v>
      </c>
      <c r="AP1283" s="223"/>
      <c r="DQ1283" s="234"/>
      <c r="DR1283" s="234"/>
      <c r="DS1283" s="234"/>
      <c r="EP1283" s="235"/>
      <c r="FS1283" s="236"/>
      <c r="GI1283" s="237"/>
    </row>
    <row r="1284" spans="1:191" s="223" customFormat="1" ht="36" customHeight="1" x14ac:dyDescent="0.25">
      <c r="A1284" s="223">
        <v>1</v>
      </c>
      <c r="B1284" s="225">
        <f>SUBTOTAL(103,$A$1030:A1284)</f>
        <v>208</v>
      </c>
      <c r="C1284" s="215" t="s">
        <v>148</v>
      </c>
      <c r="D1284" s="217">
        <v>1928</v>
      </c>
      <c r="E1284" s="217"/>
      <c r="F1284" s="226" t="s">
        <v>267</v>
      </c>
      <c r="G1284" s="217">
        <v>3</v>
      </c>
      <c r="H1284" s="217" t="s">
        <v>308</v>
      </c>
      <c r="I1284" s="218">
        <v>1718.33</v>
      </c>
      <c r="J1284" s="218">
        <v>1631.7</v>
      </c>
      <c r="K1284" s="218">
        <v>1224.44</v>
      </c>
      <c r="L1284" s="219">
        <v>85</v>
      </c>
      <c r="M1284" s="217" t="s">
        <v>265</v>
      </c>
      <c r="N1284" s="217" t="s">
        <v>269</v>
      </c>
      <c r="O1284" s="220" t="s">
        <v>296</v>
      </c>
      <c r="P1284" s="190">
        <v>4434630.67</v>
      </c>
      <c r="Q1284" s="190">
        <v>0</v>
      </c>
      <c r="R1284" s="190">
        <v>0</v>
      </c>
      <c r="S1284" s="190">
        <f>P1284-Q1284-R1284</f>
        <v>4434630.67</v>
      </c>
      <c r="T1284" s="190">
        <f t="shared" si="165"/>
        <v>2580.7794020938936</v>
      </c>
      <c r="U1284" s="190">
        <v>6123.1343665070153</v>
      </c>
      <c r="V1284" s="221">
        <f t="shared" si="164"/>
        <v>3542.3549644131217</v>
      </c>
      <c r="W1284" s="221">
        <f>X1284+Y1284+Z1284+AA1284+AB1284+AD1284+AF1284+AH1284+AJ1284+AL1284+AN1284+AO1284</f>
        <v>6123.1343665070153</v>
      </c>
      <c r="X1284" s="221">
        <v>0</v>
      </c>
      <c r="Y1284" s="222">
        <v>0</v>
      </c>
      <c r="Z1284" s="222">
        <v>0</v>
      </c>
      <c r="AA1284" s="222">
        <v>0</v>
      </c>
      <c r="AB1284" s="222">
        <v>0</v>
      </c>
      <c r="AC1284" s="222">
        <v>0</v>
      </c>
      <c r="AD1284" s="222">
        <v>0</v>
      </c>
      <c r="AE1284" s="222">
        <v>0</v>
      </c>
      <c r="AF1284" s="221">
        <v>0</v>
      </c>
      <c r="AG1284" s="222">
        <v>0</v>
      </c>
      <c r="AH1284" s="221">
        <v>0</v>
      </c>
      <c r="AI1284" s="222">
        <v>1414.36</v>
      </c>
      <c r="AJ1284" s="221">
        <f>7439.1*AI1284/I1284</f>
        <v>6123.1343665070153</v>
      </c>
      <c r="AK1284" s="222">
        <v>0</v>
      </c>
      <c r="AL1284" s="222">
        <v>0</v>
      </c>
      <c r="AM1284" s="222">
        <v>0</v>
      </c>
      <c r="AN1284" s="222"/>
      <c r="AO1284" s="222">
        <v>0</v>
      </c>
    </row>
    <row r="1285" spans="1:191" s="154" customFormat="1" ht="36" customHeight="1" x14ac:dyDescent="0.25">
      <c r="A1285" s="223">
        <v>1</v>
      </c>
      <c r="B1285" s="225">
        <f>SUBTOTAL(103,$A$1030:A1285)</f>
        <v>209</v>
      </c>
      <c r="C1285" s="232" t="s">
        <v>2299</v>
      </c>
      <c r="D1285" s="217">
        <v>1989</v>
      </c>
      <c r="E1285" s="217"/>
      <c r="F1285" s="233" t="s">
        <v>267</v>
      </c>
      <c r="G1285" s="217">
        <v>2</v>
      </c>
      <c r="H1285" s="217">
        <v>1</v>
      </c>
      <c r="I1285" s="218">
        <v>413.48</v>
      </c>
      <c r="J1285" s="218">
        <v>413.48</v>
      </c>
      <c r="K1285" s="218">
        <v>380.7</v>
      </c>
      <c r="L1285" s="231">
        <v>19</v>
      </c>
      <c r="M1285" s="217" t="s">
        <v>265</v>
      </c>
      <c r="N1285" s="217" t="s">
        <v>269</v>
      </c>
      <c r="O1285" s="217" t="s">
        <v>1904</v>
      </c>
      <c r="P1285" s="218">
        <v>1515927</v>
      </c>
      <c r="Q1285" s="218">
        <v>0</v>
      </c>
      <c r="R1285" s="218">
        <v>0</v>
      </c>
      <c r="S1285" s="218">
        <f>P1285-Q1285-R1285</f>
        <v>1515927</v>
      </c>
      <c r="T1285" s="190">
        <f t="shared" si="165"/>
        <v>3666.2643900551416</v>
      </c>
      <c r="U1285" s="190">
        <v>4325.6657347392847</v>
      </c>
      <c r="V1285" s="221">
        <f t="shared" si="164"/>
        <v>659.40134468414317</v>
      </c>
      <c r="W1285" s="221">
        <f>X1285+Y1285+Z1285+AA1285+AB1285+AD1285+AF1285+AH1285+AJ1285+AL1285+AN1285+AO1285</f>
        <v>15488.892691303085</v>
      </c>
      <c r="X1285" s="221">
        <v>0</v>
      </c>
      <c r="Y1285" s="222">
        <v>0</v>
      </c>
      <c r="Z1285" s="222">
        <v>0</v>
      </c>
      <c r="AA1285" s="222">
        <v>0</v>
      </c>
      <c r="AB1285" s="222">
        <v>0</v>
      </c>
      <c r="AC1285" s="222">
        <v>0</v>
      </c>
      <c r="AD1285" s="222">
        <v>0</v>
      </c>
      <c r="AE1285" s="222">
        <v>995</v>
      </c>
      <c r="AF1285" s="221">
        <f>6436.53*AE1285/I1285</f>
        <v>15488.892691303085</v>
      </c>
      <c r="AG1285" s="222">
        <v>0</v>
      </c>
      <c r="AH1285" s="221">
        <v>0</v>
      </c>
      <c r="AI1285" s="222">
        <v>0</v>
      </c>
      <c r="AJ1285" s="221">
        <v>0</v>
      </c>
      <c r="AK1285" s="222">
        <v>0</v>
      </c>
      <c r="AL1285" s="222">
        <v>0</v>
      </c>
      <c r="AM1285" s="222">
        <v>0</v>
      </c>
      <c r="AN1285" s="222"/>
      <c r="AO1285" s="222">
        <v>0</v>
      </c>
      <c r="AP1285" s="223"/>
      <c r="DQ1285" s="234"/>
      <c r="DR1285" s="234"/>
      <c r="DS1285" s="234"/>
      <c r="EP1285" s="235"/>
      <c r="FS1285" s="236"/>
      <c r="GI1285" s="237"/>
    </row>
    <row r="1286" spans="1:191" s="223" customFormat="1" ht="36" customHeight="1" x14ac:dyDescent="0.25">
      <c r="B1286" s="215" t="s">
        <v>854</v>
      </c>
      <c r="C1286" s="227"/>
      <c r="D1286" s="217" t="s">
        <v>890</v>
      </c>
      <c r="E1286" s="217" t="s">
        <v>890</v>
      </c>
      <c r="F1286" s="217" t="s">
        <v>890</v>
      </c>
      <c r="G1286" s="217" t="s">
        <v>890</v>
      </c>
      <c r="H1286" s="217" t="s">
        <v>890</v>
      </c>
      <c r="I1286" s="218">
        <f>SUM(I1287:I1288)</f>
        <v>5101.2</v>
      </c>
      <c r="J1286" s="218">
        <f>SUM(J1287:J1288)</f>
        <v>4028.2</v>
      </c>
      <c r="K1286" s="218">
        <f>SUM(K1287:K1288)</f>
        <v>3874</v>
      </c>
      <c r="L1286" s="219">
        <f>SUM(L1287:L1288)</f>
        <v>130</v>
      </c>
      <c r="M1286" s="217" t="s">
        <v>890</v>
      </c>
      <c r="N1286" s="217" t="s">
        <v>890</v>
      </c>
      <c r="O1286" s="220" t="s">
        <v>890</v>
      </c>
      <c r="P1286" s="190">
        <v>9221698.8000000007</v>
      </c>
      <c r="Q1286" s="190">
        <f>Q1287+Q1288</f>
        <v>0</v>
      </c>
      <c r="R1286" s="190">
        <f>R1287+R1288</f>
        <v>0</v>
      </c>
      <c r="S1286" s="190">
        <f>S1287+S1288</f>
        <v>9221698.8000000007</v>
      </c>
      <c r="T1286" s="190">
        <f t="shared" si="165"/>
        <v>1807.7508821453778</v>
      </c>
      <c r="U1286" s="190">
        <f>MAX(U1287:U1288)</f>
        <v>3150.8563820129516</v>
      </c>
      <c r="V1286" s="221">
        <f t="shared" si="164"/>
        <v>1343.1054998675738</v>
      </c>
      <c r="W1286" s="221"/>
      <c r="X1286" s="221"/>
      <c r="Y1286" s="222"/>
      <c r="Z1286" s="222"/>
      <c r="AA1286" s="222"/>
      <c r="AB1286" s="222"/>
      <c r="AC1286" s="222"/>
      <c r="AD1286" s="222"/>
      <c r="AE1286" s="222"/>
      <c r="AF1286" s="222"/>
      <c r="AG1286" s="222"/>
      <c r="AH1286" s="222"/>
      <c r="AI1286" s="222"/>
      <c r="AJ1286" s="222"/>
      <c r="AK1286" s="222"/>
      <c r="AL1286" s="222"/>
      <c r="AM1286" s="222"/>
      <c r="AN1286" s="222"/>
      <c r="AO1286" s="222"/>
    </row>
    <row r="1287" spans="1:191" s="154" customFormat="1" ht="36" customHeight="1" x14ac:dyDescent="0.25">
      <c r="A1287" s="223">
        <v>1</v>
      </c>
      <c r="B1287" s="225">
        <f>SUBTOTAL(103,$A$1030:A1287)</f>
        <v>210</v>
      </c>
      <c r="C1287" s="232" t="s">
        <v>100</v>
      </c>
      <c r="D1287" s="217">
        <v>1985</v>
      </c>
      <c r="E1287" s="217"/>
      <c r="F1287" s="233" t="s">
        <v>267</v>
      </c>
      <c r="G1287" s="217">
        <v>3</v>
      </c>
      <c r="H1287" s="217" t="s">
        <v>312</v>
      </c>
      <c r="I1287" s="218">
        <v>1652.3</v>
      </c>
      <c r="J1287" s="218">
        <v>1505</v>
      </c>
      <c r="K1287" s="218">
        <v>1350.8</v>
      </c>
      <c r="L1287" s="231">
        <v>25</v>
      </c>
      <c r="M1287" s="217" t="s">
        <v>265</v>
      </c>
      <c r="N1287" s="217" t="s">
        <v>269</v>
      </c>
      <c r="O1287" s="217" t="s">
        <v>282</v>
      </c>
      <c r="P1287" s="218">
        <v>4177440</v>
      </c>
      <c r="Q1287" s="218">
        <v>0</v>
      </c>
      <c r="R1287" s="218">
        <v>0</v>
      </c>
      <c r="S1287" s="218">
        <f>P1287-Q1287-R1287</f>
        <v>4177440</v>
      </c>
      <c r="T1287" s="190">
        <f t="shared" si="165"/>
        <v>2528.257580342553</v>
      </c>
      <c r="U1287" s="190">
        <v>3150.8563820129516</v>
      </c>
      <c r="V1287" s="221">
        <f t="shared" si="164"/>
        <v>622.59880167039864</v>
      </c>
      <c r="W1287" s="221">
        <f>X1287+Y1287+Z1287+AA1287+AB1287+AD1287+AF1287+AH1287+AJ1287+AL1287+AN1287+AO1287</f>
        <v>3020.7153664588755</v>
      </c>
      <c r="X1287" s="221">
        <v>0</v>
      </c>
      <c r="Y1287" s="222">
        <v>0</v>
      </c>
      <c r="Z1287" s="222">
        <v>0</v>
      </c>
      <c r="AA1287" s="222">
        <v>0</v>
      </c>
      <c r="AB1287" s="222">
        <v>0</v>
      </c>
      <c r="AC1287" s="222">
        <v>0</v>
      </c>
      <c r="AD1287" s="222">
        <v>0</v>
      </c>
      <c r="AE1287" s="222">
        <v>800</v>
      </c>
      <c r="AF1287" s="221">
        <f>6238.91*AE1287/I1287</f>
        <v>3020.7153664588755</v>
      </c>
      <c r="AG1287" s="222">
        <v>0</v>
      </c>
      <c r="AH1287" s="221">
        <v>0</v>
      </c>
      <c r="AI1287" s="222">
        <v>0</v>
      </c>
      <c r="AJ1287" s="221">
        <v>0</v>
      </c>
      <c r="AK1287" s="222">
        <v>0</v>
      </c>
      <c r="AL1287" s="222">
        <v>0</v>
      </c>
      <c r="AM1287" s="222">
        <v>0</v>
      </c>
      <c r="AN1287" s="222"/>
      <c r="AO1287" s="222">
        <v>0</v>
      </c>
      <c r="AP1287" s="223"/>
      <c r="DQ1287" s="234"/>
      <c r="DR1287" s="234"/>
      <c r="DS1287" s="234"/>
      <c r="EP1287" s="235"/>
      <c r="FS1287" s="236"/>
      <c r="GI1287" s="237"/>
    </row>
    <row r="1288" spans="1:191" s="154" customFormat="1" ht="36" customHeight="1" x14ac:dyDescent="0.25">
      <c r="A1288" s="223">
        <v>1</v>
      </c>
      <c r="B1288" s="225">
        <f>SUBTOTAL(103,$A$1030:A1288)</f>
        <v>211</v>
      </c>
      <c r="C1288" s="232" t="s">
        <v>101</v>
      </c>
      <c r="D1288" s="217">
        <v>1972</v>
      </c>
      <c r="E1288" s="217"/>
      <c r="F1288" s="233" t="s">
        <v>267</v>
      </c>
      <c r="G1288" s="217">
        <v>5</v>
      </c>
      <c r="H1288" s="217" t="s">
        <v>308</v>
      </c>
      <c r="I1288" s="218">
        <v>3448.9</v>
      </c>
      <c r="J1288" s="218">
        <v>2523.1999999999998</v>
      </c>
      <c r="K1288" s="218">
        <v>2523.1999999999998</v>
      </c>
      <c r="L1288" s="231">
        <v>105</v>
      </c>
      <c r="M1288" s="217" t="s">
        <v>265</v>
      </c>
      <c r="N1288" s="217" t="s">
        <v>269</v>
      </c>
      <c r="O1288" s="217" t="s">
        <v>280</v>
      </c>
      <c r="P1288" s="218">
        <v>5044258.8</v>
      </c>
      <c r="Q1288" s="218">
        <v>0</v>
      </c>
      <c r="R1288" s="218">
        <v>0</v>
      </c>
      <c r="S1288" s="218">
        <f>P1288-Q1288-R1288</f>
        <v>5044258.8</v>
      </c>
      <c r="T1288" s="190">
        <f t="shared" si="165"/>
        <v>1462.5703267708543</v>
      </c>
      <c r="U1288" s="190">
        <v>1822.7371625735741</v>
      </c>
      <c r="V1288" s="221">
        <f t="shared" si="164"/>
        <v>360.16683580271979</v>
      </c>
      <c r="W1288" s="221">
        <f>X1288+Y1288+Z1288+AA1288+AB1288+AD1288+AF1288+AH1288+AJ1288+AL1288+AN1288+AO1288</f>
        <v>1747.451958595494</v>
      </c>
      <c r="X1288" s="221">
        <v>0</v>
      </c>
      <c r="Y1288" s="222">
        <v>0</v>
      </c>
      <c r="Z1288" s="222">
        <v>0</v>
      </c>
      <c r="AA1288" s="222">
        <v>0</v>
      </c>
      <c r="AB1288" s="222">
        <v>0</v>
      </c>
      <c r="AC1288" s="222">
        <v>0</v>
      </c>
      <c r="AD1288" s="222">
        <v>0</v>
      </c>
      <c r="AE1288" s="222">
        <v>966</v>
      </c>
      <c r="AF1288" s="221">
        <f>6238.91*AE1288/I1288</f>
        <v>1747.451958595494</v>
      </c>
      <c r="AG1288" s="222">
        <v>0</v>
      </c>
      <c r="AH1288" s="221">
        <v>0</v>
      </c>
      <c r="AI1288" s="222">
        <v>0</v>
      </c>
      <c r="AJ1288" s="221">
        <v>0</v>
      </c>
      <c r="AK1288" s="222">
        <v>0</v>
      </c>
      <c r="AL1288" s="222">
        <v>0</v>
      </c>
      <c r="AM1288" s="222">
        <v>0</v>
      </c>
      <c r="AN1288" s="222"/>
      <c r="AO1288" s="222">
        <v>0</v>
      </c>
      <c r="AP1288" s="223"/>
      <c r="DQ1288" s="234"/>
      <c r="DR1288" s="234"/>
      <c r="DS1288" s="234"/>
      <c r="EP1288" s="235"/>
      <c r="FS1288" s="236"/>
      <c r="GI1288" s="237"/>
    </row>
    <row r="1289" spans="1:191" s="223" customFormat="1" ht="36" customHeight="1" x14ac:dyDescent="0.25">
      <c r="B1289" s="215" t="s">
        <v>881</v>
      </c>
      <c r="C1289" s="215"/>
      <c r="D1289" s="217" t="s">
        <v>890</v>
      </c>
      <c r="E1289" s="217" t="s">
        <v>890</v>
      </c>
      <c r="F1289" s="217" t="s">
        <v>890</v>
      </c>
      <c r="G1289" s="217" t="s">
        <v>890</v>
      </c>
      <c r="H1289" s="217" t="s">
        <v>890</v>
      </c>
      <c r="I1289" s="218">
        <f>I1290</f>
        <v>783.81</v>
      </c>
      <c r="J1289" s="218">
        <f>J1290</f>
        <v>726</v>
      </c>
      <c r="K1289" s="218">
        <f>K1290</f>
        <v>668.19</v>
      </c>
      <c r="L1289" s="219">
        <f>L1290</f>
        <v>16</v>
      </c>
      <c r="M1289" s="217" t="s">
        <v>890</v>
      </c>
      <c r="N1289" s="217" t="s">
        <v>890</v>
      </c>
      <c r="O1289" s="220" t="s">
        <v>890</v>
      </c>
      <c r="P1289" s="190">
        <v>3623929.1999999997</v>
      </c>
      <c r="Q1289" s="190">
        <f>Q1290</f>
        <v>0</v>
      </c>
      <c r="R1289" s="190">
        <f>R1290</f>
        <v>0</v>
      </c>
      <c r="S1289" s="190">
        <f>S1290</f>
        <v>3623929.1999999997</v>
      </c>
      <c r="T1289" s="190">
        <f t="shared" si="165"/>
        <v>4623.4791594901826</v>
      </c>
      <c r="U1289" s="190">
        <f>U1290</f>
        <v>5762.0390145570991</v>
      </c>
      <c r="V1289" s="221">
        <f t="shared" si="164"/>
        <v>1138.5598550669165</v>
      </c>
      <c r="W1289" s="221"/>
      <c r="X1289" s="221"/>
      <c r="Y1289" s="222"/>
      <c r="Z1289" s="222"/>
      <c r="AA1289" s="222"/>
      <c r="AB1289" s="222"/>
      <c r="AC1289" s="222"/>
      <c r="AD1289" s="222"/>
      <c r="AE1289" s="222"/>
      <c r="AF1289" s="222"/>
      <c r="AG1289" s="222"/>
      <c r="AH1289" s="222"/>
      <c r="AI1289" s="222"/>
      <c r="AJ1289" s="222"/>
      <c r="AK1289" s="222"/>
      <c r="AL1289" s="222"/>
      <c r="AM1289" s="222"/>
      <c r="AN1289" s="222"/>
      <c r="AO1289" s="222"/>
    </row>
    <row r="1290" spans="1:191" s="154" customFormat="1" ht="36" customHeight="1" x14ac:dyDescent="0.25">
      <c r="A1290" s="223">
        <v>1</v>
      </c>
      <c r="B1290" s="225">
        <f>SUBTOTAL(103,$A$1030:A1290)</f>
        <v>212</v>
      </c>
      <c r="C1290" s="232" t="s">
        <v>105</v>
      </c>
      <c r="D1290" s="217">
        <v>1968</v>
      </c>
      <c r="E1290" s="217"/>
      <c r="F1290" s="233" t="s">
        <v>267</v>
      </c>
      <c r="G1290" s="217">
        <v>2</v>
      </c>
      <c r="H1290" s="217" t="s">
        <v>303</v>
      </c>
      <c r="I1290" s="218">
        <v>783.81</v>
      </c>
      <c r="J1290" s="218">
        <v>726</v>
      </c>
      <c r="K1290" s="218">
        <v>668.19</v>
      </c>
      <c r="L1290" s="231">
        <v>16</v>
      </c>
      <c r="M1290" s="217" t="s">
        <v>265</v>
      </c>
      <c r="N1290" s="217" t="s">
        <v>269</v>
      </c>
      <c r="O1290" s="217" t="s">
        <v>282</v>
      </c>
      <c r="P1290" s="218">
        <v>3623929.1999999997</v>
      </c>
      <c r="Q1290" s="218">
        <v>0</v>
      </c>
      <c r="R1290" s="218">
        <v>0</v>
      </c>
      <c r="S1290" s="218">
        <f>P1290-Q1290-R1290</f>
        <v>3623929.1999999997</v>
      </c>
      <c r="T1290" s="190">
        <f t="shared" si="165"/>
        <v>4623.4791594901826</v>
      </c>
      <c r="U1290" s="190">
        <v>5762.0390145570991</v>
      </c>
      <c r="V1290" s="221">
        <f>U1290-T1290</f>
        <v>1138.5598550669165</v>
      </c>
      <c r="W1290" s="221">
        <f>X1290+Y1290+Z1290+AA1290+AB1290+AD1290+AF1290+AH1290+AJ1290+AL1290+AN1290+AO1290</f>
        <v>5524.0473328995549</v>
      </c>
      <c r="X1290" s="221">
        <v>0</v>
      </c>
      <c r="Y1290" s="222">
        <v>0</v>
      </c>
      <c r="Z1290" s="222">
        <v>0</v>
      </c>
      <c r="AA1290" s="222">
        <v>0</v>
      </c>
      <c r="AB1290" s="222">
        <v>0</v>
      </c>
      <c r="AC1290" s="222">
        <v>0</v>
      </c>
      <c r="AD1290" s="222">
        <v>0</v>
      </c>
      <c r="AE1290" s="222">
        <v>694</v>
      </c>
      <c r="AF1290" s="221">
        <f>6238.91*AE1290/I1290</f>
        <v>5524.0473328995549</v>
      </c>
      <c r="AG1290" s="222">
        <v>0</v>
      </c>
      <c r="AH1290" s="221">
        <v>0</v>
      </c>
      <c r="AI1290" s="222">
        <v>0</v>
      </c>
      <c r="AJ1290" s="221">
        <v>0</v>
      </c>
      <c r="AK1290" s="222">
        <v>0</v>
      </c>
      <c r="AL1290" s="222">
        <v>0</v>
      </c>
      <c r="AM1290" s="222">
        <v>0</v>
      </c>
      <c r="AN1290" s="222"/>
      <c r="AO1290" s="222">
        <v>0</v>
      </c>
      <c r="AP1290" s="223"/>
      <c r="DQ1290" s="234"/>
      <c r="DR1290" s="234"/>
      <c r="DS1290" s="234"/>
      <c r="EP1290" s="235"/>
      <c r="FS1290" s="236"/>
      <c r="GI1290" s="237"/>
    </row>
    <row r="1291" spans="1:191" s="223" customFormat="1" ht="36" customHeight="1" x14ac:dyDescent="0.25">
      <c r="B1291" s="215" t="s">
        <v>855</v>
      </c>
      <c r="C1291" s="215"/>
      <c r="D1291" s="217" t="s">
        <v>890</v>
      </c>
      <c r="E1291" s="217" t="s">
        <v>890</v>
      </c>
      <c r="F1291" s="217" t="s">
        <v>890</v>
      </c>
      <c r="G1291" s="217" t="s">
        <v>890</v>
      </c>
      <c r="H1291" s="217" t="s">
        <v>890</v>
      </c>
      <c r="I1291" s="218">
        <f>I1292</f>
        <v>680.2</v>
      </c>
      <c r="J1291" s="218">
        <f>J1292</f>
        <v>680.2</v>
      </c>
      <c r="K1291" s="218">
        <f>K1292</f>
        <v>617.70000000000005</v>
      </c>
      <c r="L1291" s="219">
        <f>L1292</f>
        <v>33</v>
      </c>
      <c r="M1291" s="217" t="s">
        <v>890</v>
      </c>
      <c r="N1291" s="217" t="s">
        <v>890</v>
      </c>
      <c r="O1291" s="220" t="s">
        <v>890</v>
      </c>
      <c r="P1291" s="190">
        <v>3080862</v>
      </c>
      <c r="Q1291" s="190">
        <f>Q1292</f>
        <v>0</v>
      </c>
      <c r="R1291" s="190">
        <f>R1292</f>
        <v>0</v>
      </c>
      <c r="S1291" s="190">
        <f>S1292</f>
        <v>3080862</v>
      </c>
      <c r="T1291" s="190">
        <f t="shared" si="165"/>
        <v>4529.3472508085852</v>
      </c>
      <c r="U1291" s="190">
        <f>U1292</f>
        <v>5644.7265510144071</v>
      </c>
      <c r="V1291" s="221">
        <f t="shared" ref="V1291:V1310" si="166">U1291-T1291</f>
        <v>1115.3793002058219</v>
      </c>
      <c r="W1291" s="221"/>
      <c r="X1291" s="221"/>
      <c r="Y1291" s="222"/>
      <c r="Z1291" s="222"/>
      <c r="AA1291" s="222"/>
      <c r="AB1291" s="222"/>
      <c r="AC1291" s="222"/>
      <c r="AD1291" s="222"/>
      <c r="AE1291" s="222"/>
      <c r="AF1291" s="222"/>
      <c r="AG1291" s="222"/>
      <c r="AH1291" s="222"/>
      <c r="AI1291" s="222"/>
      <c r="AJ1291" s="222"/>
      <c r="AK1291" s="222"/>
      <c r="AL1291" s="222"/>
      <c r="AM1291" s="222"/>
      <c r="AN1291" s="222"/>
      <c r="AO1291" s="222"/>
    </row>
    <row r="1292" spans="1:191" s="154" customFormat="1" ht="36" customHeight="1" x14ac:dyDescent="0.25">
      <c r="A1292" s="223">
        <v>1</v>
      </c>
      <c r="B1292" s="225">
        <f>SUBTOTAL(103,$A$1030:A1292)</f>
        <v>213</v>
      </c>
      <c r="C1292" s="232" t="s">
        <v>102</v>
      </c>
      <c r="D1292" s="217">
        <v>1969</v>
      </c>
      <c r="E1292" s="217"/>
      <c r="F1292" s="233" t="s">
        <v>267</v>
      </c>
      <c r="G1292" s="217">
        <v>2</v>
      </c>
      <c r="H1292" s="217" t="s">
        <v>303</v>
      </c>
      <c r="I1292" s="218">
        <v>680.2</v>
      </c>
      <c r="J1292" s="218">
        <v>680.2</v>
      </c>
      <c r="K1292" s="218">
        <v>617.70000000000005</v>
      </c>
      <c r="L1292" s="231">
        <v>33</v>
      </c>
      <c r="M1292" s="217" t="s">
        <v>265</v>
      </c>
      <c r="N1292" s="217" t="s">
        <v>269</v>
      </c>
      <c r="O1292" s="217" t="s">
        <v>994</v>
      </c>
      <c r="P1292" s="218">
        <v>3080862</v>
      </c>
      <c r="Q1292" s="218">
        <v>0</v>
      </c>
      <c r="R1292" s="218">
        <v>0</v>
      </c>
      <c r="S1292" s="218">
        <f>P1292-Q1292-R1292</f>
        <v>3080862</v>
      </c>
      <c r="T1292" s="190">
        <f t="shared" si="165"/>
        <v>4529.3472508085852</v>
      </c>
      <c r="U1292" s="190">
        <v>5644.7265510144071</v>
      </c>
      <c r="V1292" s="221">
        <f>U1292-T1292</f>
        <v>1115.3793002058219</v>
      </c>
      <c r="W1292" s="221">
        <f>X1292+Y1292+Z1292+AA1292+AB1292+AD1292+AF1292+AH1292+AJ1292+AL1292+AN1292+AO1292</f>
        <v>5411.5802705086735</v>
      </c>
      <c r="X1292" s="221">
        <v>0</v>
      </c>
      <c r="Y1292" s="222">
        <v>0</v>
      </c>
      <c r="Z1292" s="222">
        <v>0</v>
      </c>
      <c r="AA1292" s="222">
        <v>0</v>
      </c>
      <c r="AB1292" s="222">
        <v>0</v>
      </c>
      <c r="AC1292" s="222">
        <v>0</v>
      </c>
      <c r="AD1292" s="222">
        <v>0</v>
      </c>
      <c r="AE1292" s="222">
        <v>590</v>
      </c>
      <c r="AF1292" s="221">
        <f>6238.91*AE1292/I1292</f>
        <v>5411.5802705086735</v>
      </c>
      <c r="AG1292" s="222">
        <v>0</v>
      </c>
      <c r="AH1292" s="221">
        <v>0</v>
      </c>
      <c r="AI1292" s="222">
        <v>0</v>
      </c>
      <c r="AJ1292" s="221">
        <v>0</v>
      </c>
      <c r="AK1292" s="222">
        <v>0</v>
      </c>
      <c r="AL1292" s="222">
        <v>0</v>
      </c>
      <c r="AM1292" s="222">
        <v>0</v>
      </c>
      <c r="AN1292" s="222"/>
      <c r="AO1292" s="222">
        <v>0</v>
      </c>
      <c r="AP1292" s="223"/>
      <c r="DQ1292" s="234"/>
      <c r="DR1292" s="234"/>
      <c r="DS1292" s="234"/>
      <c r="EP1292" s="235"/>
      <c r="FS1292" s="236"/>
      <c r="GI1292" s="237"/>
    </row>
    <row r="1293" spans="1:191" s="223" customFormat="1" ht="36" customHeight="1" x14ac:dyDescent="0.25">
      <c r="B1293" s="215" t="s">
        <v>856</v>
      </c>
      <c r="C1293" s="215"/>
      <c r="D1293" s="217" t="s">
        <v>890</v>
      </c>
      <c r="E1293" s="217" t="s">
        <v>890</v>
      </c>
      <c r="F1293" s="217" t="s">
        <v>890</v>
      </c>
      <c r="G1293" s="217" t="s">
        <v>890</v>
      </c>
      <c r="H1293" s="217" t="s">
        <v>890</v>
      </c>
      <c r="I1293" s="218">
        <f>SUM(I1294:I1295)</f>
        <v>646.4</v>
      </c>
      <c r="J1293" s="218">
        <f>SUM(J1294:J1295)</f>
        <v>612.5</v>
      </c>
      <c r="K1293" s="218">
        <f>SUM(K1294:K1295)</f>
        <v>546.1</v>
      </c>
      <c r="L1293" s="219">
        <f>SUM(L1294:L1295)</f>
        <v>15</v>
      </c>
      <c r="M1293" s="217" t="s">
        <v>890</v>
      </c>
      <c r="N1293" s="217" t="s">
        <v>890</v>
      </c>
      <c r="O1293" s="220" t="s">
        <v>890</v>
      </c>
      <c r="P1293" s="190">
        <v>2610892.59</v>
      </c>
      <c r="Q1293" s="190">
        <f>Q1294+Q1295</f>
        <v>0</v>
      </c>
      <c r="R1293" s="190">
        <f>R1294+R1295</f>
        <v>0</v>
      </c>
      <c r="S1293" s="190">
        <f>S1294+S1295</f>
        <v>2610892.59</v>
      </c>
      <c r="T1293" s="190">
        <f t="shared" ref="T1293:T1311" si="167">P1293/I1293</f>
        <v>4039.1283879950493</v>
      </c>
      <c r="U1293" s="190">
        <f>MAX(U1294:U1295)</f>
        <v>5289.2461335965781</v>
      </c>
      <c r="V1293" s="221">
        <f t="shared" si="166"/>
        <v>1250.1177456015289</v>
      </c>
      <c r="W1293" s="221"/>
      <c r="X1293" s="221"/>
      <c r="Y1293" s="222"/>
      <c r="Z1293" s="222"/>
      <c r="AA1293" s="222"/>
      <c r="AB1293" s="222"/>
      <c r="AC1293" s="222"/>
      <c r="AD1293" s="222"/>
      <c r="AE1293" s="222"/>
      <c r="AF1293" s="222"/>
      <c r="AG1293" s="222"/>
      <c r="AH1293" s="222"/>
      <c r="AI1293" s="222"/>
      <c r="AJ1293" s="222"/>
      <c r="AK1293" s="222"/>
      <c r="AL1293" s="222"/>
      <c r="AM1293" s="222"/>
      <c r="AN1293" s="222"/>
      <c r="AO1293" s="222"/>
    </row>
    <row r="1294" spans="1:191" s="154" customFormat="1" ht="36" customHeight="1" x14ac:dyDescent="0.25">
      <c r="A1294" s="223">
        <v>1</v>
      </c>
      <c r="B1294" s="225">
        <f>SUBTOTAL(103,$A$1030:A1294)</f>
        <v>214</v>
      </c>
      <c r="C1294" s="232" t="s">
        <v>103</v>
      </c>
      <c r="D1294" s="217">
        <v>1966</v>
      </c>
      <c r="E1294" s="217"/>
      <c r="F1294" s="233" t="s">
        <v>267</v>
      </c>
      <c r="G1294" s="217">
        <v>2</v>
      </c>
      <c r="H1294" s="217" t="s">
        <v>304</v>
      </c>
      <c r="I1294" s="218">
        <v>342.5</v>
      </c>
      <c r="J1294" s="218">
        <v>308.7</v>
      </c>
      <c r="K1294" s="218">
        <v>273.8</v>
      </c>
      <c r="L1294" s="231">
        <v>7</v>
      </c>
      <c r="M1294" s="217" t="s">
        <v>265</v>
      </c>
      <c r="N1294" s="217" t="s">
        <v>269</v>
      </c>
      <c r="O1294" s="217" t="s">
        <v>282</v>
      </c>
      <c r="P1294" s="218">
        <v>1321115.3999999999</v>
      </c>
      <c r="Q1294" s="218">
        <v>0</v>
      </c>
      <c r="R1294" s="218">
        <v>0</v>
      </c>
      <c r="S1294" s="218">
        <f>P1294-Q1294-R1294</f>
        <v>1321115.3999999999</v>
      </c>
      <c r="T1294" s="190">
        <f t="shared" si="167"/>
        <v>3857.2712408759121</v>
      </c>
      <c r="U1294" s="190">
        <v>4807.1477372262771</v>
      </c>
      <c r="V1294" s="221">
        <f t="shared" si="166"/>
        <v>949.87649635036496</v>
      </c>
      <c r="W1294" s="221">
        <f>X1294+Y1294+Z1294+AA1294+AB1294+AD1294+AF1294+AH1294+AJ1294+AL1294+AN1294+AO1294</f>
        <v>4608.5962919708027</v>
      </c>
      <c r="X1294" s="221">
        <v>0</v>
      </c>
      <c r="Y1294" s="222">
        <v>0</v>
      </c>
      <c r="Z1294" s="222">
        <v>0</v>
      </c>
      <c r="AA1294" s="222">
        <v>0</v>
      </c>
      <c r="AB1294" s="222">
        <v>0</v>
      </c>
      <c r="AC1294" s="222">
        <v>0</v>
      </c>
      <c r="AD1294" s="222">
        <v>0</v>
      </c>
      <c r="AE1294" s="222">
        <v>253</v>
      </c>
      <c r="AF1294" s="221">
        <f>6238.91*AE1294/I1294</f>
        <v>4608.5962919708027</v>
      </c>
      <c r="AG1294" s="222">
        <v>0</v>
      </c>
      <c r="AH1294" s="221">
        <v>0</v>
      </c>
      <c r="AI1294" s="222">
        <v>0</v>
      </c>
      <c r="AJ1294" s="221">
        <v>0</v>
      </c>
      <c r="AK1294" s="222">
        <v>0</v>
      </c>
      <c r="AL1294" s="222">
        <v>0</v>
      </c>
      <c r="AM1294" s="222">
        <v>0</v>
      </c>
      <c r="AN1294" s="222"/>
      <c r="AO1294" s="222">
        <v>0</v>
      </c>
      <c r="AP1294" s="223"/>
      <c r="DQ1294" s="234"/>
      <c r="DR1294" s="234"/>
      <c r="DS1294" s="234"/>
      <c r="EP1294" s="235"/>
      <c r="FS1294" s="236"/>
      <c r="GI1294" s="237"/>
    </row>
    <row r="1295" spans="1:191" s="154" customFormat="1" ht="36" customHeight="1" x14ac:dyDescent="0.25">
      <c r="A1295" s="223">
        <v>1</v>
      </c>
      <c r="B1295" s="225">
        <f>SUBTOTAL(103,$A$1030:A1295)</f>
        <v>215</v>
      </c>
      <c r="C1295" s="232" t="s">
        <v>104</v>
      </c>
      <c r="D1295" s="217">
        <v>1970</v>
      </c>
      <c r="E1295" s="217"/>
      <c r="F1295" s="233" t="s">
        <v>267</v>
      </c>
      <c r="G1295" s="217">
        <v>2</v>
      </c>
      <c r="H1295" s="217" t="s">
        <v>303</v>
      </c>
      <c r="I1295" s="218">
        <v>303.89999999999998</v>
      </c>
      <c r="J1295" s="218">
        <v>303.8</v>
      </c>
      <c r="K1295" s="218">
        <v>272.3</v>
      </c>
      <c r="L1295" s="231">
        <v>8</v>
      </c>
      <c r="M1295" s="217" t="s">
        <v>265</v>
      </c>
      <c r="N1295" s="217" t="s">
        <v>269</v>
      </c>
      <c r="O1295" s="217" t="s">
        <v>282</v>
      </c>
      <c r="P1295" s="218">
        <v>1289777.1900000002</v>
      </c>
      <c r="Q1295" s="218">
        <v>0</v>
      </c>
      <c r="R1295" s="218">
        <v>0</v>
      </c>
      <c r="S1295" s="218">
        <f>P1295-Q1295-R1295</f>
        <v>1289777.1900000002</v>
      </c>
      <c r="T1295" s="190">
        <f t="shared" si="167"/>
        <v>4244.0842053307015</v>
      </c>
      <c r="U1295" s="190">
        <v>5289.2461335965781</v>
      </c>
      <c r="V1295" s="221">
        <f t="shared" si="166"/>
        <v>1045.1619282658767</v>
      </c>
      <c r="W1295" s="221">
        <f>X1295+Y1295+Z1295+AA1295+AB1295+AD1295+AF1295+AH1295+AJ1295+AL1295+AN1295+AO1295</f>
        <v>5070.7823955248441</v>
      </c>
      <c r="X1295" s="221">
        <v>0</v>
      </c>
      <c r="Y1295" s="222">
        <v>0</v>
      </c>
      <c r="Z1295" s="222">
        <v>0</v>
      </c>
      <c r="AA1295" s="222">
        <v>0</v>
      </c>
      <c r="AB1295" s="222">
        <v>0</v>
      </c>
      <c r="AC1295" s="222">
        <v>0</v>
      </c>
      <c r="AD1295" s="222">
        <v>0</v>
      </c>
      <c r="AE1295" s="222">
        <v>247</v>
      </c>
      <c r="AF1295" s="221">
        <f>6238.91*AE1295/I1295</f>
        <v>5070.7823955248441</v>
      </c>
      <c r="AG1295" s="222">
        <v>0</v>
      </c>
      <c r="AH1295" s="221">
        <v>0</v>
      </c>
      <c r="AI1295" s="222">
        <v>0</v>
      </c>
      <c r="AJ1295" s="221">
        <v>0</v>
      </c>
      <c r="AK1295" s="222">
        <v>0</v>
      </c>
      <c r="AL1295" s="222">
        <v>0</v>
      </c>
      <c r="AM1295" s="222">
        <v>0</v>
      </c>
      <c r="AN1295" s="222"/>
      <c r="AO1295" s="222">
        <v>0</v>
      </c>
      <c r="AP1295" s="223"/>
      <c r="DQ1295" s="234"/>
      <c r="DR1295" s="234"/>
      <c r="DS1295" s="234"/>
      <c r="EP1295" s="235"/>
      <c r="FS1295" s="236"/>
      <c r="GI1295" s="237"/>
    </row>
    <row r="1296" spans="1:191" s="223" customFormat="1" ht="36" customHeight="1" x14ac:dyDescent="0.25">
      <c r="B1296" s="215" t="s">
        <v>858</v>
      </c>
      <c r="C1296" s="227"/>
      <c r="D1296" s="217" t="s">
        <v>890</v>
      </c>
      <c r="E1296" s="217" t="s">
        <v>890</v>
      </c>
      <c r="F1296" s="217" t="s">
        <v>890</v>
      </c>
      <c r="G1296" s="217" t="s">
        <v>890</v>
      </c>
      <c r="H1296" s="217" t="s">
        <v>890</v>
      </c>
      <c r="I1296" s="218">
        <f>SUM(I1297:I1299)</f>
        <v>2009.6000000000001</v>
      </c>
      <c r="J1296" s="218">
        <f>SUM(J1297:J1299)</f>
        <v>1554.1000000000001</v>
      </c>
      <c r="K1296" s="218">
        <f>SUM(K1297:K1299)</f>
        <v>1492</v>
      </c>
      <c r="L1296" s="219">
        <f>SUM(L1297:L1299)</f>
        <v>65</v>
      </c>
      <c r="M1296" s="217" t="s">
        <v>890</v>
      </c>
      <c r="N1296" s="217" t="s">
        <v>890</v>
      </c>
      <c r="O1296" s="220" t="s">
        <v>890</v>
      </c>
      <c r="P1296" s="190">
        <v>6332416.4000000004</v>
      </c>
      <c r="Q1296" s="190">
        <f>Q1297+Q1298+Q1299</f>
        <v>0</v>
      </c>
      <c r="R1296" s="190">
        <f>R1297+R1298+R1299</f>
        <v>0</v>
      </c>
      <c r="S1296" s="190">
        <f>S1297+S1298+S1299</f>
        <v>6332416.4000000004</v>
      </c>
      <c r="T1296" s="190">
        <f t="shared" si="167"/>
        <v>3151.0830015923566</v>
      </c>
      <c r="U1296" s="190">
        <f>MAX(U1297:U1299)</f>
        <v>6694.6776353007735</v>
      </c>
      <c r="V1296" s="221">
        <f t="shared" si="166"/>
        <v>3543.5946337084169</v>
      </c>
      <c r="W1296" s="221"/>
      <c r="X1296" s="221"/>
      <c r="Y1296" s="222"/>
      <c r="Z1296" s="222"/>
      <c r="AA1296" s="222"/>
      <c r="AB1296" s="222"/>
      <c r="AC1296" s="222"/>
      <c r="AD1296" s="222"/>
      <c r="AE1296" s="222"/>
      <c r="AF1296" s="222"/>
      <c r="AG1296" s="222"/>
      <c r="AH1296" s="222"/>
      <c r="AI1296" s="222"/>
      <c r="AJ1296" s="222"/>
      <c r="AK1296" s="222"/>
      <c r="AL1296" s="222"/>
      <c r="AM1296" s="222"/>
      <c r="AN1296" s="222"/>
      <c r="AO1296" s="222"/>
    </row>
    <row r="1297" spans="1:191" s="154" customFormat="1" ht="36" customHeight="1" x14ac:dyDescent="0.25">
      <c r="A1297" s="223">
        <v>1</v>
      </c>
      <c r="B1297" s="225">
        <f>SUBTOTAL(103,$A$1030:A1297)</f>
        <v>216</v>
      </c>
      <c r="C1297" s="232" t="s">
        <v>193</v>
      </c>
      <c r="D1297" s="217" t="s">
        <v>313</v>
      </c>
      <c r="E1297" s="217"/>
      <c r="F1297" s="233" t="s">
        <v>267</v>
      </c>
      <c r="G1297" s="217" t="s">
        <v>303</v>
      </c>
      <c r="H1297" s="217" t="s">
        <v>303</v>
      </c>
      <c r="I1297" s="218">
        <v>945.6</v>
      </c>
      <c r="J1297" s="218">
        <v>572.29999999999995</v>
      </c>
      <c r="K1297" s="218">
        <v>513.5</v>
      </c>
      <c r="L1297" s="231">
        <v>21</v>
      </c>
      <c r="M1297" s="217" t="s">
        <v>265</v>
      </c>
      <c r="N1297" s="217" t="s">
        <v>266</v>
      </c>
      <c r="O1297" s="217" t="s">
        <v>268</v>
      </c>
      <c r="P1297" s="218">
        <v>3549600</v>
      </c>
      <c r="Q1297" s="218">
        <v>0</v>
      </c>
      <c r="R1297" s="218">
        <v>0</v>
      </c>
      <c r="S1297" s="218">
        <f>P1297-Q1297-R1297</f>
        <v>3549600</v>
      </c>
      <c r="T1297" s="190">
        <f t="shared" si="167"/>
        <v>3753.8071065989848</v>
      </c>
      <c r="U1297" s="190">
        <v>4789.9314720812181</v>
      </c>
      <c r="V1297" s="221">
        <f t="shared" si="166"/>
        <v>1036.1243654822333</v>
      </c>
      <c r="W1297" s="221">
        <f>X1297+Y1297+Z1297+AA1297+AB1297+AD1297+AF1297+AH1297+AJ1297+AL1297+AN1297+AO1297</f>
        <v>4592.0911167512695</v>
      </c>
      <c r="X1297" s="221">
        <v>0</v>
      </c>
      <c r="Y1297" s="222">
        <v>0</v>
      </c>
      <c r="Z1297" s="222">
        <v>0</v>
      </c>
      <c r="AA1297" s="222">
        <v>0</v>
      </c>
      <c r="AB1297" s="222">
        <v>0</v>
      </c>
      <c r="AC1297" s="222">
        <v>0</v>
      </c>
      <c r="AD1297" s="222">
        <v>0</v>
      </c>
      <c r="AE1297" s="222">
        <v>696</v>
      </c>
      <c r="AF1297" s="221">
        <f>6238.91*AE1297/I1297</f>
        <v>4592.0911167512695</v>
      </c>
      <c r="AG1297" s="222">
        <v>0</v>
      </c>
      <c r="AH1297" s="221">
        <v>0</v>
      </c>
      <c r="AI1297" s="222">
        <v>0</v>
      </c>
      <c r="AJ1297" s="221">
        <v>0</v>
      </c>
      <c r="AK1297" s="222">
        <v>0</v>
      </c>
      <c r="AL1297" s="222">
        <v>0</v>
      </c>
      <c r="AM1297" s="222">
        <v>0</v>
      </c>
      <c r="AN1297" s="222"/>
      <c r="AO1297" s="222">
        <v>0</v>
      </c>
      <c r="AP1297" s="223"/>
      <c r="DQ1297" s="234"/>
      <c r="DR1297" s="234"/>
      <c r="DS1297" s="234"/>
      <c r="EP1297" s="235"/>
      <c r="FS1297" s="236"/>
      <c r="GI1297" s="237"/>
    </row>
    <row r="1298" spans="1:191" s="154" customFormat="1" ht="36" customHeight="1" x14ac:dyDescent="0.25">
      <c r="A1298" s="223">
        <v>1</v>
      </c>
      <c r="B1298" s="225">
        <f>SUBTOTAL(103,$A$1030:A1298)</f>
        <v>217</v>
      </c>
      <c r="C1298" s="232" t="s">
        <v>194</v>
      </c>
      <c r="D1298" s="217" t="s">
        <v>314</v>
      </c>
      <c r="E1298" s="217"/>
      <c r="F1298" s="233" t="s">
        <v>318</v>
      </c>
      <c r="G1298" s="217" t="s">
        <v>312</v>
      </c>
      <c r="H1298" s="217" t="s">
        <v>304</v>
      </c>
      <c r="I1298" s="218">
        <v>533.70000000000005</v>
      </c>
      <c r="J1298" s="218">
        <v>492.1</v>
      </c>
      <c r="K1298" s="218">
        <v>488.8</v>
      </c>
      <c r="L1298" s="231">
        <v>13</v>
      </c>
      <c r="M1298" s="217" t="s">
        <v>265</v>
      </c>
      <c r="N1298" s="217" t="s">
        <v>266</v>
      </c>
      <c r="O1298" s="217" t="s">
        <v>268</v>
      </c>
      <c r="P1298" s="218">
        <v>1391408.2</v>
      </c>
      <c r="Q1298" s="218">
        <v>0</v>
      </c>
      <c r="R1298" s="218">
        <v>0</v>
      </c>
      <c r="S1298" s="218">
        <f>P1298-Q1298-R1298</f>
        <v>1391408.2</v>
      </c>
      <c r="T1298" s="190">
        <f t="shared" si="167"/>
        <v>2607.0979951283489</v>
      </c>
      <c r="U1298" s="190">
        <v>6652.0283867341195</v>
      </c>
      <c r="V1298" s="221">
        <f t="shared" si="166"/>
        <v>4044.9303916057706</v>
      </c>
      <c r="W1298" s="221">
        <f>X1298+Y1298+Z1298+AA1298+AB1298+AD1298+AF1298+AH1298+AJ1298+AL1298+AN1298+AO1298</f>
        <v>6652.0283867341195</v>
      </c>
      <c r="X1298" s="221">
        <v>0</v>
      </c>
      <c r="Y1298" s="222">
        <v>0</v>
      </c>
      <c r="Z1298" s="222">
        <v>0</v>
      </c>
      <c r="AA1298" s="222">
        <v>0</v>
      </c>
      <c r="AB1298" s="222">
        <v>0</v>
      </c>
      <c r="AC1298" s="222">
        <v>0</v>
      </c>
      <c r="AD1298" s="222">
        <v>0</v>
      </c>
      <c r="AE1298" s="222">
        <v>0</v>
      </c>
      <c r="AF1298" s="221">
        <v>0</v>
      </c>
      <c r="AG1298" s="222">
        <v>0</v>
      </c>
      <c r="AH1298" s="221">
        <v>0</v>
      </c>
      <c r="AI1298" s="222">
        <v>455</v>
      </c>
      <c r="AJ1298" s="221">
        <f>7802.61*AI1298/I1298</f>
        <v>6652.0283867341195</v>
      </c>
      <c r="AK1298" s="222">
        <v>0</v>
      </c>
      <c r="AL1298" s="222">
        <v>0</v>
      </c>
      <c r="AM1298" s="222">
        <v>0</v>
      </c>
      <c r="AN1298" s="222"/>
      <c r="AO1298" s="222">
        <v>0</v>
      </c>
      <c r="AP1298" s="223"/>
      <c r="DQ1298" s="234"/>
      <c r="DR1298" s="234"/>
      <c r="DS1298" s="234"/>
      <c r="EP1298" s="235"/>
      <c r="FS1298" s="236"/>
      <c r="GI1298" s="237"/>
    </row>
    <row r="1299" spans="1:191" s="154" customFormat="1" ht="36" customHeight="1" x14ac:dyDescent="0.25">
      <c r="A1299" s="223">
        <v>1</v>
      </c>
      <c r="B1299" s="225">
        <f>SUBTOTAL(103,$A$1030:A1299)</f>
        <v>218</v>
      </c>
      <c r="C1299" s="232" t="s">
        <v>195</v>
      </c>
      <c r="D1299" s="217">
        <v>1971</v>
      </c>
      <c r="E1299" s="217"/>
      <c r="F1299" s="233" t="s">
        <v>318</v>
      </c>
      <c r="G1299" s="217" t="s">
        <v>312</v>
      </c>
      <c r="H1299" s="217" t="s">
        <v>304</v>
      </c>
      <c r="I1299" s="218">
        <v>530.29999999999995</v>
      </c>
      <c r="J1299" s="218">
        <v>489.7</v>
      </c>
      <c r="K1299" s="218">
        <v>489.7</v>
      </c>
      <c r="L1299" s="231">
        <v>31</v>
      </c>
      <c r="M1299" s="217" t="s">
        <v>265</v>
      </c>
      <c r="N1299" s="217" t="s">
        <v>266</v>
      </c>
      <c r="O1299" s="217" t="s">
        <v>268</v>
      </c>
      <c r="P1299" s="218">
        <v>1391408.2</v>
      </c>
      <c r="Q1299" s="218">
        <v>0</v>
      </c>
      <c r="R1299" s="218">
        <v>0</v>
      </c>
      <c r="S1299" s="218">
        <f>P1299-Q1299-R1299</f>
        <v>1391408.2</v>
      </c>
      <c r="T1299" s="190">
        <f t="shared" si="167"/>
        <v>2623.8133132189328</v>
      </c>
      <c r="U1299" s="190">
        <v>6694.6776353007735</v>
      </c>
      <c r="V1299" s="221">
        <f t="shared" si="166"/>
        <v>4070.8643220818408</v>
      </c>
      <c r="W1299" s="221">
        <f>X1299+Y1299+Z1299+AA1299+AB1299+AD1299+AF1299+AH1299+AJ1299+AL1299+AN1299+AO1299</f>
        <v>6694.6776353007735</v>
      </c>
      <c r="X1299" s="221">
        <v>0</v>
      </c>
      <c r="Y1299" s="222">
        <v>0</v>
      </c>
      <c r="Z1299" s="222">
        <v>0</v>
      </c>
      <c r="AA1299" s="222">
        <v>0</v>
      </c>
      <c r="AB1299" s="222">
        <v>0</v>
      </c>
      <c r="AC1299" s="222">
        <v>0</v>
      </c>
      <c r="AD1299" s="222">
        <v>0</v>
      </c>
      <c r="AE1299" s="222">
        <v>0</v>
      </c>
      <c r="AF1299" s="221">
        <v>0</v>
      </c>
      <c r="AG1299" s="222">
        <v>0</v>
      </c>
      <c r="AH1299" s="221">
        <v>0</v>
      </c>
      <c r="AI1299" s="222">
        <v>455</v>
      </c>
      <c r="AJ1299" s="221">
        <f>7802.61*AI1299/I1299</f>
        <v>6694.6776353007735</v>
      </c>
      <c r="AK1299" s="222">
        <v>0</v>
      </c>
      <c r="AL1299" s="222">
        <v>0</v>
      </c>
      <c r="AM1299" s="222">
        <v>0</v>
      </c>
      <c r="AN1299" s="222"/>
      <c r="AO1299" s="222">
        <v>0</v>
      </c>
      <c r="AP1299" s="223"/>
      <c r="DQ1299" s="234"/>
      <c r="DR1299" s="234"/>
      <c r="DS1299" s="234"/>
      <c r="EP1299" s="235"/>
      <c r="FS1299" s="236"/>
      <c r="GI1299" s="237"/>
    </row>
    <row r="1300" spans="1:191" s="223" customFormat="1" ht="36" customHeight="1" x14ac:dyDescent="0.25">
      <c r="B1300" s="215" t="s">
        <v>859</v>
      </c>
      <c r="C1300" s="215"/>
      <c r="D1300" s="217" t="s">
        <v>890</v>
      </c>
      <c r="E1300" s="217" t="s">
        <v>890</v>
      </c>
      <c r="F1300" s="217" t="s">
        <v>890</v>
      </c>
      <c r="G1300" s="217" t="s">
        <v>890</v>
      </c>
      <c r="H1300" s="217" t="s">
        <v>890</v>
      </c>
      <c r="I1300" s="218">
        <f>I1301</f>
        <v>814.6</v>
      </c>
      <c r="J1300" s="218">
        <f>J1301</f>
        <v>814.6</v>
      </c>
      <c r="K1300" s="218">
        <f>K1301</f>
        <v>336.9</v>
      </c>
      <c r="L1300" s="219">
        <f>L1301</f>
        <v>26</v>
      </c>
      <c r="M1300" s="217" t="s">
        <v>890</v>
      </c>
      <c r="N1300" s="217" t="s">
        <v>890</v>
      </c>
      <c r="O1300" s="220" t="s">
        <v>890</v>
      </c>
      <c r="P1300" s="190">
        <v>3434659.7399999998</v>
      </c>
      <c r="Q1300" s="190">
        <f>Q1301</f>
        <v>0</v>
      </c>
      <c r="R1300" s="190">
        <f>R1301</f>
        <v>0</v>
      </c>
      <c r="S1300" s="190">
        <f>S1301</f>
        <v>3434659.7399999998</v>
      </c>
      <c r="T1300" s="190">
        <f t="shared" si="167"/>
        <v>4216.3758163515831</v>
      </c>
      <c r="U1300" s="190">
        <f>U1301</f>
        <v>5751.9567886079058</v>
      </c>
      <c r="V1300" s="221">
        <f t="shared" si="166"/>
        <v>1535.5809722563226</v>
      </c>
      <c r="W1300" s="221"/>
      <c r="X1300" s="221"/>
      <c r="Y1300" s="222"/>
      <c r="Z1300" s="222"/>
      <c r="AA1300" s="222"/>
      <c r="AB1300" s="222"/>
      <c r="AC1300" s="222"/>
      <c r="AD1300" s="222"/>
      <c r="AE1300" s="222"/>
      <c r="AF1300" s="222"/>
      <c r="AG1300" s="222"/>
      <c r="AH1300" s="222"/>
      <c r="AI1300" s="222"/>
      <c r="AJ1300" s="222"/>
      <c r="AK1300" s="222"/>
      <c r="AL1300" s="222"/>
      <c r="AM1300" s="222"/>
      <c r="AN1300" s="222"/>
      <c r="AO1300" s="222"/>
    </row>
    <row r="1301" spans="1:191" s="154" customFormat="1" ht="36" customHeight="1" x14ac:dyDescent="0.25">
      <c r="A1301" s="223">
        <v>1</v>
      </c>
      <c r="B1301" s="225">
        <f>SUBTOTAL(103,$A$1030:A1301)</f>
        <v>219</v>
      </c>
      <c r="C1301" s="232" t="s">
        <v>1367</v>
      </c>
      <c r="D1301" s="217">
        <v>1950</v>
      </c>
      <c r="E1301" s="217"/>
      <c r="F1301" s="233" t="s">
        <v>267</v>
      </c>
      <c r="G1301" s="217">
        <v>2</v>
      </c>
      <c r="H1301" s="217" t="s">
        <v>303</v>
      </c>
      <c r="I1301" s="218">
        <v>814.6</v>
      </c>
      <c r="J1301" s="218">
        <v>814.6</v>
      </c>
      <c r="K1301" s="218">
        <v>336.9</v>
      </c>
      <c r="L1301" s="231">
        <v>26</v>
      </c>
      <c r="M1301" s="217" t="s">
        <v>265</v>
      </c>
      <c r="N1301" s="217" t="s">
        <v>269</v>
      </c>
      <c r="O1301" s="217" t="s">
        <v>1296</v>
      </c>
      <c r="P1301" s="218">
        <v>3434659.7399999998</v>
      </c>
      <c r="Q1301" s="218">
        <v>0</v>
      </c>
      <c r="R1301" s="218">
        <v>0</v>
      </c>
      <c r="S1301" s="218">
        <f>P1301-Q1301-R1301</f>
        <v>3434659.7399999998</v>
      </c>
      <c r="T1301" s="190">
        <f t="shared" si="167"/>
        <v>4216.3758163515831</v>
      </c>
      <c r="U1301" s="190">
        <v>5751.9567886079058</v>
      </c>
      <c r="V1301" s="221">
        <f>U1301-T1301</f>
        <v>1535.5809722563226</v>
      </c>
      <c r="W1301" s="221">
        <f>T1301</f>
        <v>4216.3758163515831</v>
      </c>
      <c r="X1301" s="221">
        <v>0</v>
      </c>
      <c r="Y1301" s="222">
        <v>0</v>
      </c>
      <c r="Z1301" s="222">
        <v>0</v>
      </c>
      <c r="AA1301" s="222">
        <v>0</v>
      </c>
      <c r="AB1301" s="222">
        <v>0</v>
      </c>
      <c r="AC1301" s="222">
        <v>0</v>
      </c>
      <c r="AD1301" s="222">
        <v>0</v>
      </c>
      <c r="AE1301" s="222">
        <v>720</v>
      </c>
      <c r="AF1301" s="221">
        <f>6436.53*AE1301/I1301</f>
        <v>5689.0518045666577</v>
      </c>
      <c r="AG1301" s="222">
        <v>0</v>
      </c>
      <c r="AH1301" s="221">
        <v>0</v>
      </c>
      <c r="AI1301" s="222">
        <v>0</v>
      </c>
      <c r="AJ1301" s="221">
        <v>0</v>
      </c>
      <c r="AK1301" s="222">
        <v>0</v>
      </c>
      <c r="AL1301" s="222">
        <v>0</v>
      </c>
      <c r="AM1301" s="222">
        <v>0</v>
      </c>
      <c r="AN1301" s="222"/>
      <c r="AO1301" s="222">
        <v>0</v>
      </c>
      <c r="AP1301" s="223"/>
      <c r="DQ1301" s="234"/>
      <c r="DR1301" s="234"/>
      <c r="DS1301" s="234"/>
      <c r="EP1301" s="235"/>
      <c r="FS1301" s="236"/>
      <c r="GI1301" s="237"/>
    </row>
    <row r="1302" spans="1:191" s="223" customFormat="1" ht="36" customHeight="1" x14ac:dyDescent="0.25">
      <c r="B1302" s="215" t="s">
        <v>861</v>
      </c>
      <c r="C1302" s="215"/>
      <c r="D1302" s="217" t="s">
        <v>890</v>
      </c>
      <c r="E1302" s="217" t="s">
        <v>890</v>
      </c>
      <c r="F1302" s="217" t="s">
        <v>890</v>
      </c>
      <c r="G1302" s="217" t="s">
        <v>890</v>
      </c>
      <c r="H1302" s="217" t="s">
        <v>890</v>
      </c>
      <c r="I1302" s="218">
        <f>I1303</f>
        <v>1047.5</v>
      </c>
      <c r="J1302" s="218">
        <f>J1303</f>
        <v>853.4</v>
      </c>
      <c r="K1302" s="218">
        <f>K1303</f>
        <v>853.4</v>
      </c>
      <c r="L1302" s="219">
        <f>L1303</f>
        <v>55</v>
      </c>
      <c r="M1302" s="217" t="s">
        <v>890</v>
      </c>
      <c r="N1302" s="217" t="s">
        <v>890</v>
      </c>
      <c r="O1302" s="220" t="s">
        <v>890</v>
      </c>
      <c r="P1302" s="190">
        <v>3600600</v>
      </c>
      <c r="Q1302" s="190">
        <f>Q1303</f>
        <v>0</v>
      </c>
      <c r="R1302" s="190">
        <f>R1303</f>
        <v>0</v>
      </c>
      <c r="S1302" s="190">
        <f>S1303</f>
        <v>3600600</v>
      </c>
      <c r="T1302" s="190">
        <f t="shared" si="167"/>
        <v>3437.3269689737472</v>
      </c>
      <c r="U1302" s="190">
        <f>U1303</f>
        <v>4497.9234367541767</v>
      </c>
      <c r="V1302" s="221">
        <f t="shared" si="166"/>
        <v>1060.5964677804295</v>
      </c>
      <c r="W1302" s="221"/>
      <c r="X1302" s="221"/>
      <c r="Y1302" s="222"/>
      <c r="Z1302" s="222"/>
      <c r="AA1302" s="222"/>
      <c r="AB1302" s="222"/>
      <c r="AC1302" s="222"/>
      <c r="AD1302" s="222"/>
      <c r="AE1302" s="222"/>
      <c r="AF1302" s="222"/>
      <c r="AG1302" s="222"/>
      <c r="AH1302" s="222"/>
      <c r="AI1302" s="222"/>
      <c r="AJ1302" s="222"/>
      <c r="AK1302" s="222"/>
      <c r="AL1302" s="222"/>
      <c r="AM1302" s="222"/>
      <c r="AN1302" s="222"/>
      <c r="AO1302" s="222"/>
    </row>
    <row r="1303" spans="1:191" s="154" customFormat="1" ht="36" customHeight="1" x14ac:dyDescent="0.25">
      <c r="A1303" s="223">
        <v>1</v>
      </c>
      <c r="B1303" s="225">
        <f>SUBTOTAL(103,$A$1030:A1303)</f>
        <v>220</v>
      </c>
      <c r="C1303" s="232" t="s">
        <v>2288</v>
      </c>
      <c r="D1303" s="217">
        <v>1982</v>
      </c>
      <c r="E1303" s="217"/>
      <c r="F1303" s="233" t="s">
        <v>267</v>
      </c>
      <c r="G1303" s="217">
        <v>2</v>
      </c>
      <c r="H1303" s="217">
        <v>3</v>
      </c>
      <c r="I1303" s="218">
        <v>1047.5</v>
      </c>
      <c r="J1303" s="218">
        <v>853.4</v>
      </c>
      <c r="K1303" s="218">
        <v>853.4</v>
      </c>
      <c r="L1303" s="231">
        <v>55</v>
      </c>
      <c r="M1303" s="217" t="s">
        <v>265</v>
      </c>
      <c r="N1303" s="217" t="s">
        <v>266</v>
      </c>
      <c r="O1303" s="217" t="s">
        <v>268</v>
      </c>
      <c r="P1303" s="218">
        <v>3600600</v>
      </c>
      <c r="Q1303" s="218">
        <v>0</v>
      </c>
      <c r="R1303" s="218">
        <v>0</v>
      </c>
      <c r="S1303" s="218">
        <f>P1303-Q1303-R1303</f>
        <v>3600600</v>
      </c>
      <c r="T1303" s="190">
        <f t="shared" si="167"/>
        <v>3437.3269689737472</v>
      </c>
      <c r="U1303" s="190">
        <v>4497.9234367541767</v>
      </c>
      <c r="V1303" s="221">
        <f>U1303-T1303</f>
        <v>1060.5964677804295</v>
      </c>
      <c r="W1303" s="221">
        <f>X1303+Y1303+Z1303+AA1303+AB1303+AD1303+AF1303+AH1303+AJ1303+AL1303+AN1303+AO1303</f>
        <v>4458.2848210023867</v>
      </c>
      <c r="X1303" s="221">
        <v>0</v>
      </c>
      <c r="Y1303" s="222">
        <v>0</v>
      </c>
      <c r="Z1303" s="222">
        <v>0</v>
      </c>
      <c r="AA1303" s="222">
        <v>0</v>
      </c>
      <c r="AB1303" s="222">
        <v>0</v>
      </c>
      <c r="AC1303" s="222">
        <v>0</v>
      </c>
      <c r="AD1303" s="222">
        <v>0</v>
      </c>
      <c r="AE1303" s="222">
        <v>351</v>
      </c>
      <c r="AF1303" s="221">
        <f>6238.91*AE1303/I1303</f>
        <v>2090.556</v>
      </c>
      <c r="AG1303" s="222">
        <v>0</v>
      </c>
      <c r="AH1303" s="221">
        <v>0</v>
      </c>
      <c r="AI1303" s="222">
        <v>333.4</v>
      </c>
      <c r="AJ1303" s="221">
        <f>7439.1*AI1303/I1303</f>
        <v>2367.7288210023867</v>
      </c>
      <c r="AK1303" s="222">
        <v>0</v>
      </c>
      <c r="AL1303" s="222">
        <v>0</v>
      </c>
      <c r="AM1303" s="222">
        <v>0</v>
      </c>
      <c r="AN1303" s="222"/>
      <c r="AO1303" s="222">
        <v>0</v>
      </c>
      <c r="AP1303" s="223"/>
      <c r="DQ1303" s="234"/>
      <c r="DR1303" s="234"/>
      <c r="DS1303" s="234"/>
      <c r="EP1303" s="235"/>
      <c r="FS1303" s="236"/>
      <c r="GI1303" s="237"/>
    </row>
    <row r="1304" spans="1:191" s="223" customFormat="1" ht="36" customHeight="1" x14ac:dyDescent="0.25">
      <c r="B1304" s="215" t="s">
        <v>880</v>
      </c>
      <c r="C1304" s="215"/>
      <c r="D1304" s="217" t="s">
        <v>890</v>
      </c>
      <c r="E1304" s="217" t="s">
        <v>890</v>
      </c>
      <c r="F1304" s="217" t="s">
        <v>890</v>
      </c>
      <c r="G1304" s="217" t="s">
        <v>890</v>
      </c>
      <c r="H1304" s="217" t="s">
        <v>890</v>
      </c>
      <c r="I1304" s="218">
        <f>I1305</f>
        <v>626</v>
      </c>
      <c r="J1304" s="218">
        <f>J1305</f>
        <v>626</v>
      </c>
      <c r="K1304" s="218">
        <f>K1305</f>
        <v>423.7</v>
      </c>
      <c r="L1304" s="219">
        <f>L1305</f>
        <v>31</v>
      </c>
      <c r="M1304" s="217" t="s">
        <v>890</v>
      </c>
      <c r="N1304" s="217" t="s">
        <v>890</v>
      </c>
      <c r="O1304" s="220" t="s">
        <v>890</v>
      </c>
      <c r="P1304" s="190">
        <v>2233993.96</v>
      </c>
      <c r="Q1304" s="190">
        <f>Q1305</f>
        <v>0</v>
      </c>
      <c r="R1304" s="190">
        <f>R1305</f>
        <v>0</v>
      </c>
      <c r="S1304" s="190">
        <f>S1305</f>
        <v>2233993.96</v>
      </c>
      <c r="T1304" s="190">
        <f t="shared" si="167"/>
        <v>3568.6804472843451</v>
      </c>
      <c r="U1304" s="190">
        <f>U1305</f>
        <v>3908.7782747603828</v>
      </c>
      <c r="V1304" s="221">
        <f t="shared" si="166"/>
        <v>340.09782747603776</v>
      </c>
      <c r="W1304" s="221"/>
      <c r="X1304" s="221"/>
      <c r="Y1304" s="222"/>
      <c r="Z1304" s="222"/>
      <c r="AA1304" s="222"/>
      <c r="AB1304" s="222"/>
      <c r="AC1304" s="222"/>
      <c r="AD1304" s="222"/>
      <c r="AE1304" s="222"/>
      <c r="AF1304" s="222"/>
      <c r="AG1304" s="222"/>
      <c r="AH1304" s="222"/>
      <c r="AI1304" s="222"/>
      <c r="AJ1304" s="222"/>
      <c r="AK1304" s="222"/>
      <c r="AL1304" s="222"/>
      <c r="AM1304" s="222"/>
      <c r="AN1304" s="222"/>
      <c r="AO1304" s="222"/>
    </row>
    <row r="1305" spans="1:191" s="154" customFormat="1" ht="36" customHeight="1" x14ac:dyDescent="0.25">
      <c r="A1305" s="223">
        <v>1</v>
      </c>
      <c r="B1305" s="225">
        <f>SUBTOTAL(103,$A$1030:A1305)</f>
        <v>221</v>
      </c>
      <c r="C1305" s="232" t="s">
        <v>196</v>
      </c>
      <c r="D1305" s="217" t="s">
        <v>316</v>
      </c>
      <c r="E1305" s="217"/>
      <c r="F1305" s="233" t="s">
        <v>267</v>
      </c>
      <c r="G1305" s="217" t="s">
        <v>303</v>
      </c>
      <c r="H1305" s="217" t="s">
        <v>303</v>
      </c>
      <c r="I1305" s="218">
        <v>626</v>
      </c>
      <c r="J1305" s="218">
        <v>626</v>
      </c>
      <c r="K1305" s="218">
        <v>423.7</v>
      </c>
      <c r="L1305" s="231">
        <v>31</v>
      </c>
      <c r="M1305" s="217" t="s">
        <v>265</v>
      </c>
      <c r="N1305" s="217" t="s">
        <v>269</v>
      </c>
      <c r="O1305" s="217" t="s">
        <v>988</v>
      </c>
      <c r="P1305" s="218">
        <v>2233993.96</v>
      </c>
      <c r="Q1305" s="218">
        <v>0</v>
      </c>
      <c r="R1305" s="218">
        <v>0</v>
      </c>
      <c r="S1305" s="218">
        <f>P1305-Q1305-R1305</f>
        <v>2233993.96</v>
      </c>
      <c r="T1305" s="190">
        <f t="shared" si="167"/>
        <v>3568.6804472843451</v>
      </c>
      <c r="U1305" s="190">
        <v>3908.7782747603828</v>
      </c>
      <c r="V1305" s="221">
        <f>U1305-T1305</f>
        <v>340.09782747603776</v>
      </c>
      <c r="W1305" s="221">
        <f>X1305+Y1305+Z1305+AA1305+AB1305+AD1305+AF1305+AH1305+AJ1305+AL1305+AN1305+AO1305</f>
        <v>3747.3325239616615</v>
      </c>
      <c r="X1305" s="221">
        <v>0</v>
      </c>
      <c r="Y1305" s="222">
        <v>0</v>
      </c>
      <c r="Z1305" s="222">
        <v>0</v>
      </c>
      <c r="AA1305" s="222">
        <v>0</v>
      </c>
      <c r="AB1305" s="222">
        <v>0</v>
      </c>
      <c r="AC1305" s="222">
        <v>0</v>
      </c>
      <c r="AD1305" s="222">
        <v>0</v>
      </c>
      <c r="AE1305" s="222">
        <v>376</v>
      </c>
      <c r="AF1305" s="221">
        <f>6238.91*AE1305/I1305</f>
        <v>3747.3325239616615</v>
      </c>
      <c r="AG1305" s="222">
        <v>0</v>
      </c>
      <c r="AH1305" s="221">
        <v>0</v>
      </c>
      <c r="AI1305" s="222">
        <v>0</v>
      </c>
      <c r="AJ1305" s="221">
        <v>0</v>
      </c>
      <c r="AK1305" s="222">
        <v>0</v>
      </c>
      <c r="AL1305" s="222">
        <v>0</v>
      </c>
      <c r="AM1305" s="222">
        <v>0</v>
      </c>
      <c r="AN1305" s="222"/>
      <c r="AO1305" s="222">
        <v>0</v>
      </c>
      <c r="AP1305" s="223"/>
      <c r="DQ1305" s="234"/>
      <c r="DR1305" s="234"/>
      <c r="DS1305" s="234"/>
      <c r="EP1305" s="235"/>
      <c r="FS1305" s="236"/>
      <c r="GI1305" s="237"/>
    </row>
    <row r="1306" spans="1:191" s="223" customFormat="1" ht="36" customHeight="1" x14ac:dyDescent="0.25">
      <c r="B1306" s="215" t="s">
        <v>862</v>
      </c>
      <c r="C1306" s="227"/>
      <c r="D1306" s="217" t="s">
        <v>890</v>
      </c>
      <c r="E1306" s="217" t="s">
        <v>890</v>
      </c>
      <c r="F1306" s="217" t="s">
        <v>890</v>
      </c>
      <c r="G1306" s="217" t="s">
        <v>890</v>
      </c>
      <c r="H1306" s="217" t="s">
        <v>890</v>
      </c>
      <c r="I1306" s="218">
        <f>SUM(I1307:I1309)</f>
        <v>4977.3999999999996</v>
      </c>
      <c r="J1306" s="218">
        <f>SUM(J1307:J1309)</f>
        <v>4613.7</v>
      </c>
      <c r="K1306" s="218">
        <f>SUM(K1307:K1309)</f>
        <v>4612.5</v>
      </c>
      <c r="L1306" s="219">
        <f>SUM(L1307:L1309)</f>
        <v>180</v>
      </c>
      <c r="M1306" s="217" t="s">
        <v>890</v>
      </c>
      <c r="N1306" s="217" t="s">
        <v>890</v>
      </c>
      <c r="O1306" s="220" t="s">
        <v>890</v>
      </c>
      <c r="P1306" s="190">
        <v>14392200</v>
      </c>
      <c r="Q1306" s="190">
        <f>Q1307+Q1308+Q1309</f>
        <v>0</v>
      </c>
      <c r="R1306" s="190">
        <f>R1307+R1308+R1309</f>
        <v>0</v>
      </c>
      <c r="S1306" s="190">
        <f>S1307+S1308+S1309</f>
        <v>14392200</v>
      </c>
      <c r="T1306" s="190">
        <f t="shared" si="167"/>
        <v>2891.509623498212</v>
      </c>
      <c r="U1306" s="190">
        <f>MAX(U1307:U1309)</f>
        <v>3893.2412829114564</v>
      </c>
      <c r="V1306" s="221">
        <f t="shared" si="166"/>
        <v>1001.7316594132444</v>
      </c>
      <c r="W1306" s="221"/>
      <c r="X1306" s="221"/>
      <c r="Y1306" s="222"/>
      <c r="Z1306" s="222"/>
      <c r="AA1306" s="222"/>
      <c r="AB1306" s="222"/>
      <c r="AC1306" s="222"/>
      <c r="AD1306" s="222"/>
      <c r="AE1306" s="222"/>
      <c r="AF1306" s="222"/>
      <c r="AG1306" s="222"/>
      <c r="AH1306" s="222"/>
      <c r="AI1306" s="222"/>
      <c r="AJ1306" s="222"/>
      <c r="AK1306" s="222"/>
      <c r="AL1306" s="222"/>
      <c r="AM1306" s="222"/>
      <c r="AN1306" s="222"/>
      <c r="AO1306" s="222"/>
    </row>
    <row r="1307" spans="1:191" s="154" customFormat="1" ht="36" customHeight="1" x14ac:dyDescent="0.25">
      <c r="A1307" s="223">
        <v>1</v>
      </c>
      <c r="B1307" s="225">
        <f>SUBTOTAL(103,$A$1030:A1307)</f>
        <v>222</v>
      </c>
      <c r="C1307" s="232" t="s">
        <v>213</v>
      </c>
      <c r="D1307" s="217">
        <v>1977</v>
      </c>
      <c r="E1307" s="217"/>
      <c r="F1307" s="233" t="s">
        <v>267</v>
      </c>
      <c r="G1307" s="217">
        <v>3</v>
      </c>
      <c r="H1307" s="217" t="s">
        <v>312</v>
      </c>
      <c r="I1307" s="218">
        <v>1967.4</v>
      </c>
      <c r="J1307" s="218">
        <v>1817.2</v>
      </c>
      <c r="K1307" s="218">
        <v>1817.2</v>
      </c>
      <c r="L1307" s="231">
        <v>61</v>
      </c>
      <c r="M1307" s="217" t="s">
        <v>265</v>
      </c>
      <c r="N1307" s="217" t="s">
        <v>269</v>
      </c>
      <c r="O1307" s="217" t="s">
        <v>332</v>
      </c>
      <c r="P1307" s="218">
        <v>6002700</v>
      </c>
      <c r="Q1307" s="218">
        <v>0</v>
      </c>
      <c r="R1307" s="218">
        <v>0</v>
      </c>
      <c r="S1307" s="218">
        <f>P1307-Q1307-R1307</f>
        <v>6002700</v>
      </c>
      <c r="T1307" s="190">
        <f t="shared" si="167"/>
        <v>3051.0826471485207</v>
      </c>
      <c r="U1307" s="190">
        <v>3893.2412829114564</v>
      </c>
      <c r="V1307" s="221">
        <f t="shared" si="166"/>
        <v>842.15863576293577</v>
      </c>
      <c r="W1307" s="221">
        <f>X1307+Y1307+Z1307+AA1307+AB1307+AD1307+AF1307+AH1307+AJ1307+AL1307+AN1307+AO1307</f>
        <v>3732.4372623767404</v>
      </c>
      <c r="X1307" s="221">
        <v>0</v>
      </c>
      <c r="Y1307" s="222">
        <v>0</v>
      </c>
      <c r="Z1307" s="222">
        <v>0</v>
      </c>
      <c r="AA1307" s="222">
        <v>0</v>
      </c>
      <c r="AB1307" s="222">
        <v>0</v>
      </c>
      <c r="AC1307" s="222">
        <v>0</v>
      </c>
      <c r="AD1307" s="222">
        <v>0</v>
      </c>
      <c r="AE1307" s="222">
        <v>1177</v>
      </c>
      <c r="AF1307" s="221">
        <f>6238.91*AE1307/I1307</f>
        <v>3732.4372623767404</v>
      </c>
      <c r="AG1307" s="222">
        <v>0</v>
      </c>
      <c r="AH1307" s="221">
        <v>0</v>
      </c>
      <c r="AI1307" s="222">
        <v>0</v>
      </c>
      <c r="AJ1307" s="221">
        <v>0</v>
      </c>
      <c r="AK1307" s="222">
        <v>0</v>
      </c>
      <c r="AL1307" s="222">
        <v>0</v>
      </c>
      <c r="AM1307" s="222">
        <v>0</v>
      </c>
      <c r="AN1307" s="222"/>
      <c r="AO1307" s="222">
        <v>0</v>
      </c>
      <c r="AP1307" s="223"/>
      <c r="DQ1307" s="234"/>
      <c r="DR1307" s="234"/>
      <c r="DS1307" s="234"/>
      <c r="EP1307" s="235"/>
      <c r="FS1307" s="236"/>
      <c r="GI1307" s="237"/>
    </row>
    <row r="1308" spans="1:191" s="154" customFormat="1" ht="36" customHeight="1" x14ac:dyDescent="0.25">
      <c r="A1308" s="223">
        <v>1</v>
      </c>
      <c r="B1308" s="225">
        <f>SUBTOTAL(103,$A$1030:A1308)</f>
        <v>223</v>
      </c>
      <c r="C1308" s="232" t="s">
        <v>214</v>
      </c>
      <c r="D1308" s="217">
        <v>1989</v>
      </c>
      <c r="E1308" s="217"/>
      <c r="F1308" s="233" t="s">
        <v>267</v>
      </c>
      <c r="G1308" s="217">
        <v>3</v>
      </c>
      <c r="H1308" s="217" t="s">
        <v>303</v>
      </c>
      <c r="I1308" s="218">
        <v>1426.9</v>
      </c>
      <c r="J1308" s="218">
        <v>1319.7</v>
      </c>
      <c r="K1308" s="218">
        <v>1318.5</v>
      </c>
      <c r="L1308" s="231">
        <v>59</v>
      </c>
      <c r="M1308" s="217" t="s">
        <v>265</v>
      </c>
      <c r="N1308" s="217" t="s">
        <v>269</v>
      </c>
      <c r="O1308" s="217" t="s">
        <v>332</v>
      </c>
      <c r="P1308" s="218">
        <v>4059600</v>
      </c>
      <c r="Q1308" s="218">
        <v>0</v>
      </c>
      <c r="R1308" s="218">
        <v>0</v>
      </c>
      <c r="S1308" s="218">
        <f>P1308-Q1308-R1308</f>
        <v>4059600</v>
      </c>
      <c r="T1308" s="190">
        <f t="shared" si="167"/>
        <v>2845.0487069871747</v>
      </c>
      <c r="U1308" s="190">
        <v>3630.3379353843998</v>
      </c>
      <c r="V1308" s="221">
        <f t="shared" si="166"/>
        <v>785.28922839722509</v>
      </c>
      <c r="W1308" s="221">
        <f>X1308+Y1308+Z1308+AA1308+AB1308+AD1308+AF1308+AH1308+AJ1308+AL1308+AN1308+AO1308</f>
        <v>3480.3927114724229</v>
      </c>
      <c r="X1308" s="221">
        <v>0</v>
      </c>
      <c r="Y1308" s="222">
        <v>0</v>
      </c>
      <c r="Z1308" s="222">
        <v>0</v>
      </c>
      <c r="AA1308" s="222">
        <v>0</v>
      </c>
      <c r="AB1308" s="222">
        <v>0</v>
      </c>
      <c r="AC1308" s="222">
        <v>0</v>
      </c>
      <c r="AD1308" s="222">
        <v>0</v>
      </c>
      <c r="AE1308" s="222">
        <v>796</v>
      </c>
      <c r="AF1308" s="221">
        <f>6238.91*AE1308/I1308</f>
        <v>3480.3927114724229</v>
      </c>
      <c r="AG1308" s="222">
        <v>0</v>
      </c>
      <c r="AH1308" s="221">
        <v>0</v>
      </c>
      <c r="AI1308" s="222">
        <v>0</v>
      </c>
      <c r="AJ1308" s="221">
        <v>0</v>
      </c>
      <c r="AK1308" s="222">
        <v>0</v>
      </c>
      <c r="AL1308" s="222">
        <v>0</v>
      </c>
      <c r="AM1308" s="222">
        <v>0</v>
      </c>
      <c r="AN1308" s="222"/>
      <c r="AO1308" s="222">
        <v>0</v>
      </c>
      <c r="AP1308" s="223"/>
      <c r="DQ1308" s="234"/>
      <c r="DR1308" s="234"/>
      <c r="DS1308" s="234"/>
      <c r="EP1308" s="235"/>
      <c r="FS1308" s="236"/>
      <c r="GI1308" s="237"/>
    </row>
    <row r="1309" spans="1:191" s="154" customFormat="1" ht="36" customHeight="1" x14ac:dyDescent="0.25">
      <c r="A1309" s="223">
        <v>1</v>
      </c>
      <c r="B1309" s="225">
        <f>SUBTOTAL(103,$A$1030:A1309)</f>
        <v>224</v>
      </c>
      <c r="C1309" s="232" t="s">
        <v>215</v>
      </c>
      <c r="D1309" s="217">
        <v>1972</v>
      </c>
      <c r="E1309" s="217"/>
      <c r="F1309" s="233" t="s">
        <v>267</v>
      </c>
      <c r="G1309" s="217">
        <v>3</v>
      </c>
      <c r="H1309" s="217" t="s">
        <v>312</v>
      </c>
      <c r="I1309" s="218">
        <v>1583.1</v>
      </c>
      <c r="J1309" s="218">
        <v>1476.8</v>
      </c>
      <c r="K1309" s="218">
        <v>1476.8</v>
      </c>
      <c r="L1309" s="231">
        <v>60</v>
      </c>
      <c r="M1309" s="217" t="s">
        <v>265</v>
      </c>
      <c r="N1309" s="217" t="s">
        <v>269</v>
      </c>
      <c r="O1309" s="217" t="s">
        <v>332</v>
      </c>
      <c r="P1309" s="218">
        <v>4329900</v>
      </c>
      <c r="Q1309" s="218">
        <v>0</v>
      </c>
      <c r="R1309" s="218">
        <v>0</v>
      </c>
      <c r="S1309" s="218">
        <f>P1309-Q1309-R1309</f>
        <v>4329900</v>
      </c>
      <c r="T1309" s="190">
        <f t="shared" si="167"/>
        <v>2735.0767481523594</v>
      </c>
      <c r="U1309" s="190">
        <v>3490.0115595982566</v>
      </c>
      <c r="V1309" s="221">
        <f t="shared" si="166"/>
        <v>754.93481144589714</v>
      </c>
      <c r="W1309" s="221">
        <f>X1309+Y1309+Z1309+AA1309+AB1309+AD1309+AF1309+AH1309+AJ1309+AL1309+AN1309+AO1309</f>
        <v>3345.862289179458</v>
      </c>
      <c r="X1309" s="221">
        <v>0</v>
      </c>
      <c r="Y1309" s="222">
        <v>0</v>
      </c>
      <c r="Z1309" s="222">
        <v>0</v>
      </c>
      <c r="AA1309" s="222">
        <v>0</v>
      </c>
      <c r="AB1309" s="222">
        <v>0</v>
      </c>
      <c r="AC1309" s="222">
        <v>0</v>
      </c>
      <c r="AD1309" s="222">
        <v>0</v>
      </c>
      <c r="AE1309" s="222">
        <v>849</v>
      </c>
      <c r="AF1309" s="221">
        <f>6238.91*AE1309/I1309</f>
        <v>3345.862289179458</v>
      </c>
      <c r="AG1309" s="222">
        <v>0</v>
      </c>
      <c r="AH1309" s="221">
        <v>0</v>
      </c>
      <c r="AI1309" s="222">
        <v>0</v>
      </c>
      <c r="AJ1309" s="221">
        <v>0</v>
      </c>
      <c r="AK1309" s="222">
        <v>0</v>
      </c>
      <c r="AL1309" s="222">
        <v>0</v>
      </c>
      <c r="AM1309" s="222">
        <v>0</v>
      </c>
      <c r="AN1309" s="222"/>
      <c r="AO1309" s="222">
        <v>0</v>
      </c>
      <c r="AP1309" s="223"/>
      <c r="DQ1309" s="234"/>
      <c r="DR1309" s="234"/>
      <c r="DS1309" s="234"/>
      <c r="EP1309" s="235"/>
      <c r="FS1309" s="236"/>
      <c r="GI1309" s="237"/>
    </row>
    <row r="1310" spans="1:191" s="223" customFormat="1" ht="36" customHeight="1" x14ac:dyDescent="0.25">
      <c r="B1310" s="215" t="s">
        <v>863</v>
      </c>
      <c r="C1310" s="215"/>
      <c r="D1310" s="217" t="s">
        <v>890</v>
      </c>
      <c r="E1310" s="217" t="s">
        <v>890</v>
      </c>
      <c r="F1310" s="217" t="s">
        <v>890</v>
      </c>
      <c r="G1310" s="217" t="s">
        <v>890</v>
      </c>
      <c r="H1310" s="217" t="s">
        <v>890</v>
      </c>
      <c r="I1310" s="218">
        <f>I1311</f>
        <v>775.2</v>
      </c>
      <c r="J1310" s="218">
        <f>J1311</f>
        <v>715.9</v>
      </c>
      <c r="K1310" s="218">
        <f>K1311</f>
        <v>715.9</v>
      </c>
      <c r="L1310" s="219">
        <f>L1311</f>
        <v>35</v>
      </c>
      <c r="M1310" s="217" t="s">
        <v>890</v>
      </c>
      <c r="N1310" s="217" t="s">
        <v>890</v>
      </c>
      <c r="O1310" s="220" t="s">
        <v>890</v>
      </c>
      <c r="P1310" s="190">
        <v>3396600</v>
      </c>
      <c r="Q1310" s="190">
        <f>Q1311</f>
        <v>0</v>
      </c>
      <c r="R1310" s="190">
        <f>R1311</f>
        <v>0</v>
      </c>
      <c r="S1310" s="190">
        <f>S1311</f>
        <v>3396600</v>
      </c>
      <c r="T1310" s="190">
        <f t="shared" si="167"/>
        <v>4381.5789473684208</v>
      </c>
      <c r="U1310" s="190">
        <f>U1311</f>
        <v>5590.9806501547982</v>
      </c>
      <c r="V1310" s="221">
        <f t="shared" si="166"/>
        <v>1209.4017027863774</v>
      </c>
      <c r="W1310" s="221"/>
      <c r="X1310" s="221"/>
      <c r="Y1310" s="222"/>
      <c r="Z1310" s="222"/>
      <c r="AA1310" s="222"/>
      <c r="AB1310" s="222"/>
      <c r="AC1310" s="222"/>
      <c r="AD1310" s="222"/>
      <c r="AE1310" s="222"/>
      <c r="AF1310" s="222"/>
      <c r="AG1310" s="222"/>
      <c r="AH1310" s="222"/>
      <c r="AI1310" s="222"/>
      <c r="AJ1310" s="222"/>
      <c r="AK1310" s="222"/>
      <c r="AL1310" s="222"/>
      <c r="AM1310" s="222"/>
      <c r="AN1310" s="222"/>
      <c r="AO1310" s="222"/>
    </row>
    <row r="1311" spans="1:191" s="154" customFormat="1" ht="36" customHeight="1" x14ac:dyDescent="0.25">
      <c r="A1311" s="223">
        <v>1</v>
      </c>
      <c r="B1311" s="225">
        <f>SUBTOTAL(103,$A$1030:A1311)</f>
        <v>225</v>
      </c>
      <c r="C1311" s="232" t="s">
        <v>221</v>
      </c>
      <c r="D1311" s="217">
        <v>1974</v>
      </c>
      <c r="E1311" s="217"/>
      <c r="F1311" s="233" t="s">
        <v>267</v>
      </c>
      <c r="G1311" s="217">
        <v>2</v>
      </c>
      <c r="H1311" s="217" t="s">
        <v>303</v>
      </c>
      <c r="I1311" s="218">
        <v>775.2</v>
      </c>
      <c r="J1311" s="218">
        <v>715.9</v>
      </c>
      <c r="K1311" s="218">
        <v>715.9</v>
      </c>
      <c r="L1311" s="231">
        <v>35</v>
      </c>
      <c r="M1311" s="217" t="s">
        <v>265</v>
      </c>
      <c r="N1311" s="217" t="s">
        <v>266</v>
      </c>
      <c r="O1311" s="217" t="s">
        <v>268</v>
      </c>
      <c r="P1311" s="218">
        <v>3396600</v>
      </c>
      <c r="Q1311" s="218">
        <v>0</v>
      </c>
      <c r="R1311" s="218">
        <v>0</v>
      </c>
      <c r="S1311" s="218">
        <f>P1311-Q1311-R1311</f>
        <v>3396600</v>
      </c>
      <c r="T1311" s="190">
        <f t="shared" si="167"/>
        <v>4381.5789473684208</v>
      </c>
      <c r="U1311" s="190">
        <v>5590.9806501547982</v>
      </c>
      <c r="V1311" s="221">
        <f>U1311-T1311</f>
        <v>1209.4017027863774</v>
      </c>
      <c r="W1311" s="221">
        <f>X1311+Y1311+Z1311+AA1311+AB1311+AD1311+AF1311+AH1311+AJ1311+AL1311+AN1311+AO1311</f>
        <v>5360.0542569659438</v>
      </c>
      <c r="X1311" s="221">
        <v>0</v>
      </c>
      <c r="Y1311" s="222">
        <v>0</v>
      </c>
      <c r="Z1311" s="222">
        <v>0</v>
      </c>
      <c r="AA1311" s="222">
        <v>0</v>
      </c>
      <c r="AB1311" s="222">
        <v>0</v>
      </c>
      <c r="AC1311" s="222">
        <v>0</v>
      </c>
      <c r="AD1311" s="222">
        <v>0</v>
      </c>
      <c r="AE1311" s="222">
        <v>666</v>
      </c>
      <c r="AF1311" s="221">
        <f>6238.91*AE1311/I1311</f>
        <v>5360.0542569659438</v>
      </c>
      <c r="AG1311" s="222">
        <v>0</v>
      </c>
      <c r="AH1311" s="221">
        <v>0</v>
      </c>
      <c r="AI1311" s="222">
        <v>0</v>
      </c>
      <c r="AJ1311" s="221">
        <v>0</v>
      </c>
      <c r="AK1311" s="222">
        <v>0</v>
      </c>
      <c r="AL1311" s="222">
        <v>0</v>
      </c>
      <c r="AM1311" s="222">
        <v>0</v>
      </c>
      <c r="AN1311" s="222"/>
      <c r="AO1311" s="222">
        <v>0</v>
      </c>
      <c r="AP1311" s="223"/>
      <c r="DQ1311" s="234"/>
      <c r="DR1311" s="234"/>
      <c r="DS1311" s="234"/>
      <c r="EP1311" s="235"/>
      <c r="FS1311" s="236"/>
      <c r="GI1311" s="237"/>
    </row>
    <row r="1312" spans="1:191" s="154" customFormat="1" ht="84" customHeight="1" x14ac:dyDescent="0.25">
      <c r="B1312" s="319" t="s">
        <v>1668</v>
      </c>
      <c r="C1312" s="320"/>
      <c r="D1312" s="320"/>
      <c r="E1312" s="320"/>
      <c r="F1312" s="320"/>
      <c r="G1312" s="320"/>
      <c r="H1312" s="320"/>
      <c r="I1312" s="320"/>
      <c r="J1312" s="320"/>
      <c r="K1312" s="320"/>
      <c r="L1312" s="320"/>
      <c r="M1312" s="320"/>
      <c r="N1312" s="320"/>
      <c r="O1312" s="320"/>
      <c r="P1312" s="320"/>
      <c r="Q1312" s="320"/>
      <c r="R1312" s="320"/>
      <c r="S1312" s="320"/>
      <c r="T1312" s="320"/>
      <c r="U1312" s="321"/>
      <c r="X1312" s="222"/>
      <c r="Y1312" s="222"/>
      <c r="Z1312" s="222"/>
      <c r="AA1312" s="222"/>
      <c r="AB1312" s="222"/>
      <c r="AC1312" s="222"/>
      <c r="AD1312" s="222"/>
      <c r="AE1312" s="222"/>
      <c r="AF1312" s="222"/>
      <c r="AG1312" s="222"/>
      <c r="AH1312" s="222"/>
      <c r="AI1312" s="222"/>
      <c r="AJ1312" s="222"/>
      <c r="AK1312" s="222"/>
      <c r="AL1312" s="222"/>
      <c r="AM1312" s="222"/>
      <c r="AN1312" s="222"/>
      <c r="AO1312" s="222"/>
      <c r="EG1312" s="235"/>
    </row>
    <row r="1313" spans="2:182" s="154" customFormat="1" ht="33.75" customHeight="1" x14ac:dyDescent="0.25">
      <c r="B1313" s="322" t="s">
        <v>2448</v>
      </c>
      <c r="C1313" s="323"/>
      <c r="D1313" s="217" t="s">
        <v>890</v>
      </c>
      <c r="E1313" s="217" t="s">
        <v>890</v>
      </c>
      <c r="F1313" s="220" t="s">
        <v>890</v>
      </c>
      <c r="G1313" s="217" t="s">
        <v>890</v>
      </c>
      <c r="H1313" s="217" t="s">
        <v>890</v>
      </c>
      <c r="I1313" s="218">
        <f>I1314+I1321</f>
        <v>4960.5</v>
      </c>
      <c r="J1313" s="218">
        <f t="shared" ref="J1313:L1313" si="168">J1314+J1321</f>
        <v>4598</v>
      </c>
      <c r="K1313" s="218">
        <f t="shared" si="168"/>
        <v>4478.8</v>
      </c>
      <c r="L1313" s="231">
        <f t="shared" si="168"/>
        <v>206</v>
      </c>
      <c r="M1313" s="217" t="s">
        <v>890</v>
      </c>
      <c r="N1313" s="217" t="s">
        <v>890</v>
      </c>
      <c r="O1313" s="248" t="s">
        <v>890</v>
      </c>
      <c r="P1313" s="218">
        <f t="shared" ref="P1313:S1313" si="169">P1314+P1321</f>
        <v>13564009.73</v>
      </c>
      <c r="Q1313" s="218">
        <f t="shared" si="169"/>
        <v>9203453.5700000003</v>
      </c>
      <c r="R1313" s="218">
        <f t="shared" si="169"/>
        <v>2336885.83</v>
      </c>
      <c r="S1313" s="218">
        <f t="shared" si="169"/>
        <v>2023670.3299999998</v>
      </c>
      <c r="T1313" s="190">
        <f t="shared" ref="T1313" si="170">P1313/I1313</f>
        <v>2734.4037355105334</v>
      </c>
      <c r="U1313" s="190">
        <f>MAX(U1314:BV1320)</f>
        <v>6302.3826895393468</v>
      </c>
      <c r="X1313" s="249"/>
      <c r="Y1313" s="249"/>
      <c r="Z1313" s="249"/>
      <c r="AA1313" s="249"/>
      <c r="AB1313" s="249"/>
      <c r="AC1313" s="250"/>
      <c r="AD1313" s="249"/>
      <c r="AE1313" s="249"/>
      <c r="AF1313" s="249"/>
      <c r="AG1313" s="249"/>
      <c r="AH1313" s="249"/>
      <c r="AI1313" s="222"/>
      <c r="AJ1313" s="222"/>
      <c r="AK1313" s="222"/>
      <c r="AL1313" s="222"/>
      <c r="AM1313" s="222"/>
      <c r="AN1313" s="222"/>
      <c r="AO1313" s="222"/>
      <c r="BY1313" s="223"/>
      <c r="EG1313" s="235"/>
    </row>
    <row r="1314" spans="2:182" s="154" customFormat="1" ht="33.75" customHeight="1" x14ac:dyDescent="0.25">
      <c r="B1314" s="322" t="s">
        <v>1662</v>
      </c>
      <c r="C1314" s="323"/>
      <c r="D1314" s="217" t="s">
        <v>890</v>
      </c>
      <c r="E1314" s="217" t="s">
        <v>890</v>
      </c>
      <c r="F1314" s="220" t="s">
        <v>890</v>
      </c>
      <c r="G1314" s="217" t="s">
        <v>890</v>
      </c>
      <c r="H1314" s="217" t="s">
        <v>890</v>
      </c>
      <c r="I1314" s="218">
        <f>I1315+I1319+I1317</f>
        <v>3182.5</v>
      </c>
      <c r="J1314" s="218">
        <f>J1315+J1319+J1317</f>
        <v>2963.5</v>
      </c>
      <c r="K1314" s="218">
        <f>K1315+K1319+K1317</f>
        <v>2844.3</v>
      </c>
      <c r="L1314" s="231">
        <f>L1315+L1319+L1317</f>
        <v>134</v>
      </c>
      <c r="M1314" s="217" t="s">
        <v>890</v>
      </c>
      <c r="N1314" s="217" t="s">
        <v>890</v>
      </c>
      <c r="O1314" s="248" t="s">
        <v>890</v>
      </c>
      <c r="P1314" s="218">
        <f>P1315+P1319+P1317</f>
        <v>7034201.7300000004</v>
      </c>
      <c r="Q1314" s="218">
        <f>Q1315+Q1319+Q1317</f>
        <v>4599545.3899999997</v>
      </c>
      <c r="R1314" s="218">
        <f>R1315+R1319+R1317</f>
        <v>1178018</v>
      </c>
      <c r="S1314" s="218">
        <f>S1315+S1319+S1317</f>
        <v>1256638.3399999999</v>
      </c>
      <c r="T1314" s="190">
        <f t="shared" ref="T1314:T1320" si="171">P1314/I1314</f>
        <v>2210.2754846818539</v>
      </c>
      <c r="U1314" s="190">
        <f>MAX(U1315:U1320)</f>
        <v>6302.3826895393468</v>
      </c>
      <c r="X1314" s="249"/>
      <c r="Y1314" s="249"/>
      <c r="Z1314" s="249"/>
      <c r="AA1314" s="249"/>
      <c r="AB1314" s="249"/>
      <c r="AC1314" s="250"/>
      <c r="AD1314" s="249"/>
      <c r="AE1314" s="249"/>
      <c r="AF1314" s="249"/>
      <c r="AG1314" s="249"/>
      <c r="AH1314" s="249"/>
      <c r="AI1314" s="222"/>
      <c r="AJ1314" s="222"/>
      <c r="AK1314" s="222"/>
      <c r="AL1314" s="222"/>
      <c r="AM1314" s="222"/>
      <c r="AN1314" s="222"/>
      <c r="AO1314" s="222"/>
      <c r="BY1314" s="223"/>
      <c r="EG1314" s="235"/>
    </row>
    <row r="1315" spans="2:182" s="154" customFormat="1" ht="33.75" customHeight="1" x14ac:dyDescent="0.25">
      <c r="B1315" s="215" t="s">
        <v>862</v>
      </c>
      <c r="C1315" s="232"/>
      <c r="D1315" s="217" t="s">
        <v>890</v>
      </c>
      <c r="E1315" s="217" t="s">
        <v>890</v>
      </c>
      <c r="F1315" s="220" t="s">
        <v>890</v>
      </c>
      <c r="G1315" s="217" t="s">
        <v>890</v>
      </c>
      <c r="H1315" s="217" t="s">
        <v>890</v>
      </c>
      <c r="I1315" s="218">
        <f>SUM(I1316:I1316)</f>
        <v>522.9</v>
      </c>
      <c r="J1315" s="218">
        <f>SUM(J1316:J1316)</f>
        <v>463.3</v>
      </c>
      <c r="K1315" s="218">
        <f>SUM(K1316:K1316)</f>
        <v>463.3</v>
      </c>
      <c r="L1315" s="231">
        <f>SUM(L1316:L1316)</f>
        <v>31</v>
      </c>
      <c r="M1315" s="217" t="s">
        <v>890</v>
      </c>
      <c r="N1315" s="217" t="s">
        <v>890</v>
      </c>
      <c r="O1315" s="248" t="s">
        <v>890</v>
      </c>
      <c r="P1315" s="218">
        <f>SUM(P1316:P1316)</f>
        <v>1836114.4000000001</v>
      </c>
      <c r="Q1315" s="218">
        <f>SUM(Q1316:Q1316)</f>
        <v>1280871.46</v>
      </c>
      <c r="R1315" s="218">
        <f>SUM(R1316:R1316)</f>
        <v>337986.60000000003</v>
      </c>
      <c r="S1315" s="218">
        <f>SUM(S1316:S1316)</f>
        <v>217256.34</v>
      </c>
      <c r="T1315" s="190">
        <f t="shared" si="171"/>
        <v>3511.4063874545805</v>
      </c>
      <c r="U1315" s="190">
        <f>U1316</f>
        <v>5650.2118951998473</v>
      </c>
      <c r="X1315" s="249"/>
      <c r="Y1315" s="249"/>
      <c r="Z1315" s="249"/>
      <c r="AA1315" s="249"/>
      <c r="AB1315" s="249"/>
      <c r="AC1315" s="250"/>
      <c r="AD1315" s="249"/>
      <c r="AE1315" s="249"/>
      <c r="AF1315" s="249"/>
      <c r="AG1315" s="249"/>
      <c r="AH1315" s="249"/>
      <c r="AI1315" s="222"/>
      <c r="AJ1315" s="222"/>
      <c r="AK1315" s="222"/>
      <c r="AL1315" s="222"/>
      <c r="AM1315" s="222"/>
      <c r="AN1315" s="222"/>
      <c r="AO1315" s="222"/>
      <c r="BY1315" s="223"/>
      <c r="DH1315" s="234"/>
      <c r="DI1315" s="234"/>
      <c r="DJ1315" s="234"/>
      <c r="EG1315" s="235"/>
      <c r="FJ1315" s="236"/>
      <c r="FZ1315" s="237"/>
    </row>
    <row r="1316" spans="2:182" s="154" customFormat="1" ht="33.75" customHeight="1" x14ac:dyDescent="0.25">
      <c r="B1316" s="225">
        <v>1</v>
      </c>
      <c r="C1316" s="232" t="s">
        <v>1661</v>
      </c>
      <c r="D1316" s="217">
        <v>1964</v>
      </c>
      <c r="E1316" s="217"/>
      <c r="F1316" s="220" t="s">
        <v>267</v>
      </c>
      <c r="G1316" s="217">
        <v>2</v>
      </c>
      <c r="H1316" s="217">
        <v>2</v>
      </c>
      <c r="I1316" s="218">
        <v>522.9</v>
      </c>
      <c r="J1316" s="218">
        <v>463.3</v>
      </c>
      <c r="K1316" s="218">
        <v>463.3</v>
      </c>
      <c r="L1316" s="231">
        <v>31</v>
      </c>
      <c r="M1316" s="217" t="s">
        <v>265</v>
      </c>
      <c r="N1316" s="217" t="s">
        <v>269</v>
      </c>
      <c r="O1316" s="217" t="s">
        <v>332</v>
      </c>
      <c r="P1316" s="218">
        <v>1836114.4000000001</v>
      </c>
      <c r="Q1316" s="218">
        <v>1280871.46</v>
      </c>
      <c r="R1316" s="218">
        <v>337986.60000000003</v>
      </c>
      <c r="S1316" s="218">
        <v>217256.34</v>
      </c>
      <c r="T1316" s="190">
        <f t="shared" si="171"/>
        <v>3511.4063874545805</v>
      </c>
      <c r="U1316" s="190">
        <v>5650.2118951998473</v>
      </c>
      <c r="V1316" s="221">
        <f>W1316-T1316</f>
        <v>1905.4326639892911</v>
      </c>
      <c r="W1316" s="221">
        <f>X1316+Y1316+Z1316+AA1316+AB1316+AD1316+AF1316+AH1316+AJ1316+AL1316+AN1316+AO1316</f>
        <v>5416.8390514438715</v>
      </c>
      <c r="X1316" s="251">
        <v>0</v>
      </c>
      <c r="Y1316" s="218">
        <v>0</v>
      </c>
      <c r="Z1316" s="218">
        <v>0</v>
      </c>
      <c r="AA1316" s="218">
        <v>0</v>
      </c>
      <c r="AB1316" s="218">
        <v>0</v>
      </c>
      <c r="AC1316" s="250">
        <v>0</v>
      </c>
      <c r="AD1316" s="218">
        <v>0</v>
      </c>
      <c r="AE1316" s="218">
        <v>454</v>
      </c>
      <c r="AF1316" s="221">
        <f>6238.91*AE1316/I1316</f>
        <v>5416.8390514438715</v>
      </c>
      <c r="AG1316" s="218">
        <v>0</v>
      </c>
      <c r="AH1316" s="218">
        <v>0</v>
      </c>
      <c r="AI1316" s="222"/>
      <c r="AJ1316" s="221">
        <f>7439.1*AI1316/I1316</f>
        <v>0</v>
      </c>
      <c r="AK1316" s="222"/>
      <c r="AL1316" s="221">
        <f>76773.02*AK1316/I1316</f>
        <v>0</v>
      </c>
      <c r="AM1316" s="222"/>
      <c r="AN1316" s="222"/>
      <c r="AO1316" s="222"/>
      <c r="DH1316" s="234"/>
      <c r="DI1316" s="234"/>
      <c r="DJ1316" s="234"/>
      <c r="EG1316" s="235"/>
      <c r="FJ1316" s="236"/>
      <c r="FZ1316" s="237"/>
    </row>
    <row r="1317" spans="2:182" s="154" customFormat="1" ht="33.75" customHeight="1" x14ac:dyDescent="0.25">
      <c r="B1317" s="215" t="s">
        <v>815</v>
      </c>
      <c r="C1317" s="232"/>
      <c r="D1317" s="217" t="s">
        <v>890</v>
      </c>
      <c r="E1317" s="217" t="s">
        <v>890</v>
      </c>
      <c r="F1317" s="220" t="s">
        <v>890</v>
      </c>
      <c r="G1317" s="217" t="s">
        <v>890</v>
      </c>
      <c r="H1317" s="217" t="s">
        <v>890</v>
      </c>
      <c r="I1317" s="218">
        <f>SUM(I1318:I1318)</f>
        <v>1826</v>
      </c>
      <c r="J1317" s="218">
        <f>SUM(J1318:J1318)</f>
        <v>1718</v>
      </c>
      <c r="K1317" s="218">
        <f>SUM(K1318:K1318)</f>
        <v>1598.8</v>
      </c>
      <c r="L1317" s="231">
        <f>SUM(L1318:L1318)</f>
        <v>73</v>
      </c>
      <c r="M1317" s="217" t="s">
        <v>890</v>
      </c>
      <c r="N1317" s="217" t="s">
        <v>890</v>
      </c>
      <c r="O1317" s="248" t="s">
        <v>890</v>
      </c>
      <c r="P1317" s="218">
        <f>SUM(P1318:P1318)</f>
        <v>2643881</v>
      </c>
      <c r="Q1317" s="218">
        <f>SUM(Q1318:Q1318)</f>
        <v>1592309.05</v>
      </c>
      <c r="R1317" s="218">
        <f>SUM(R1318:R1318)</f>
        <v>407533.88</v>
      </c>
      <c r="S1317" s="218">
        <f>SUM(S1318:S1318)</f>
        <v>644038.06999999995</v>
      </c>
      <c r="T1317" s="190">
        <f t="shared" si="171"/>
        <v>1447.9085432639649</v>
      </c>
      <c r="U1317" s="190">
        <f>U1318</f>
        <v>2566.015334063527</v>
      </c>
      <c r="X1317" s="249"/>
      <c r="Y1317" s="249"/>
      <c r="Z1317" s="249"/>
      <c r="AA1317" s="249"/>
      <c r="AB1317" s="249"/>
      <c r="AC1317" s="250"/>
      <c r="AD1317" s="249"/>
      <c r="AE1317" s="249"/>
      <c r="AF1317" s="249"/>
      <c r="AG1317" s="249"/>
      <c r="AH1317" s="249"/>
      <c r="AI1317" s="222"/>
      <c r="AJ1317" s="222"/>
      <c r="AK1317" s="222"/>
      <c r="AL1317" s="222"/>
      <c r="AM1317" s="222"/>
      <c r="AN1317" s="222"/>
      <c r="AO1317" s="222"/>
      <c r="BY1317" s="223"/>
      <c r="DH1317" s="234"/>
      <c r="DI1317" s="234"/>
      <c r="DJ1317" s="234"/>
      <c r="EG1317" s="235"/>
      <c r="FJ1317" s="236"/>
      <c r="FZ1317" s="237"/>
    </row>
    <row r="1318" spans="2:182" s="154" customFormat="1" ht="33.75" customHeight="1" x14ac:dyDescent="0.25">
      <c r="B1318" s="225">
        <v>2</v>
      </c>
      <c r="C1318" s="232" t="s">
        <v>1686</v>
      </c>
      <c r="D1318" s="217">
        <v>1975</v>
      </c>
      <c r="E1318" s="217"/>
      <c r="F1318" s="220" t="s">
        <v>267</v>
      </c>
      <c r="G1318" s="217">
        <v>4</v>
      </c>
      <c r="H1318" s="217">
        <v>2</v>
      </c>
      <c r="I1318" s="218">
        <v>1826</v>
      </c>
      <c r="J1318" s="218">
        <v>1718</v>
      </c>
      <c r="K1318" s="218">
        <v>1598.8</v>
      </c>
      <c r="L1318" s="231">
        <v>73</v>
      </c>
      <c r="M1318" s="217" t="s">
        <v>265</v>
      </c>
      <c r="N1318" s="217" t="s">
        <v>341</v>
      </c>
      <c r="O1318" s="217" t="s">
        <v>1687</v>
      </c>
      <c r="P1318" s="218">
        <v>2643881</v>
      </c>
      <c r="Q1318" s="218">
        <v>1592309.05</v>
      </c>
      <c r="R1318" s="218">
        <v>407533.88</v>
      </c>
      <c r="S1318" s="218">
        <v>644038.06999999995</v>
      </c>
      <c r="T1318" s="190">
        <f t="shared" si="171"/>
        <v>1447.9085432639649</v>
      </c>
      <c r="U1318" s="190">
        <v>2566.015334063527</v>
      </c>
      <c r="V1318" s="221">
        <f>W1318-T1318</f>
        <v>1012.121686746988</v>
      </c>
      <c r="W1318" s="221">
        <f>X1318+Y1318+Z1318+AA1318+AB1318+AD1318+AF1318+AH1318+AJ1318+AL1318+AN1318+AO1318</f>
        <v>2460.0302300109529</v>
      </c>
      <c r="X1318" s="251">
        <v>0</v>
      </c>
      <c r="Y1318" s="218">
        <v>0</v>
      </c>
      <c r="Z1318" s="218">
        <v>0</v>
      </c>
      <c r="AA1318" s="218">
        <v>0</v>
      </c>
      <c r="AB1318" s="218">
        <v>0</v>
      </c>
      <c r="AC1318" s="250">
        <v>0</v>
      </c>
      <c r="AD1318" s="218">
        <v>0</v>
      </c>
      <c r="AE1318" s="218">
        <v>720</v>
      </c>
      <c r="AF1318" s="221">
        <f>6238.91*AE1318/I1318</f>
        <v>2460.0302300109529</v>
      </c>
      <c r="AG1318" s="218">
        <v>0</v>
      </c>
      <c r="AH1318" s="218">
        <v>0</v>
      </c>
      <c r="AI1318" s="222"/>
      <c r="AJ1318" s="221">
        <f>7439.1*AI1318/I1318</f>
        <v>0</v>
      </c>
      <c r="AK1318" s="222"/>
      <c r="AL1318" s="221">
        <f>76773.02*AK1318/I1318</f>
        <v>0</v>
      </c>
      <c r="AM1318" s="222"/>
      <c r="AN1318" s="222"/>
      <c r="AO1318" s="222"/>
      <c r="DH1318" s="234"/>
      <c r="DI1318" s="234"/>
      <c r="DJ1318" s="234"/>
      <c r="EG1318" s="235"/>
      <c r="FJ1318" s="236"/>
      <c r="FZ1318" s="237"/>
    </row>
    <row r="1319" spans="2:182" s="154" customFormat="1" ht="33.75" customHeight="1" x14ac:dyDescent="0.25">
      <c r="B1319" s="215" t="s">
        <v>886</v>
      </c>
      <c r="C1319" s="232"/>
      <c r="D1319" s="217" t="s">
        <v>890</v>
      </c>
      <c r="E1319" s="217" t="s">
        <v>890</v>
      </c>
      <c r="F1319" s="220" t="s">
        <v>890</v>
      </c>
      <c r="G1319" s="217" t="s">
        <v>890</v>
      </c>
      <c r="H1319" s="217" t="s">
        <v>890</v>
      </c>
      <c r="I1319" s="218">
        <f>SUM(I1320:I1320)</f>
        <v>833.6</v>
      </c>
      <c r="J1319" s="218">
        <f>SUM(J1320:J1320)</f>
        <v>782.2</v>
      </c>
      <c r="K1319" s="218">
        <f>SUM(K1320:K1320)</f>
        <v>782.2</v>
      </c>
      <c r="L1319" s="231">
        <f>SUM(L1320:L1320)</f>
        <v>30</v>
      </c>
      <c r="M1319" s="217" t="s">
        <v>890</v>
      </c>
      <c r="N1319" s="217" t="s">
        <v>890</v>
      </c>
      <c r="O1319" s="248" t="s">
        <v>890</v>
      </c>
      <c r="P1319" s="218">
        <f>SUM(P1320:P1320)</f>
        <v>2554206.33</v>
      </c>
      <c r="Q1319" s="218">
        <f>SUM(Q1320:Q1320)</f>
        <v>1726364.88</v>
      </c>
      <c r="R1319" s="218">
        <f>SUM(R1320:R1320)</f>
        <v>432497.52</v>
      </c>
      <c r="S1319" s="218">
        <f>SUM(S1320:S1320)</f>
        <v>395343.93</v>
      </c>
      <c r="T1319" s="190">
        <f t="shared" si="171"/>
        <v>3064.0670945297506</v>
      </c>
      <c r="U1319" s="190">
        <f>U1320</f>
        <v>6302.3826895393468</v>
      </c>
      <c r="X1319" s="249"/>
      <c r="Y1319" s="249"/>
      <c r="Z1319" s="249"/>
      <c r="AA1319" s="249"/>
      <c r="AB1319" s="249"/>
      <c r="AC1319" s="250"/>
      <c r="AD1319" s="249"/>
      <c r="AE1319" s="249"/>
      <c r="AF1319" s="249"/>
      <c r="AG1319" s="249"/>
      <c r="AH1319" s="249"/>
      <c r="AI1319" s="222"/>
      <c r="AJ1319" s="222"/>
      <c r="AK1319" s="222"/>
      <c r="AL1319" s="222"/>
      <c r="AM1319" s="222"/>
      <c r="AN1319" s="222"/>
      <c r="AO1319" s="222"/>
      <c r="BY1319" s="223"/>
      <c r="DH1319" s="234"/>
      <c r="DI1319" s="234"/>
      <c r="DJ1319" s="234"/>
      <c r="EG1319" s="235"/>
      <c r="FJ1319" s="236"/>
      <c r="FZ1319" s="237"/>
    </row>
    <row r="1320" spans="2:182" s="154" customFormat="1" ht="33.75" customHeight="1" x14ac:dyDescent="0.25">
      <c r="B1320" s="225">
        <v>3</v>
      </c>
      <c r="C1320" s="232" t="s">
        <v>3</v>
      </c>
      <c r="D1320" s="217">
        <v>1988</v>
      </c>
      <c r="E1320" s="217"/>
      <c r="F1320" s="220" t="s">
        <v>267</v>
      </c>
      <c r="G1320" s="217">
        <v>2</v>
      </c>
      <c r="H1320" s="217">
        <v>3</v>
      </c>
      <c r="I1320" s="218">
        <v>833.6</v>
      </c>
      <c r="J1320" s="218">
        <v>782.2</v>
      </c>
      <c r="K1320" s="218">
        <v>782.2</v>
      </c>
      <c r="L1320" s="231">
        <v>30</v>
      </c>
      <c r="M1320" s="217" t="s">
        <v>265</v>
      </c>
      <c r="N1320" s="217" t="s">
        <v>266</v>
      </c>
      <c r="O1320" s="217" t="s">
        <v>268</v>
      </c>
      <c r="P1320" s="218">
        <f>Q1320+R1320+S1320</f>
        <v>2554206.33</v>
      </c>
      <c r="Q1320" s="218">
        <v>1726364.88</v>
      </c>
      <c r="R1320" s="218">
        <v>432497.52</v>
      </c>
      <c r="S1320" s="218">
        <v>395343.93</v>
      </c>
      <c r="T1320" s="190">
        <f t="shared" si="171"/>
        <v>3064.0670945297506</v>
      </c>
      <c r="U1320" s="190">
        <v>6302.3826895393468</v>
      </c>
      <c r="V1320" s="221">
        <f>W1320-T1320</f>
        <v>3104.4905134357004</v>
      </c>
      <c r="W1320" s="221">
        <f>X1320+Y1320+Z1320+AA1320+AB1320+AD1320+AF1320+AH1320+AJ1320+AL1320+AN1320+AO1320</f>
        <v>6168.5576079654511</v>
      </c>
      <c r="X1320" s="251">
        <v>0</v>
      </c>
      <c r="Y1320" s="218">
        <v>0</v>
      </c>
      <c r="Z1320" s="218">
        <v>0</v>
      </c>
      <c r="AA1320" s="218">
        <v>0</v>
      </c>
      <c r="AB1320" s="218">
        <v>0</v>
      </c>
      <c r="AC1320" s="250">
        <v>0</v>
      </c>
      <c r="AD1320" s="218">
        <v>0</v>
      </c>
      <c r="AE1320" s="218">
        <v>824.2</v>
      </c>
      <c r="AF1320" s="221">
        <f>6238.91*AE1320/I1320</f>
        <v>6168.5576079654511</v>
      </c>
      <c r="AG1320" s="218">
        <v>0</v>
      </c>
      <c r="AH1320" s="218">
        <v>0</v>
      </c>
      <c r="AI1320" s="222"/>
      <c r="AJ1320" s="221">
        <f>7439.1*AI1320/I1320</f>
        <v>0</v>
      </c>
      <c r="AK1320" s="222"/>
      <c r="AL1320" s="221">
        <f>76773.02*AK1320/I1320</f>
        <v>0</v>
      </c>
      <c r="AM1320" s="222"/>
      <c r="AN1320" s="222"/>
      <c r="AO1320" s="222"/>
      <c r="DH1320" s="234"/>
      <c r="DI1320" s="234"/>
      <c r="DJ1320" s="234"/>
      <c r="EG1320" s="235"/>
      <c r="FJ1320" s="236"/>
      <c r="FZ1320" s="237"/>
    </row>
    <row r="1321" spans="2:182" s="154" customFormat="1" ht="33.75" customHeight="1" x14ac:dyDescent="0.25">
      <c r="B1321" s="322" t="s">
        <v>1940</v>
      </c>
      <c r="C1321" s="323"/>
      <c r="D1321" s="217" t="s">
        <v>890</v>
      </c>
      <c r="E1321" s="217" t="s">
        <v>890</v>
      </c>
      <c r="F1321" s="220" t="s">
        <v>890</v>
      </c>
      <c r="G1321" s="217" t="s">
        <v>890</v>
      </c>
      <c r="H1321" s="217" t="s">
        <v>890</v>
      </c>
      <c r="I1321" s="218">
        <f>I1322+I1324</f>
        <v>1778</v>
      </c>
      <c r="J1321" s="218">
        <f t="shared" ref="J1321:L1321" si="172">J1322+J1324</f>
        <v>1634.5</v>
      </c>
      <c r="K1321" s="218">
        <f t="shared" si="172"/>
        <v>1634.5</v>
      </c>
      <c r="L1321" s="231">
        <f t="shared" si="172"/>
        <v>72</v>
      </c>
      <c r="M1321" s="217" t="s">
        <v>890</v>
      </c>
      <c r="N1321" s="217" t="s">
        <v>890</v>
      </c>
      <c r="O1321" s="248" t="s">
        <v>890</v>
      </c>
      <c r="P1321" s="218">
        <f t="shared" ref="P1321:S1321" si="173">P1322+P1324</f>
        <v>6529808</v>
      </c>
      <c r="Q1321" s="218">
        <f t="shared" si="173"/>
        <v>4603908.18</v>
      </c>
      <c r="R1321" s="218">
        <f t="shared" si="173"/>
        <v>1158867.83</v>
      </c>
      <c r="S1321" s="218">
        <f t="shared" si="173"/>
        <v>767031.99</v>
      </c>
      <c r="T1321" s="190">
        <f t="shared" ref="T1321:T1323" si="174">P1321/I1321</f>
        <v>3672.5579302587175</v>
      </c>
      <c r="U1321" s="190">
        <f>MAX(U1322:U1325)</f>
        <v>5935.33</v>
      </c>
      <c r="X1321" s="249"/>
      <c r="Y1321" s="249"/>
      <c r="Z1321" s="249"/>
      <c r="AA1321" s="249"/>
      <c r="AB1321" s="249"/>
      <c r="AC1321" s="250"/>
      <c r="AD1321" s="249"/>
      <c r="AE1321" s="249"/>
      <c r="AF1321" s="249"/>
      <c r="AG1321" s="249"/>
      <c r="AH1321" s="249"/>
      <c r="AI1321" s="222"/>
      <c r="AJ1321" s="222"/>
      <c r="AK1321" s="222"/>
      <c r="AL1321" s="222"/>
      <c r="AM1321" s="222"/>
      <c r="AN1321" s="222"/>
      <c r="AO1321" s="222"/>
      <c r="BY1321" s="223"/>
      <c r="EG1321" s="235"/>
    </row>
    <row r="1322" spans="2:182" s="154" customFormat="1" ht="33.75" customHeight="1" x14ac:dyDescent="0.25">
      <c r="B1322" s="215" t="s">
        <v>1406</v>
      </c>
      <c r="C1322" s="232"/>
      <c r="D1322" s="217" t="s">
        <v>890</v>
      </c>
      <c r="E1322" s="217" t="s">
        <v>890</v>
      </c>
      <c r="F1322" s="220" t="s">
        <v>890</v>
      </c>
      <c r="G1322" s="217" t="s">
        <v>890</v>
      </c>
      <c r="H1322" s="217" t="s">
        <v>890</v>
      </c>
      <c r="I1322" s="218">
        <f>SUM(I1323:I1323)</f>
        <v>833.7</v>
      </c>
      <c r="J1322" s="218">
        <f>SUM(J1323:J1323)</f>
        <v>771.9</v>
      </c>
      <c r="K1322" s="218">
        <f>SUM(K1323:K1323)</f>
        <v>771.9</v>
      </c>
      <c r="L1322" s="231">
        <f>SUM(L1323:L1323)</f>
        <v>33</v>
      </c>
      <c r="M1322" s="217" t="s">
        <v>890</v>
      </c>
      <c r="N1322" s="217" t="s">
        <v>890</v>
      </c>
      <c r="O1322" s="248" t="s">
        <v>890</v>
      </c>
      <c r="P1322" s="218">
        <f>SUM(P1323:P1323)</f>
        <v>2859178</v>
      </c>
      <c r="Q1322" s="218">
        <f>SUM(Q1323:Q1323)</f>
        <v>2027471.29</v>
      </c>
      <c r="R1322" s="218">
        <f>SUM(R1323:R1323)</f>
        <v>506867.83</v>
      </c>
      <c r="S1322" s="218">
        <f>SUM(S1323:S1323)</f>
        <v>324838.88</v>
      </c>
      <c r="T1322" s="190">
        <f t="shared" si="174"/>
        <v>3429.504617968094</v>
      </c>
      <c r="U1322" s="190">
        <f>U1323</f>
        <v>4754.906387189636</v>
      </c>
      <c r="X1322" s="249"/>
      <c r="Y1322" s="249"/>
      <c r="Z1322" s="249"/>
      <c r="AA1322" s="249"/>
      <c r="AB1322" s="249"/>
      <c r="AC1322" s="250"/>
      <c r="AD1322" s="249"/>
      <c r="AE1322" s="249"/>
      <c r="AF1322" s="249"/>
      <c r="AG1322" s="249"/>
      <c r="AH1322" s="249"/>
      <c r="AI1322" s="222"/>
      <c r="AJ1322" s="222"/>
      <c r="AK1322" s="222"/>
      <c r="AL1322" s="222"/>
      <c r="AM1322" s="222"/>
      <c r="AN1322" s="222"/>
      <c r="AO1322" s="222"/>
      <c r="BY1322" s="223"/>
      <c r="DH1322" s="234"/>
      <c r="DI1322" s="234"/>
      <c r="DJ1322" s="234"/>
      <c r="EG1322" s="235"/>
      <c r="FJ1322" s="236"/>
      <c r="FZ1322" s="237"/>
    </row>
    <row r="1323" spans="2:182" s="154" customFormat="1" ht="33.75" customHeight="1" x14ac:dyDescent="0.25">
      <c r="B1323" s="225">
        <v>1</v>
      </c>
      <c r="C1323" s="232" t="s">
        <v>2445</v>
      </c>
      <c r="D1323" s="217">
        <v>1969</v>
      </c>
      <c r="E1323" s="217"/>
      <c r="F1323" s="220" t="s">
        <v>267</v>
      </c>
      <c r="G1323" s="217">
        <v>2</v>
      </c>
      <c r="H1323" s="217">
        <v>2</v>
      </c>
      <c r="I1323" s="218">
        <v>833.7</v>
      </c>
      <c r="J1323" s="218">
        <v>771.9</v>
      </c>
      <c r="K1323" s="218">
        <v>771.9</v>
      </c>
      <c r="L1323" s="231">
        <v>33</v>
      </c>
      <c r="M1323" s="217" t="s">
        <v>265</v>
      </c>
      <c r="N1323" s="217" t="s">
        <v>269</v>
      </c>
      <c r="O1323" s="217" t="s">
        <v>1901</v>
      </c>
      <c r="P1323" s="218">
        <f>SUM(Q1323:S1323)</f>
        <v>2859178</v>
      </c>
      <c r="Q1323" s="218">
        <v>2027471.29</v>
      </c>
      <c r="R1323" s="218">
        <v>506867.83</v>
      </c>
      <c r="S1323" s="218">
        <v>324838.88</v>
      </c>
      <c r="T1323" s="190">
        <f t="shared" si="174"/>
        <v>3429.504617968094</v>
      </c>
      <c r="U1323" s="190">
        <v>4754.906387189636</v>
      </c>
      <c r="V1323" s="221">
        <f>W1323-T1323</f>
        <v>-32.041333813122037</v>
      </c>
      <c r="W1323" s="221">
        <f>X1323+Y1323+Z1323+AA1323+AB1323+AD1323+AF1323+AH1323+AJ1323+AL1323+AN1323+AO1323</f>
        <v>3397.4632841549719</v>
      </c>
      <c r="X1323" s="251">
        <v>0</v>
      </c>
      <c r="Y1323" s="218">
        <v>0</v>
      </c>
      <c r="Z1323" s="218">
        <v>0</v>
      </c>
      <c r="AA1323" s="218">
        <v>0</v>
      </c>
      <c r="AB1323" s="218">
        <v>0</v>
      </c>
      <c r="AC1323" s="250">
        <v>0</v>
      </c>
      <c r="AD1323" s="218">
        <v>0</v>
      </c>
      <c r="AE1323" s="218">
        <v>454</v>
      </c>
      <c r="AF1323" s="221">
        <f>6238.91*AE1323/I1323</f>
        <v>3397.4632841549719</v>
      </c>
      <c r="AG1323" s="218">
        <v>0</v>
      </c>
      <c r="AH1323" s="218">
        <v>0</v>
      </c>
      <c r="AI1323" s="222"/>
      <c r="AJ1323" s="221">
        <f>7439.1*AI1323/I1323</f>
        <v>0</v>
      </c>
      <c r="AK1323" s="222"/>
      <c r="AL1323" s="221">
        <f>76773.02*AK1323/I1323</f>
        <v>0</v>
      </c>
      <c r="AM1323" s="222"/>
      <c r="AN1323" s="222"/>
      <c r="AO1323" s="222"/>
      <c r="DH1323" s="234"/>
      <c r="DI1323" s="234"/>
      <c r="DJ1323" s="234"/>
      <c r="EG1323" s="235"/>
      <c r="FJ1323" s="236"/>
      <c r="FZ1323" s="237"/>
    </row>
    <row r="1324" spans="2:182" s="154" customFormat="1" ht="33.75" customHeight="1" x14ac:dyDescent="0.25">
      <c r="B1324" s="215" t="s">
        <v>847</v>
      </c>
      <c r="C1324" s="232"/>
      <c r="D1324" s="217" t="s">
        <v>890</v>
      </c>
      <c r="E1324" s="217" t="s">
        <v>890</v>
      </c>
      <c r="F1324" s="220" t="s">
        <v>890</v>
      </c>
      <c r="G1324" s="217" t="s">
        <v>890</v>
      </c>
      <c r="H1324" s="217" t="s">
        <v>890</v>
      </c>
      <c r="I1324" s="218">
        <f>SUM(I1325:I1325)</f>
        <v>944.3</v>
      </c>
      <c r="J1324" s="218">
        <f>SUM(J1325:J1325)</f>
        <v>862.6</v>
      </c>
      <c r="K1324" s="218">
        <f>SUM(K1325:K1325)</f>
        <v>862.6</v>
      </c>
      <c r="L1324" s="231">
        <f>SUM(L1325:L1325)</f>
        <v>39</v>
      </c>
      <c r="M1324" s="217" t="s">
        <v>890</v>
      </c>
      <c r="N1324" s="217" t="s">
        <v>890</v>
      </c>
      <c r="O1324" s="248" t="s">
        <v>890</v>
      </c>
      <c r="P1324" s="218">
        <f>SUM(P1325:P1325)</f>
        <v>3670630</v>
      </c>
      <c r="Q1324" s="218">
        <f>SUM(Q1325:Q1325)</f>
        <v>2576436.89</v>
      </c>
      <c r="R1324" s="218">
        <f>SUM(R1325:R1325)</f>
        <v>652000</v>
      </c>
      <c r="S1324" s="218">
        <f>SUM(S1325:S1325)</f>
        <v>442193.11</v>
      </c>
      <c r="T1324" s="190">
        <f t="shared" ref="T1324:T1325" si="175">P1324/I1324</f>
        <v>3887.1439161283492</v>
      </c>
      <c r="U1324" s="190">
        <f>U1325</f>
        <v>5935.33</v>
      </c>
      <c r="X1324" s="249"/>
      <c r="Y1324" s="249"/>
      <c r="Z1324" s="249"/>
      <c r="AA1324" s="249"/>
      <c r="AB1324" s="249"/>
      <c r="AC1324" s="250"/>
      <c r="AD1324" s="249"/>
      <c r="AE1324" s="249"/>
      <c r="AF1324" s="249"/>
      <c r="AG1324" s="249"/>
      <c r="AH1324" s="249"/>
      <c r="AI1324" s="222"/>
      <c r="AJ1324" s="222"/>
      <c r="AK1324" s="222"/>
      <c r="AL1324" s="222"/>
      <c r="AM1324" s="222"/>
      <c r="AN1324" s="222"/>
      <c r="AO1324" s="222"/>
      <c r="BY1324" s="223"/>
      <c r="DH1324" s="234"/>
      <c r="DI1324" s="234"/>
      <c r="DJ1324" s="234"/>
      <c r="EG1324" s="235"/>
      <c r="FJ1324" s="236"/>
      <c r="FZ1324" s="237"/>
    </row>
    <row r="1325" spans="2:182" s="154" customFormat="1" ht="33.75" customHeight="1" x14ac:dyDescent="0.25">
      <c r="B1325" s="225">
        <v>2</v>
      </c>
      <c r="C1325" s="232" t="s">
        <v>2450</v>
      </c>
      <c r="D1325" s="217">
        <v>1983</v>
      </c>
      <c r="E1325" s="217"/>
      <c r="F1325" s="220" t="s">
        <v>267</v>
      </c>
      <c r="G1325" s="217">
        <v>2</v>
      </c>
      <c r="H1325" s="217">
        <v>3</v>
      </c>
      <c r="I1325" s="218">
        <v>944.3</v>
      </c>
      <c r="J1325" s="218">
        <v>862.6</v>
      </c>
      <c r="K1325" s="218">
        <v>862.6</v>
      </c>
      <c r="L1325" s="231">
        <v>39</v>
      </c>
      <c r="M1325" s="217" t="s">
        <v>265</v>
      </c>
      <c r="N1325" s="217" t="s">
        <v>266</v>
      </c>
      <c r="O1325" s="217" t="s">
        <v>268</v>
      </c>
      <c r="P1325" s="218">
        <f>SUM(Q1325:S1325)</f>
        <v>3670630</v>
      </c>
      <c r="Q1325" s="218">
        <v>2576436.89</v>
      </c>
      <c r="R1325" s="218">
        <v>652000</v>
      </c>
      <c r="S1325" s="218">
        <v>442193.11</v>
      </c>
      <c r="T1325" s="190">
        <f t="shared" si="175"/>
        <v>3887.1439161283492</v>
      </c>
      <c r="U1325" s="190">
        <v>5935.33</v>
      </c>
      <c r="V1325" s="221">
        <f>W1325-T1325</f>
        <v>-887.60442655935594</v>
      </c>
      <c r="W1325" s="221">
        <f>X1325+Y1325+Z1325+AA1325+AB1325+AD1325+AF1325+AH1325+AJ1325+AL1325+AN1325+AO1325</f>
        <v>2999.5394895689933</v>
      </c>
      <c r="X1325" s="251">
        <v>0</v>
      </c>
      <c r="Y1325" s="218">
        <v>0</v>
      </c>
      <c r="Z1325" s="218">
        <v>0</v>
      </c>
      <c r="AA1325" s="218">
        <v>0</v>
      </c>
      <c r="AB1325" s="218">
        <v>0</v>
      </c>
      <c r="AC1325" s="250">
        <v>0</v>
      </c>
      <c r="AD1325" s="218">
        <v>0</v>
      </c>
      <c r="AE1325" s="218">
        <v>454</v>
      </c>
      <c r="AF1325" s="221">
        <f>6238.91*AE1325/I1325</f>
        <v>2999.5394895689933</v>
      </c>
      <c r="AG1325" s="218">
        <v>0</v>
      </c>
      <c r="AH1325" s="218">
        <v>0</v>
      </c>
      <c r="AI1325" s="222"/>
      <c r="AJ1325" s="221">
        <f>7439.1*AI1325/I1325</f>
        <v>0</v>
      </c>
      <c r="AK1325" s="222"/>
      <c r="AL1325" s="221">
        <f>76773.02*AK1325/I1325</f>
        <v>0</v>
      </c>
      <c r="AM1325" s="222"/>
      <c r="AN1325" s="222"/>
      <c r="AO1325" s="222"/>
      <c r="DH1325" s="234"/>
      <c r="DI1325" s="234"/>
      <c r="DJ1325" s="234"/>
      <c r="EG1325" s="235"/>
      <c r="FJ1325" s="236"/>
      <c r="FZ1325" s="237"/>
    </row>
    <row r="1326" spans="2:182" s="154" customFormat="1" ht="84" customHeight="1" x14ac:dyDescent="0.25">
      <c r="B1326" s="319" t="s">
        <v>1907</v>
      </c>
      <c r="C1326" s="320"/>
      <c r="D1326" s="320"/>
      <c r="E1326" s="320"/>
      <c r="F1326" s="320"/>
      <c r="G1326" s="320"/>
      <c r="H1326" s="320"/>
      <c r="I1326" s="320"/>
      <c r="J1326" s="320"/>
      <c r="K1326" s="320"/>
      <c r="L1326" s="320"/>
      <c r="M1326" s="320"/>
      <c r="N1326" s="320"/>
      <c r="O1326" s="320"/>
      <c r="P1326" s="320"/>
      <c r="Q1326" s="320"/>
      <c r="R1326" s="320"/>
      <c r="S1326" s="320"/>
      <c r="T1326" s="320"/>
      <c r="U1326" s="321"/>
      <c r="X1326" s="222"/>
      <c r="Y1326" s="222"/>
      <c r="Z1326" s="222"/>
      <c r="AA1326" s="222"/>
      <c r="AB1326" s="222"/>
      <c r="AC1326" s="222"/>
      <c r="AD1326" s="222"/>
      <c r="AE1326" s="222"/>
      <c r="AF1326" s="222"/>
      <c r="AG1326" s="222"/>
      <c r="AH1326" s="222"/>
      <c r="AI1326" s="222"/>
      <c r="AJ1326" s="222"/>
      <c r="AK1326" s="222"/>
      <c r="AL1326" s="222"/>
      <c r="AM1326" s="222"/>
      <c r="AN1326" s="222"/>
      <c r="AO1326" s="222"/>
      <c r="EG1326" s="235"/>
    </row>
    <row r="1327" spans="2:182" s="154" customFormat="1" ht="36" customHeight="1" x14ac:dyDescent="0.25">
      <c r="B1327" s="322" t="s">
        <v>1662</v>
      </c>
      <c r="C1327" s="323"/>
      <c r="D1327" s="217" t="s">
        <v>890</v>
      </c>
      <c r="E1327" s="217" t="s">
        <v>890</v>
      </c>
      <c r="F1327" s="220" t="s">
        <v>890</v>
      </c>
      <c r="G1327" s="217" t="s">
        <v>890</v>
      </c>
      <c r="H1327" s="217" t="s">
        <v>890</v>
      </c>
      <c r="I1327" s="218">
        <f>I1328+I1334+I1332</f>
        <v>9484.2999999999993</v>
      </c>
      <c r="J1327" s="218">
        <f>J1328+J1334+J1332</f>
        <v>7647.42</v>
      </c>
      <c r="K1327" s="218">
        <f>K1328+K1334+K1332</f>
        <v>7647.42</v>
      </c>
      <c r="L1327" s="231">
        <f>L1328+L1334+L1332</f>
        <v>424</v>
      </c>
      <c r="M1327" s="217" t="s">
        <v>890</v>
      </c>
      <c r="N1327" s="217" t="s">
        <v>890</v>
      </c>
      <c r="O1327" s="248" t="s">
        <v>890</v>
      </c>
      <c r="P1327" s="218">
        <f>P1328+P1334+P1332</f>
        <v>17442384.330000002</v>
      </c>
      <c r="Q1327" s="218">
        <f>Q1328+Q1334+Q1332</f>
        <v>0</v>
      </c>
      <c r="R1327" s="218">
        <f>R1328+R1334+R1332</f>
        <v>0</v>
      </c>
      <c r="S1327" s="218">
        <f>S1328+S1334+S1332</f>
        <v>17442384.330000002</v>
      </c>
      <c r="T1327" s="190">
        <f t="shared" ref="T1327:T1335" si="176">P1327/I1327</f>
        <v>1839.0797771053217</v>
      </c>
      <c r="U1327" s="190">
        <f>MAX(U1328:U1335)</f>
        <v>9119.3426665428706</v>
      </c>
      <c r="X1327" s="222"/>
      <c r="Y1327" s="222"/>
      <c r="Z1327" s="222"/>
      <c r="AA1327" s="222"/>
      <c r="AB1327" s="222"/>
      <c r="AC1327" s="222"/>
      <c r="AD1327" s="222"/>
      <c r="AE1327" s="222"/>
      <c r="AF1327" s="222"/>
      <c r="AG1327" s="222"/>
      <c r="AH1327" s="222"/>
      <c r="AI1327" s="222"/>
      <c r="AJ1327" s="222"/>
      <c r="AK1327" s="222"/>
      <c r="AL1327" s="222"/>
      <c r="AM1327" s="222"/>
      <c r="AN1327" s="222"/>
      <c r="AO1327" s="222"/>
      <c r="BY1327" s="223"/>
      <c r="EG1327" s="235"/>
    </row>
    <row r="1328" spans="2:182" s="154" customFormat="1" ht="36" customHeight="1" x14ac:dyDescent="0.25">
      <c r="B1328" s="215" t="s">
        <v>838</v>
      </c>
      <c r="C1328" s="232"/>
      <c r="D1328" s="217" t="s">
        <v>890</v>
      </c>
      <c r="E1328" s="217" t="s">
        <v>890</v>
      </c>
      <c r="F1328" s="220" t="s">
        <v>890</v>
      </c>
      <c r="G1328" s="217" t="s">
        <v>890</v>
      </c>
      <c r="H1328" s="217" t="s">
        <v>890</v>
      </c>
      <c r="I1328" s="218">
        <f>SUM(I1329:I1331)</f>
        <v>7491.9</v>
      </c>
      <c r="J1328" s="218">
        <f>SUM(J1329:J1331)</f>
        <v>6281</v>
      </c>
      <c r="K1328" s="218">
        <f>SUM(K1329:K1331)</f>
        <v>6281</v>
      </c>
      <c r="L1328" s="231">
        <f>SUM(L1329:L1331)</f>
        <v>356</v>
      </c>
      <c r="M1328" s="217" t="s">
        <v>890</v>
      </c>
      <c r="N1328" s="217" t="s">
        <v>890</v>
      </c>
      <c r="O1328" s="248" t="s">
        <v>890</v>
      </c>
      <c r="P1328" s="218">
        <f>SUM(P1329:P1331)</f>
        <v>13632983.67</v>
      </c>
      <c r="Q1328" s="218">
        <f>SUM(Q1329:Q1331)</f>
        <v>0</v>
      </c>
      <c r="R1328" s="218">
        <f>SUM(R1329:R1331)</f>
        <v>0</v>
      </c>
      <c r="S1328" s="218">
        <f>SUM(S1329:S1331)</f>
        <v>13632983.67</v>
      </c>
      <c r="T1328" s="190">
        <f t="shared" si="176"/>
        <v>1819.6964281423939</v>
      </c>
      <c r="U1328" s="190">
        <f>MAX(U1329:U1331)</f>
        <v>9119.3426665428706</v>
      </c>
      <c r="X1328" s="222"/>
      <c r="Y1328" s="222"/>
      <c r="Z1328" s="222"/>
      <c r="AA1328" s="222"/>
      <c r="AB1328" s="222"/>
      <c r="AC1328" s="222"/>
      <c r="AD1328" s="222"/>
      <c r="AE1328" s="222"/>
      <c r="AF1328" s="222"/>
      <c r="AG1328" s="222"/>
      <c r="AH1328" s="222"/>
      <c r="AI1328" s="222"/>
      <c r="AJ1328" s="222"/>
      <c r="AK1328" s="222"/>
      <c r="AL1328" s="222"/>
      <c r="AM1328" s="222"/>
      <c r="AN1328" s="222"/>
      <c r="AO1328" s="222"/>
      <c r="BY1328" s="223"/>
      <c r="DH1328" s="234"/>
      <c r="DI1328" s="234"/>
      <c r="DJ1328" s="234"/>
      <c r="EG1328" s="235"/>
      <c r="FJ1328" s="236"/>
      <c r="FZ1328" s="237"/>
    </row>
    <row r="1329" spans="2:182" s="154" customFormat="1" ht="36" customHeight="1" x14ac:dyDescent="0.25">
      <c r="B1329" s="225">
        <v>1</v>
      </c>
      <c r="C1329" s="232" t="s">
        <v>1873</v>
      </c>
      <c r="D1329" s="217">
        <v>2007</v>
      </c>
      <c r="E1329" s="217"/>
      <c r="F1329" s="220" t="s">
        <v>318</v>
      </c>
      <c r="G1329" s="217">
        <v>5</v>
      </c>
      <c r="H1329" s="217">
        <v>4</v>
      </c>
      <c r="I1329" s="218">
        <v>3049.5</v>
      </c>
      <c r="J1329" s="218">
        <v>3049.5</v>
      </c>
      <c r="K1329" s="218">
        <v>3049.5</v>
      </c>
      <c r="L1329" s="231">
        <v>195</v>
      </c>
      <c r="M1329" s="217" t="s">
        <v>265</v>
      </c>
      <c r="N1329" s="217" t="s">
        <v>341</v>
      </c>
      <c r="O1329" s="217" t="s">
        <v>1874</v>
      </c>
      <c r="P1329" s="218">
        <v>4228150.99</v>
      </c>
      <c r="Q1329" s="218">
        <v>0</v>
      </c>
      <c r="R1329" s="218">
        <v>0</v>
      </c>
      <c r="S1329" s="218">
        <f>P1329-Q1329-R1329</f>
        <v>4228150.99</v>
      </c>
      <c r="T1329" s="190">
        <f t="shared" si="176"/>
        <v>1386.5063092310215</v>
      </c>
      <c r="U1329" s="190">
        <v>2395.8024459747503</v>
      </c>
      <c r="V1329" s="221">
        <f>W1329-T1329</f>
        <v>910.34140013116894</v>
      </c>
      <c r="W1329" s="221">
        <f>X1329+Y1329+Z1329+AA1329+AB1329+AD1329+AF1329+AH1329+AJ1329+AL1329+AN1329+AO1329</f>
        <v>2296.8477093621905</v>
      </c>
      <c r="X1329" s="222">
        <v>0</v>
      </c>
      <c r="Y1329" s="222">
        <v>0</v>
      </c>
      <c r="Z1329" s="222">
        <v>0</v>
      </c>
      <c r="AA1329" s="222">
        <v>0</v>
      </c>
      <c r="AB1329" s="222">
        <v>0</v>
      </c>
      <c r="AC1329" s="222">
        <v>0</v>
      </c>
      <c r="AD1329" s="222">
        <v>0</v>
      </c>
      <c r="AE1329" s="222">
        <v>1122.67</v>
      </c>
      <c r="AF1329" s="221">
        <f>6238.91*AE1329/I1329</f>
        <v>2296.8477093621905</v>
      </c>
      <c r="AG1329" s="222">
        <v>0</v>
      </c>
      <c r="AH1329" s="221">
        <v>0</v>
      </c>
      <c r="AI1329" s="222"/>
      <c r="AJ1329" s="221"/>
      <c r="AK1329" s="222"/>
      <c r="AL1329" s="221">
        <f>76773.02*AK1329/I1329</f>
        <v>0</v>
      </c>
      <c r="AM1329" s="222"/>
      <c r="AN1329" s="222"/>
      <c r="AO1329" s="222"/>
      <c r="DH1329" s="234"/>
      <c r="DI1329" s="234"/>
      <c r="DJ1329" s="234"/>
      <c r="EG1329" s="235"/>
      <c r="FJ1329" s="236"/>
      <c r="FZ1329" s="237"/>
    </row>
    <row r="1330" spans="2:182" s="154" customFormat="1" ht="36" customHeight="1" x14ac:dyDescent="0.25">
      <c r="B1330" s="225">
        <v>2</v>
      </c>
      <c r="C1330" s="232" t="s">
        <v>1876</v>
      </c>
      <c r="D1330" s="217">
        <v>2008</v>
      </c>
      <c r="E1330" s="217"/>
      <c r="F1330" s="220" t="s">
        <v>318</v>
      </c>
      <c r="G1330" s="217">
        <v>5</v>
      </c>
      <c r="H1330" s="217">
        <v>3</v>
      </c>
      <c r="I1330" s="218">
        <v>2288.3000000000002</v>
      </c>
      <c r="J1330" s="218">
        <v>2288.3000000000002</v>
      </c>
      <c r="K1330" s="218">
        <v>2288.3000000000002</v>
      </c>
      <c r="L1330" s="231">
        <v>143</v>
      </c>
      <c r="M1330" s="217" t="s">
        <v>265</v>
      </c>
      <c r="N1330" s="217" t="s">
        <v>269</v>
      </c>
      <c r="O1330" s="217" t="s">
        <v>1878</v>
      </c>
      <c r="P1330" s="218">
        <v>2791765.62</v>
      </c>
      <c r="Q1330" s="218">
        <v>0</v>
      </c>
      <c r="R1330" s="218">
        <v>0</v>
      </c>
      <c r="S1330" s="218">
        <f>P1330-Q1330-R1330</f>
        <v>2791765.62</v>
      </c>
      <c r="T1330" s="190">
        <f t="shared" si="176"/>
        <v>1220.0173141633527</v>
      </c>
      <c r="U1330" s="190">
        <v>2409.3534239391688</v>
      </c>
      <c r="V1330" s="221">
        <f>W1330-T1330</f>
        <v>824.81181663243433</v>
      </c>
      <c r="W1330" s="221">
        <f>X1330+Y1330+Z1330+AA1330+AB1330+AD1330+AF1330+AH1330+AJ1330+AL1330+AN1330+AO1330</f>
        <v>2044.829130795787</v>
      </c>
      <c r="X1330" s="222">
        <v>0</v>
      </c>
      <c r="Y1330" s="222">
        <v>0</v>
      </c>
      <c r="Z1330" s="222">
        <v>0</v>
      </c>
      <c r="AA1330" s="222">
        <v>0</v>
      </c>
      <c r="AB1330" s="222">
        <v>0</v>
      </c>
      <c r="AC1330" s="222">
        <v>0</v>
      </c>
      <c r="AD1330" s="222">
        <v>0</v>
      </c>
      <c r="AE1330" s="222">
        <v>750</v>
      </c>
      <c r="AF1330" s="221">
        <f>6238.91*AE1330/I1330</f>
        <v>2044.829130795787</v>
      </c>
      <c r="AG1330" s="222">
        <v>0</v>
      </c>
      <c r="AH1330" s="221">
        <v>0</v>
      </c>
      <c r="AI1330" s="222"/>
      <c r="AJ1330" s="221"/>
      <c r="AK1330" s="222"/>
      <c r="AL1330" s="221">
        <f>76773.02*AK1330/I1330</f>
        <v>0</v>
      </c>
      <c r="AM1330" s="222"/>
      <c r="AN1330" s="222"/>
      <c r="AO1330" s="222"/>
      <c r="DH1330" s="234"/>
      <c r="DI1330" s="234"/>
      <c r="DJ1330" s="234"/>
      <c r="EG1330" s="235"/>
      <c r="FJ1330" s="236"/>
      <c r="FZ1330" s="237"/>
    </row>
    <row r="1331" spans="2:182" s="154" customFormat="1" ht="36" customHeight="1" x14ac:dyDescent="0.25">
      <c r="B1331" s="225">
        <v>3</v>
      </c>
      <c r="C1331" s="232" t="s">
        <v>1877</v>
      </c>
      <c r="D1331" s="217">
        <v>1914</v>
      </c>
      <c r="E1331" s="217"/>
      <c r="F1331" s="220" t="s">
        <v>267</v>
      </c>
      <c r="G1331" s="217">
        <v>4</v>
      </c>
      <c r="H1331" s="217">
        <v>2</v>
      </c>
      <c r="I1331" s="218">
        <v>2154.1</v>
      </c>
      <c r="J1331" s="218">
        <v>943.2</v>
      </c>
      <c r="K1331" s="218">
        <v>943.2</v>
      </c>
      <c r="L1331" s="231">
        <v>18</v>
      </c>
      <c r="M1331" s="217" t="s">
        <v>265</v>
      </c>
      <c r="N1331" s="217" t="s">
        <v>269</v>
      </c>
      <c r="O1331" s="217" t="s">
        <v>1879</v>
      </c>
      <c r="P1331" s="218">
        <v>6613067.0599999996</v>
      </c>
      <c r="Q1331" s="218">
        <v>0</v>
      </c>
      <c r="R1331" s="218">
        <v>0</v>
      </c>
      <c r="S1331" s="218">
        <f>P1331-Q1331-R1331</f>
        <v>6613067.0599999996</v>
      </c>
      <c r="T1331" s="190">
        <f t="shared" si="176"/>
        <v>3069.9907432338332</v>
      </c>
      <c r="U1331" s="190">
        <v>9119.3426665428706</v>
      </c>
      <c r="V1331" s="221">
        <f>W1331-T1331</f>
        <v>5473.5131096513614</v>
      </c>
      <c r="W1331" s="221">
        <f>X1331+Y1331+Z1331+AA1331+AB1331+AD1331+AF1331+AH1331+AJ1331+AL1331+AN1331+AO1331</f>
        <v>8543.5038528851946</v>
      </c>
      <c r="X1331" s="222">
        <v>0</v>
      </c>
      <c r="Y1331" s="222">
        <v>0</v>
      </c>
      <c r="Z1331" s="222">
        <v>3259.66</v>
      </c>
      <c r="AA1331" s="222">
        <v>0</v>
      </c>
      <c r="AB1331" s="222">
        <v>795.31</v>
      </c>
      <c r="AC1331" s="222">
        <v>0</v>
      </c>
      <c r="AD1331" s="222">
        <v>0</v>
      </c>
      <c r="AE1331" s="222">
        <v>1549.75</v>
      </c>
      <c r="AF1331" s="221">
        <f>6238.91*AE1331/I1331</f>
        <v>4488.5338528851953</v>
      </c>
      <c r="AG1331" s="222">
        <v>0</v>
      </c>
      <c r="AH1331" s="221">
        <v>0</v>
      </c>
      <c r="AI1331" s="222"/>
      <c r="AJ1331" s="221">
        <f>7439.1*AI1331/I1331</f>
        <v>0</v>
      </c>
      <c r="AK1331" s="222"/>
      <c r="AL1331" s="221">
        <f>76773.02*AK1331/I1331</f>
        <v>0</v>
      </c>
      <c r="AM1331" s="222"/>
      <c r="AN1331" s="222"/>
      <c r="AO1331" s="222"/>
      <c r="DH1331" s="234"/>
      <c r="DI1331" s="234"/>
      <c r="DJ1331" s="234"/>
      <c r="EG1331" s="235"/>
      <c r="FJ1331" s="236"/>
      <c r="FZ1331" s="237"/>
    </row>
    <row r="1332" spans="2:182" s="154" customFormat="1" ht="36" customHeight="1" x14ac:dyDescent="0.25">
      <c r="B1332" s="215" t="s">
        <v>837</v>
      </c>
      <c r="C1332" s="232"/>
      <c r="D1332" s="217" t="s">
        <v>890</v>
      </c>
      <c r="E1332" s="217" t="s">
        <v>890</v>
      </c>
      <c r="F1332" s="220" t="s">
        <v>890</v>
      </c>
      <c r="G1332" s="217" t="s">
        <v>890</v>
      </c>
      <c r="H1332" s="217" t="s">
        <v>890</v>
      </c>
      <c r="I1332" s="218">
        <f>SUM(I1333:I1333)</f>
        <v>1298.5999999999999</v>
      </c>
      <c r="J1332" s="218">
        <f>SUM(J1333:J1333)</f>
        <v>989.4</v>
      </c>
      <c r="K1332" s="218">
        <f>SUM(K1333:K1333)</f>
        <v>989.4</v>
      </c>
      <c r="L1332" s="231">
        <f>SUM(L1333:L1333)</f>
        <v>47</v>
      </c>
      <c r="M1332" s="217" t="s">
        <v>890</v>
      </c>
      <c r="N1332" s="217" t="s">
        <v>890</v>
      </c>
      <c r="O1332" s="248" t="s">
        <v>890</v>
      </c>
      <c r="P1332" s="218">
        <f>SUM(P1333:P1333)</f>
        <v>1833103.6099999999</v>
      </c>
      <c r="Q1332" s="218">
        <f>SUM(Q1333:Q1333)</f>
        <v>0</v>
      </c>
      <c r="R1332" s="218">
        <f>SUM(R1333:R1333)</f>
        <v>0</v>
      </c>
      <c r="S1332" s="218">
        <f>SUM(S1333:S1333)</f>
        <v>1833103.6099999999</v>
      </c>
      <c r="T1332" s="190">
        <f t="shared" si="176"/>
        <v>1411.5998844909902</v>
      </c>
      <c r="U1332" s="190">
        <f>U1333</f>
        <v>3463.3231711073463</v>
      </c>
      <c r="X1332" s="222"/>
      <c r="Y1332" s="222"/>
      <c r="Z1332" s="222"/>
      <c r="AA1332" s="222"/>
      <c r="AB1332" s="222"/>
      <c r="AC1332" s="222"/>
      <c r="AD1332" s="222"/>
      <c r="AE1332" s="222"/>
      <c r="AF1332" s="222"/>
      <c r="AG1332" s="222"/>
      <c r="AH1332" s="222"/>
      <c r="AI1332" s="222"/>
      <c r="AJ1332" s="222"/>
      <c r="AK1332" s="222"/>
      <c r="AL1332" s="222"/>
      <c r="AM1332" s="222"/>
      <c r="AN1332" s="222"/>
      <c r="AO1332" s="222"/>
      <c r="BY1332" s="223"/>
      <c r="DH1332" s="234"/>
      <c r="DI1332" s="234"/>
      <c r="DJ1332" s="234"/>
      <c r="EG1332" s="235"/>
      <c r="FJ1332" s="236"/>
      <c r="FZ1332" s="237"/>
    </row>
    <row r="1333" spans="2:182" s="154" customFormat="1" ht="36" customHeight="1" x14ac:dyDescent="0.25">
      <c r="B1333" s="225">
        <v>4</v>
      </c>
      <c r="C1333" s="232" t="s">
        <v>1875</v>
      </c>
      <c r="D1333" s="217">
        <v>1984</v>
      </c>
      <c r="E1333" s="217"/>
      <c r="F1333" s="220" t="s">
        <v>267</v>
      </c>
      <c r="G1333" s="217">
        <v>2</v>
      </c>
      <c r="H1333" s="217">
        <v>3</v>
      </c>
      <c r="I1333" s="218">
        <v>1298.5999999999999</v>
      </c>
      <c r="J1333" s="218">
        <v>989.4</v>
      </c>
      <c r="K1333" s="218">
        <v>989.4</v>
      </c>
      <c r="L1333" s="231">
        <v>47</v>
      </c>
      <c r="M1333" s="217" t="s">
        <v>265</v>
      </c>
      <c r="N1333" s="217" t="s">
        <v>266</v>
      </c>
      <c r="O1333" s="217" t="s">
        <v>805</v>
      </c>
      <c r="P1333" s="218">
        <v>1833103.6099999999</v>
      </c>
      <c r="Q1333" s="218">
        <v>0</v>
      </c>
      <c r="R1333" s="218">
        <v>0</v>
      </c>
      <c r="S1333" s="218">
        <f>P1333-Q1333-R1333</f>
        <v>1833103.6099999999</v>
      </c>
      <c r="T1333" s="190">
        <f t="shared" si="176"/>
        <v>1411.5998844909902</v>
      </c>
      <c r="U1333" s="190">
        <v>3463.3231711073463</v>
      </c>
      <c r="V1333" s="221">
        <f>W1333-T1333</f>
        <v>1908.676336824273</v>
      </c>
      <c r="W1333" s="221">
        <f>X1333+Y1333+Z1333+AA1333+AB1333+AD1333+AF1333+AH1333+AJ1333+AL1333+AN1333+AO1333</f>
        <v>3320.2762213152632</v>
      </c>
      <c r="X1333" s="222">
        <v>0</v>
      </c>
      <c r="Y1333" s="222">
        <v>0</v>
      </c>
      <c r="Z1333" s="222">
        <v>0</v>
      </c>
      <c r="AA1333" s="222">
        <v>0</v>
      </c>
      <c r="AB1333" s="222">
        <v>0</v>
      </c>
      <c r="AC1333" s="222">
        <v>0</v>
      </c>
      <c r="AD1333" s="222">
        <v>0</v>
      </c>
      <c r="AE1333" s="222">
        <v>691.1</v>
      </c>
      <c r="AF1333" s="221">
        <f>6238.91*AE1333/I1333</f>
        <v>3320.2762213152632</v>
      </c>
      <c r="AG1333" s="222">
        <v>0</v>
      </c>
      <c r="AH1333" s="221">
        <v>0</v>
      </c>
      <c r="AI1333" s="222"/>
      <c r="AJ1333" s="221">
        <f>7439.1*AI1333/I1333</f>
        <v>0</v>
      </c>
      <c r="AK1333" s="222"/>
      <c r="AL1333" s="221">
        <f>76773.02*AK1333/I1333</f>
        <v>0</v>
      </c>
      <c r="AM1333" s="222"/>
      <c r="AN1333" s="222"/>
      <c r="AO1333" s="222"/>
      <c r="DH1333" s="234"/>
      <c r="DI1333" s="234"/>
      <c r="DJ1333" s="234"/>
      <c r="EG1333" s="235"/>
      <c r="FJ1333" s="236"/>
      <c r="FZ1333" s="237"/>
    </row>
    <row r="1334" spans="2:182" s="154" customFormat="1" ht="36" customHeight="1" x14ac:dyDescent="0.25">
      <c r="B1334" s="215" t="s">
        <v>891</v>
      </c>
      <c r="C1334" s="232"/>
      <c r="D1334" s="217" t="s">
        <v>890</v>
      </c>
      <c r="E1334" s="217" t="s">
        <v>890</v>
      </c>
      <c r="F1334" s="220" t="s">
        <v>890</v>
      </c>
      <c r="G1334" s="217" t="s">
        <v>890</v>
      </c>
      <c r="H1334" s="217" t="s">
        <v>890</v>
      </c>
      <c r="I1334" s="218">
        <f>SUM(I1335:I1335)</f>
        <v>693.8</v>
      </c>
      <c r="J1334" s="218">
        <f>SUM(J1335:J1335)</f>
        <v>377.02</v>
      </c>
      <c r="K1334" s="218">
        <f>SUM(K1335:K1335)</f>
        <v>377.02</v>
      </c>
      <c r="L1334" s="231">
        <f>SUM(L1335:L1335)</f>
        <v>21</v>
      </c>
      <c r="M1334" s="217" t="s">
        <v>890</v>
      </c>
      <c r="N1334" s="217" t="s">
        <v>890</v>
      </c>
      <c r="O1334" s="248" t="s">
        <v>890</v>
      </c>
      <c r="P1334" s="218">
        <f>SUM(P1335:P1335)</f>
        <v>1976297.05</v>
      </c>
      <c r="Q1334" s="218">
        <f>SUM(Q1335:Q1335)</f>
        <v>0</v>
      </c>
      <c r="R1334" s="218">
        <f>SUM(R1335:R1335)</f>
        <v>0</v>
      </c>
      <c r="S1334" s="218">
        <f>SUM(S1335:S1335)</f>
        <v>1976297.05</v>
      </c>
      <c r="T1334" s="190">
        <f t="shared" si="176"/>
        <v>2848.5111703661</v>
      </c>
      <c r="U1334" s="190">
        <f>U1335</f>
        <v>3470.5232055347365</v>
      </c>
      <c r="X1334" s="222"/>
      <c r="Y1334" s="222"/>
      <c r="Z1334" s="222"/>
      <c r="AA1334" s="222"/>
      <c r="AB1334" s="222"/>
      <c r="AC1334" s="222"/>
      <c r="AD1334" s="222"/>
      <c r="AE1334" s="222"/>
      <c r="AF1334" s="222"/>
      <c r="AG1334" s="222"/>
      <c r="AH1334" s="222"/>
      <c r="AI1334" s="222"/>
      <c r="AJ1334" s="222"/>
      <c r="AK1334" s="222"/>
      <c r="AL1334" s="222"/>
      <c r="AM1334" s="222"/>
      <c r="AN1334" s="222"/>
      <c r="AO1334" s="222"/>
      <c r="BY1334" s="223"/>
      <c r="DH1334" s="234"/>
      <c r="DI1334" s="234"/>
      <c r="DJ1334" s="234"/>
      <c r="EG1334" s="235"/>
      <c r="FJ1334" s="236"/>
      <c r="FZ1334" s="237"/>
    </row>
    <row r="1335" spans="2:182" s="154" customFormat="1" ht="36" customHeight="1" x14ac:dyDescent="0.25">
      <c r="B1335" s="225">
        <v>5</v>
      </c>
      <c r="C1335" s="232" t="s">
        <v>1925</v>
      </c>
      <c r="D1335" s="217">
        <v>1987</v>
      </c>
      <c r="E1335" s="217"/>
      <c r="F1335" s="220" t="s">
        <v>267</v>
      </c>
      <c r="G1335" s="217">
        <v>2</v>
      </c>
      <c r="H1335" s="217">
        <v>1</v>
      </c>
      <c r="I1335" s="218">
        <v>693.8</v>
      </c>
      <c r="J1335" s="218">
        <v>377.02</v>
      </c>
      <c r="K1335" s="218">
        <v>377.02</v>
      </c>
      <c r="L1335" s="231">
        <v>21</v>
      </c>
      <c r="M1335" s="217" t="s">
        <v>265</v>
      </c>
      <c r="N1335" s="217" t="s">
        <v>266</v>
      </c>
      <c r="O1335" s="217"/>
      <c r="P1335" s="218">
        <v>1976297.05</v>
      </c>
      <c r="Q1335" s="218">
        <v>0</v>
      </c>
      <c r="R1335" s="218">
        <v>0</v>
      </c>
      <c r="S1335" s="218">
        <f>P1335-Q1335-R1335</f>
        <v>1976297.05</v>
      </c>
      <c r="T1335" s="190">
        <f t="shared" si="176"/>
        <v>2848.5111703661</v>
      </c>
      <c r="U1335" s="190">
        <v>3470.5232055347365</v>
      </c>
      <c r="V1335" s="221">
        <f>W1335-T1335</f>
        <v>3366.1194162582883</v>
      </c>
      <c r="W1335" s="221">
        <f>X1335+Y1335+Z1335+AA1335+AB1335+AD1335+AF1335+AH1335+AJ1335+AL1335+AN1335+AO1335</f>
        <v>6214.6305866243883</v>
      </c>
      <c r="X1335" s="222">
        <v>0</v>
      </c>
      <c r="Y1335" s="222">
        <v>0</v>
      </c>
      <c r="Z1335" s="222">
        <v>0</v>
      </c>
      <c r="AA1335" s="222">
        <v>0</v>
      </c>
      <c r="AB1335" s="222">
        <v>0</v>
      </c>
      <c r="AC1335" s="222">
        <v>0</v>
      </c>
      <c r="AD1335" s="222">
        <v>0</v>
      </c>
      <c r="AE1335" s="222">
        <v>691.1</v>
      </c>
      <c r="AF1335" s="221">
        <f>6238.91*AE1335/I1335</f>
        <v>6214.6305866243883</v>
      </c>
      <c r="AG1335" s="222">
        <v>0</v>
      </c>
      <c r="AH1335" s="221">
        <v>0</v>
      </c>
      <c r="AI1335" s="222"/>
      <c r="AJ1335" s="221">
        <f>7439.1*AI1335/I1335</f>
        <v>0</v>
      </c>
      <c r="AK1335" s="222"/>
      <c r="AL1335" s="221">
        <f>76773.02*AK1335/I1335</f>
        <v>0</v>
      </c>
      <c r="AM1335" s="222"/>
      <c r="AN1335" s="222"/>
      <c r="AO1335" s="222"/>
      <c r="DH1335" s="234"/>
      <c r="DI1335" s="234"/>
      <c r="DJ1335" s="234"/>
      <c r="EG1335" s="235"/>
      <c r="FJ1335" s="236"/>
      <c r="FZ1335" s="237"/>
    </row>
    <row r="1336" spans="2:182" ht="61.5" hidden="1" customHeight="1" x14ac:dyDescent="0.9">
      <c r="AP1336" s="58"/>
    </row>
    <row r="1337" spans="2:182" ht="61.5" hidden="1" customHeight="1" x14ac:dyDescent="0.9">
      <c r="AP1337" s="58"/>
    </row>
    <row r="1338" spans="2:182" ht="61.5" hidden="1" customHeight="1" x14ac:dyDescent="0.9">
      <c r="AP1338" s="58"/>
    </row>
    <row r="1339" spans="2:182" ht="61.5" hidden="1" customHeight="1" x14ac:dyDescent="0.9">
      <c r="AP1339" s="58"/>
    </row>
    <row r="1340" spans="2:182" ht="61.5" hidden="1" customHeight="1" x14ac:dyDescent="0.9">
      <c r="AP1340" s="58"/>
    </row>
    <row r="1341" spans="2:182" ht="61.5" hidden="1" customHeight="1" x14ac:dyDescent="0.9">
      <c r="AP1341" s="58"/>
    </row>
    <row r="1342" spans="2:182" ht="61.5" hidden="1" customHeight="1" x14ac:dyDescent="0.9">
      <c r="AP1342" s="58"/>
    </row>
    <row r="1343" spans="2:182" ht="61.5" hidden="1" customHeight="1" x14ac:dyDescent="0.9">
      <c r="AP1343" s="58"/>
    </row>
    <row r="1344" spans="2:182" ht="61.5" hidden="1" customHeight="1" x14ac:dyDescent="0.9">
      <c r="AP1344" s="58"/>
    </row>
    <row r="1345" spans="42:42" ht="61.5" hidden="1" customHeight="1" x14ac:dyDescent="0.9">
      <c r="AP1345" s="58"/>
    </row>
    <row r="1346" spans="42:42" ht="61.5" hidden="1" customHeight="1" x14ac:dyDescent="0.9">
      <c r="AP1346" s="58"/>
    </row>
    <row r="1347" spans="42:42" ht="61.5" hidden="1" customHeight="1" x14ac:dyDescent="0.9">
      <c r="AP1347" s="58"/>
    </row>
    <row r="1348" spans="42:42" ht="61.5" hidden="1" customHeight="1" x14ac:dyDescent="0.9">
      <c r="AP1348" s="58"/>
    </row>
    <row r="1349" spans="42:42" ht="61.5" hidden="1" customHeight="1" x14ac:dyDescent="0.9">
      <c r="AP1349" s="58"/>
    </row>
    <row r="1350" spans="42:42" ht="61.5" hidden="1" customHeight="1" x14ac:dyDescent="0.9">
      <c r="AP1350" s="58"/>
    </row>
    <row r="1351" spans="42:42" ht="61.5" hidden="1" customHeight="1" x14ac:dyDescent="0.9">
      <c r="AP1351" s="58"/>
    </row>
    <row r="1352" spans="42:42" ht="61.5" hidden="1" customHeight="1" x14ac:dyDescent="0.9">
      <c r="AP1352" s="58"/>
    </row>
    <row r="1353" spans="42:42" ht="61.5" hidden="1" customHeight="1" x14ac:dyDescent="0.9">
      <c r="AP1353" s="58"/>
    </row>
    <row r="1354" spans="42:42" ht="61.5" hidden="1" customHeight="1" x14ac:dyDescent="0.9">
      <c r="AP1354" s="58"/>
    </row>
    <row r="1355" spans="42:42" ht="61.5" hidden="1" customHeight="1" x14ac:dyDescent="0.9">
      <c r="AP1355" s="58"/>
    </row>
    <row r="1356" spans="42:42" ht="61.5" hidden="1" customHeight="1" x14ac:dyDescent="0.9">
      <c r="AP1356" s="58"/>
    </row>
    <row r="1357" spans="42:42" ht="61.5" hidden="1" customHeight="1" x14ac:dyDescent="0.9">
      <c r="AP1357" s="58"/>
    </row>
    <row r="1358" spans="42:42" ht="61.5" hidden="1" customHeight="1" x14ac:dyDescent="0.9">
      <c r="AP1358" s="58"/>
    </row>
    <row r="1359" spans="42:42" ht="61.5" hidden="1" customHeight="1" x14ac:dyDescent="0.9">
      <c r="AP1359" s="58"/>
    </row>
    <row r="1360" spans="42:42" ht="61.5" hidden="1" customHeight="1" x14ac:dyDescent="0.9">
      <c r="AP1360" s="58"/>
    </row>
    <row r="1361" spans="42:42" ht="61.5" hidden="1" customHeight="1" x14ac:dyDescent="0.9">
      <c r="AP1361" s="58"/>
    </row>
    <row r="1362" spans="42:42" ht="61.5" hidden="1" customHeight="1" x14ac:dyDescent="0.9">
      <c r="AP1362" s="58"/>
    </row>
    <row r="1363" spans="42:42" ht="61.5" hidden="1" customHeight="1" x14ac:dyDescent="0.9">
      <c r="AP1363" s="58"/>
    </row>
    <row r="1364" spans="42:42" ht="61.5" hidden="1" customHeight="1" x14ac:dyDescent="0.9">
      <c r="AP1364" s="58"/>
    </row>
    <row r="1365" spans="42:42" ht="61.5" hidden="1" customHeight="1" x14ac:dyDescent="0.9">
      <c r="AP1365" s="58"/>
    </row>
    <row r="1366" spans="42:42" ht="61.5" hidden="1" customHeight="1" x14ac:dyDescent="0.9">
      <c r="AP1366" s="58"/>
    </row>
    <row r="1367" spans="42:42" ht="61.5" hidden="1" customHeight="1" x14ac:dyDescent="0.9">
      <c r="AP1367" s="58"/>
    </row>
    <row r="1368" spans="42:42" ht="61.5" hidden="1" customHeight="1" x14ac:dyDescent="0.9">
      <c r="AP1368" s="58"/>
    </row>
    <row r="1369" spans="42:42" ht="61.5" hidden="1" customHeight="1" x14ac:dyDescent="0.9">
      <c r="AP1369" s="58"/>
    </row>
    <row r="1370" spans="42:42" ht="61.5" hidden="1" customHeight="1" x14ac:dyDescent="0.9">
      <c r="AP1370" s="58"/>
    </row>
    <row r="1371" spans="42:42" ht="61.5" hidden="1" customHeight="1" x14ac:dyDescent="0.9">
      <c r="AP1371" s="58"/>
    </row>
    <row r="1372" spans="42:42" ht="61.5" hidden="1" customHeight="1" x14ac:dyDescent="0.9">
      <c r="AP1372" s="58"/>
    </row>
    <row r="1373" spans="42:42" ht="61.5" hidden="1" customHeight="1" x14ac:dyDescent="0.9">
      <c r="AP1373" s="58"/>
    </row>
    <row r="1374" spans="42:42" ht="61.5" hidden="1" customHeight="1" x14ac:dyDescent="0.9">
      <c r="AP1374" s="58"/>
    </row>
    <row r="1375" spans="42:42" ht="61.5" hidden="1" customHeight="1" x14ac:dyDescent="0.9">
      <c r="AP1375" s="58"/>
    </row>
    <row r="1376" spans="42:42" ht="61.5" hidden="1" customHeight="1" x14ac:dyDescent="0.9">
      <c r="AP1376" s="58"/>
    </row>
    <row r="1377" spans="42:42" ht="61.5" hidden="1" customHeight="1" x14ac:dyDescent="0.9">
      <c r="AP1377" s="58"/>
    </row>
    <row r="1378" spans="42:42" ht="61.5" hidden="1" customHeight="1" x14ac:dyDescent="0.9">
      <c r="AP1378" s="58"/>
    </row>
    <row r="1379" spans="42:42" ht="61.5" hidden="1" customHeight="1" x14ac:dyDescent="0.9">
      <c r="AP1379" s="58"/>
    </row>
    <row r="1380" spans="42:42" ht="61.5" hidden="1" customHeight="1" x14ac:dyDescent="0.9">
      <c r="AP1380" s="58"/>
    </row>
    <row r="1381" spans="42:42" ht="61.5" hidden="1" customHeight="1" x14ac:dyDescent="0.9">
      <c r="AP1381" s="58"/>
    </row>
    <row r="1382" spans="42:42" ht="61.5" hidden="1" customHeight="1" x14ac:dyDescent="0.9">
      <c r="AP1382" s="58"/>
    </row>
    <row r="1383" spans="42:42" ht="61.5" hidden="1" customHeight="1" x14ac:dyDescent="0.9">
      <c r="AP1383" s="58"/>
    </row>
    <row r="1384" spans="42:42" ht="61.5" hidden="1" customHeight="1" x14ac:dyDescent="0.9">
      <c r="AP1384" s="58"/>
    </row>
    <row r="1385" spans="42:42" ht="61.5" hidden="1" customHeight="1" x14ac:dyDescent="0.9">
      <c r="AP1385" s="58"/>
    </row>
    <row r="1386" spans="42:42" ht="61.5" hidden="1" customHeight="1" x14ac:dyDescent="0.9">
      <c r="AP1386" s="58"/>
    </row>
    <row r="1387" spans="42:42" ht="61.5" hidden="1" customHeight="1" x14ac:dyDescent="0.9">
      <c r="AP1387" s="58"/>
    </row>
    <row r="1388" spans="42:42" ht="61.5" hidden="1" customHeight="1" x14ac:dyDescent="0.9">
      <c r="AP1388" s="58"/>
    </row>
    <row r="1389" spans="42:42" ht="61.5" hidden="1" customHeight="1" x14ac:dyDescent="0.9">
      <c r="AP1389" s="58"/>
    </row>
    <row r="1390" spans="42:42" ht="61.5" hidden="1" customHeight="1" x14ac:dyDescent="0.9">
      <c r="AP1390" s="58"/>
    </row>
    <row r="1391" spans="42:42" ht="61.5" hidden="1" customHeight="1" x14ac:dyDescent="0.9">
      <c r="AP1391" s="58"/>
    </row>
    <row r="1392" spans="42:42" ht="61.5" hidden="1" customHeight="1" x14ac:dyDescent="0.9">
      <c r="AP1392" s="58"/>
    </row>
    <row r="1393" spans="42:42" ht="61.5" hidden="1" customHeight="1" x14ac:dyDescent="0.9">
      <c r="AP1393" s="58"/>
    </row>
    <row r="1394" spans="42:42" ht="61.5" hidden="1" customHeight="1" x14ac:dyDescent="0.9">
      <c r="AP1394" s="58"/>
    </row>
    <row r="1395" spans="42:42" ht="61.5" hidden="1" customHeight="1" x14ac:dyDescent="0.9">
      <c r="AP1395" s="58"/>
    </row>
    <row r="1396" spans="42:42" ht="61.5" hidden="1" customHeight="1" x14ac:dyDescent="0.9">
      <c r="AP1396" s="58"/>
    </row>
    <row r="1397" spans="42:42" ht="61.5" hidden="1" customHeight="1" x14ac:dyDescent="0.9">
      <c r="AP1397" s="58"/>
    </row>
    <row r="1398" spans="42:42" ht="61.5" hidden="1" customHeight="1" x14ac:dyDescent="0.9">
      <c r="AP1398" s="58"/>
    </row>
    <row r="1399" spans="42:42" ht="61.5" hidden="1" customHeight="1" x14ac:dyDescent="0.9">
      <c r="AP1399" s="58"/>
    </row>
    <row r="1400" spans="42:42" ht="61.5" x14ac:dyDescent="0.9">
      <c r="AP1400" s="58"/>
    </row>
    <row r="1401" spans="42:42" ht="61.5" x14ac:dyDescent="0.9">
      <c r="AP1401" s="58"/>
    </row>
    <row r="1402" spans="42:42" ht="61.5" x14ac:dyDescent="0.9">
      <c r="AP1402" s="58"/>
    </row>
    <row r="1403" spans="42:42" ht="61.5" x14ac:dyDescent="0.9">
      <c r="AP1403" s="58"/>
    </row>
    <row r="1404" spans="42:42" ht="61.5" x14ac:dyDescent="0.9">
      <c r="AP1404" s="58"/>
    </row>
    <row r="1405" spans="42:42" ht="61.5" x14ac:dyDescent="0.9">
      <c r="AP1405" s="58"/>
    </row>
    <row r="1406" spans="42:42" ht="61.5" x14ac:dyDescent="0.9">
      <c r="AP1406" s="58"/>
    </row>
    <row r="1407" spans="42:42" ht="61.5" x14ac:dyDescent="0.9">
      <c r="AP1407" s="58"/>
    </row>
    <row r="1408" spans="42:42" ht="61.5" x14ac:dyDescent="0.9">
      <c r="AP1408" s="58"/>
    </row>
    <row r="1409" spans="42:42" ht="61.5" x14ac:dyDescent="0.9">
      <c r="AP1409" s="58"/>
    </row>
    <row r="1410" spans="42:42" ht="61.5" x14ac:dyDescent="0.9">
      <c r="AP1410" s="58"/>
    </row>
    <row r="1411" spans="42:42" ht="61.5" x14ac:dyDescent="0.9">
      <c r="AP1411" s="58"/>
    </row>
    <row r="1412" spans="42:42" ht="61.5" x14ac:dyDescent="0.9">
      <c r="AP1412" s="58"/>
    </row>
    <row r="1413" spans="42:42" ht="61.5" x14ac:dyDescent="0.9">
      <c r="AP1413" s="58"/>
    </row>
    <row r="1414" spans="42:42" ht="61.5" x14ac:dyDescent="0.9">
      <c r="AP1414" s="58"/>
    </row>
    <row r="1415" spans="42:42" ht="61.5" x14ac:dyDescent="0.9">
      <c r="AP1415" s="58"/>
    </row>
    <row r="1416" spans="42:42" ht="61.5" x14ac:dyDescent="0.9">
      <c r="AP1416" s="58"/>
    </row>
    <row r="1417" spans="42:42" ht="61.5" x14ac:dyDescent="0.9">
      <c r="AP1417" s="58"/>
    </row>
    <row r="1418" spans="42:42" ht="61.5" x14ac:dyDescent="0.9">
      <c r="AP1418" s="58"/>
    </row>
    <row r="1419" spans="42:42" ht="61.5" x14ac:dyDescent="0.9">
      <c r="AP1419" s="58"/>
    </row>
    <row r="1420" spans="42:42" ht="61.5" x14ac:dyDescent="0.9">
      <c r="AP1420" s="58"/>
    </row>
    <row r="1421" spans="42:42" ht="61.5" x14ac:dyDescent="0.9">
      <c r="AP1421" s="58"/>
    </row>
    <row r="1422" spans="42:42" ht="61.5" x14ac:dyDescent="0.9">
      <c r="AP1422" s="58"/>
    </row>
    <row r="1423" spans="42:42" ht="61.5" x14ac:dyDescent="0.9">
      <c r="AP1423" s="58"/>
    </row>
    <row r="1424" spans="42:42" ht="61.5" x14ac:dyDescent="0.9">
      <c r="AP1424" s="58"/>
    </row>
    <row r="1425" spans="42:42" ht="61.5" x14ac:dyDescent="0.9">
      <c r="AP1425" s="58"/>
    </row>
    <row r="1426" spans="42:42" ht="61.5" x14ac:dyDescent="0.9">
      <c r="AP1426" s="58"/>
    </row>
    <row r="1427" spans="42:42" ht="61.5" x14ac:dyDescent="0.9">
      <c r="AP1427" s="58"/>
    </row>
    <row r="1428" spans="42:42" ht="61.5" x14ac:dyDescent="0.9">
      <c r="AP1428" s="58"/>
    </row>
    <row r="1429" spans="42:42" ht="61.5" x14ac:dyDescent="0.9">
      <c r="AP1429" s="58"/>
    </row>
    <row r="1430" spans="42:42" ht="61.5" x14ac:dyDescent="0.9">
      <c r="AP1430" s="58"/>
    </row>
    <row r="1431" spans="42:42" ht="61.5" x14ac:dyDescent="0.9">
      <c r="AP1431" s="58"/>
    </row>
    <row r="1432" spans="42:42" ht="61.5" x14ac:dyDescent="0.9">
      <c r="AP1432" s="58"/>
    </row>
    <row r="1433" spans="42:42" ht="61.5" x14ac:dyDescent="0.9">
      <c r="AP1433" s="58"/>
    </row>
    <row r="1434" spans="42:42" ht="61.5" x14ac:dyDescent="0.9">
      <c r="AP1434" s="58"/>
    </row>
    <row r="1435" spans="42:42" ht="61.5" x14ac:dyDescent="0.9">
      <c r="AP1435" s="58"/>
    </row>
    <row r="1436" spans="42:42" ht="61.5" x14ac:dyDescent="0.9">
      <c r="AP1436" s="58"/>
    </row>
    <row r="1437" spans="42:42" ht="61.5" x14ac:dyDescent="0.9">
      <c r="AP1437" s="58"/>
    </row>
    <row r="1438" spans="42:42" ht="61.5" x14ac:dyDescent="0.9">
      <c r="AP1438" s="58"/>
    </row>
    <row r="1439" spans="42:42" ht="61.5" x14ac:dyDescent="0.9">
      <c r="AP1439" s="58"/>
    </row>
    <row r="1440" spans="42:42" ht="61.5" x14ac:dyDescent="0.9">
      <c r="AP1440" s="58"/>
    </row>
    <row r="1441" spans="42:42" ht="61.5" x14ac:dyDescent="0.9">
      <c r="AP1441" s="58"/>
    </row>
    <row r="1442" spans="42:42" ht="61.5" x14ac:dyDescent="0.9">
      <c r="AP1442" s="58"/>
    </row>
    <row r="1443" spans="42:42" ht="61.5" x14ac:dyDescent="0.9">
      <c r="AP1443" s="58"/>
    </row>
    <row r="1444" spans="42:42" ht="61.5" x14ac:dyDescent="0.9">
      <c r="AP1444" s="58"/>
    </row>
    <row r="1445" spans="42:42" ht="61.5" x14ac:dyDescent="0.9">
      <c r="AP1445" s="58"/>
    </row>
    <row r="1446" spans="42:42" ht="61.5" x14ac:dyDescent="0.9">
      <c r="AP1446" s="58"/>
    </row>
    <row r="1447" spans="42:42" ht="61.5" x14ac:dyDescent="0.9">
      <c r="AP1447" s="58"/>
    </row>
    <row r="1448" spans="42:42" ht="61.5" x14ac:dyDescent="0.9">
      <c r="AP1448" s="58"/>
    </row>
    <row r="1449" spans="42:42" ht="61.5" x14ac:dyDescent="0.9">
      <c r="AP1449" s="58"/>
    </row>
    <row r="1450" spans="42:42" ht="61.5" x14ac:dyDescent="0.9">
      <c r="AP1450" s="58"/>
    </row>
    <row r="1451" spans="42:42" ht="61.5" x14ac:dyDescent="0.9">
      <c r="AP1451" s="58"/>
    </row>
    <row r="1452" spans="42:42" ht="61.5" x14ac:dyDescent="0.9">
      <c r="AP1452" s="58"/>
    </row>
    <row r="1453" spans="42:42" ht="61.5" x14ac:dyDescent="0.9">
      <c r="AP1453" s="58"/>
    </row>
    <row r="1454" spans="42:42" ht="61.5" x14ac:dyDescent="0.9">
      <c r="AP1454" s="58"/>
    </row>
    <row r="1455" spans="42:42" ht="61.5" x14ac:dyDescent="0.9">
      <c r="AP1455" s="58"/>
    </row>
    <row r="1456" spans="42:42" ht="61.5" x14ac:dyDescent="0.9">
      <c r="AP1456" s="58"/>
    </row>
    <row r="1457" spans="42:42" ht="61.5" x14ac:dyDescent="0.9">
      <c r="AP1457" s="58"/>
    </row>
    <row r="1458" spans="42:42" ht="61.5" x14ac:dyDescent="0.9">
      <c r="AP1458" s="58"/>
    </row>
    <row r="1459" spans="42:42" ht="61.5" x14ac:dyDescent="0.9">
      <c r="AP1459" s="58"/>
    </row>
    <row r="1460" spans="42:42" ht="61.5" x14ac:dyDescent="0.9">
      <c r="AP1460" s="58"/>
    </row>
    <row r="1461" spans="42:42" ht="61.5" x14ac:dyDescent="0.9">
      <c r="AP1461" s="58"/>
    </row>
    <row r="1462" spans="42:42" ht="61.5" x14ac:dyDescent="0.9">
      <c r="AP1462" s="58"/>
    </row>
    <row r="1463" spans="42:42" ht="61.5" x14ac:dyDescent="0.9">
      <c r="AP1463" s="58"/>
    </row>
    <row r="1464" spans="42:42" ht="61.5" x14ac:dyDescent="0.9">
      <c r="AP1464" s="58"/>
    </row>
    <row r="1465" spans="42:42" ht="61.5" x14ac:dyDescent="0.9">
      <c r="AP1465" s="58"/>
    </row>
    <row r="1466" spans="42:42" ht="61.5" x14ac:dyDescent="0.9">
      <c r="AP1466" s="58"/>
    </row>
    <row r="1467" spans="42:42" ht="61.5" x14ac:dyDescent="0.9">
      <c r="AP1467" s="58"/>
    </row>
    <row r="1468" spans="42:42" ht="61.5" x14ac:dyDescent="0.9">
      <c r="AP1468" s="58"/>
    </row>
    <row r="1469" spans="42:42" ht="61.5" x14ac:dyDescent="0.9">
      <c r="AP1469" s="58"/>
    </row>
    <row r="1470" spans="42:42" ht="61.5" x14ac:dyDescent="0.9">
      <c r="AP1470" s="58"/>
    </row>
    <row r="1471" spans="42:42" ht="61.5" x14ac:dyDescent="0.9">
      <c r="AP1471" s="58"/>
    </row>
    <row r="1472" spans="42:42" ht="61.5" x14ac:dyDescent="0.9">
      <c r="AP1472" s="58"/>
    </row>
    <row r="1473" spans="42:42" ht="61.5" x14ac:dyDescent="0.9">
      <c r="AP1473" s="58"/>
    </row>
    <row r="1474" spans="42:42" ht="61.5" x14ac:dyDescent="0.9">
      <c r="AP1474" s="58"/>
    </row>
    <row r="1475" spans="42:42" ht="61.5" x14ac:dyDescent="0.9">
      <c r="AP1475" s="58"/>
    </row>
    <row r="1476" spans="42:42" ht="61.5" x14ac:dyDescent="0.9">
      <c r="AP1476" s="58"/>
    </row>
    <row r="1477" spans="42:42" ht="61.5" x14ac:dyDescent="0.9">
      <c r="AP1477" s="58"/>
    </row>
    <row r="1478" spans="42:42" ht="61.5" x14ac:dyDescent="0.9">
      <c r="AP1478" s="58"/>
    </row>
    <row r="1479" spans="42:42" ht="61.5" x14ac:dyDescent="0.9">
      <c r="AP1479" s="58"/>
    </row>
    <row r="1480" spans="42:42" ht="61.5" x14ac:dyDescent="0.9">
      <c r="AP1480" s="58"/>
    </row>
    <row r="1481" spans="42:42" ht="61.5" x14ac:dyDescent="0.9">
      <c r="AP1481" s="58"/>
    </row>
    <row r="1482" spans="42:42" ht="61.5" x14ac:dyDescent="0.9">
      <c r="AP1482" s="58"/>
    </row>
    <row r="1483" spans="42:42" ht="61.5" x14ac:dyDescent="0.9">
      <c r="AP1483" s="58"/>
    </row>
    <row r="1484" spans="42:42" ht="61.5" x14ac:dyDescent="0.9">
      <c r="AP1484" s="58"/>
    </row>
    <row r="1485" spans="42:42" ht="61.5" x14ac:dyDescent="0.9">
      <c r="AP1485" s="58"/>
    </row>
    <row r="1486" spans="42:42" ht="61.5" x14ac:dyDescent="0.9">
      <c r="AP1486" s="58"/>
    </row>
    <row r="1487" spans="42:42" ht="61.5" x14ac:dyDescent="0.9">
      <c r="AP1487" s="58"/>
    </row>
    <row r="1488" spans="42:42" ht="61.5" x14ac:dyDescent="0.9">
      <c r="AP1488" s="58"/>
    </row>
    <row r="1489" spans="42:42" ht="61.5" x14ac:dyDescent="0.9">
      <c r="AP1489" s="58"/>
    </row>
    <row r="1490" spans="42:42" ht="61.5" x14ac:dyDescent="0.9">
      <c r="AP1490" s="58"/>
    </row>
    <row r="1491" spans="42:42" ht="61.5" x14ac:dyDescent="0.9">
      <c r="AP1491" s="58"/>
    </row>
    <row r="1492" spans="42:42" ht="61.5" x14ac:dyDescent="0.9">
      <c r="AP1492" s="58"/>
    </row>
    <row r="1493" spans="42:42" ht="61.5" x14ac:dyDescent="0.9">
      <c r="AP1493" s="58"/>
    </row>
    <row r="1494" spans="42:42" ht="61.5" x14ac:dyDescent="0.9">
      <c r="AP1494" s="58"/>
    </row>
    <row r="1495" spans="42:42" ht="61.5" x14ac:dyDescent="0.9">
      <c r="AP1495" s="58"/>
    </row>
    <row r="1496" spans="42:42" ht="61.5" x14ac:dyDescent="0.9">
      <c r="AP1496" s="58"/>
    </row>
    <row r="1497" spans="42:42" ht="61.5" x14ac:dyDescent="0.9">
      <c r="AP1497" s="58"/>
    </row>
    <row r="1498" spans="42:42" ht="61.5" x14ac:dyDescent="0.9">
      <c r="AP1498" s="58"/>
    </row>
    <row r="1499" spans="42:42" ht="61.5" x14ac:dyDescent="0.9">
      <c r="AP1499" s="58"/>
    </row>
    <row r="1500" spans="42:42" ht="61.5" x14ac:dyDescent="0.9">
      <c r="AP1500" s="58"/>
    </row>
    <row r="1501" spans="42:42" ht="61.5" x14ac:dyDescent="0.9">
      <c r="AP1501" s="58"/>
    </row>
    <row r="1502" spans="42:42" ht="61.5" x14ac:dyDescent="0.9">
      <c r="AP1502" s="58"/>
    </row>
    <row r="1503" spans="42:42" ht="61.5" x14ac:dyDescent="0.9">
      <c r="AP1503" s="58"/>
    </row>
    <row r="1504" spans="42:42" ht="61.5" x14ac:dyDescent="0.9">
      <c r="AP1504" s="58"/>
    </row>
    <row r="1505" spans="42:42" ht="61.5" x14ac:dyDescent="0.9">
      <c r="AP1505" s="58"/>
    </row>
    <row r="1506" spans="42:42" ht="61.5" x14ac:dyDescent="0.9">
      <c r="AP1506" s="58"/>
    </row>
    <row r="1507" spans="42:42" ht="61.5" x14ac:dyDescent="0.9">
      <c r="AP1507" s="58"/>
    </row>
    <row r="1508" spans="42:42" ht="61.5" x14ac:dyDescent="0.9">
      <c r="AP1508" s="58"/>
    </row>
    <row r="1509" spans="42:42" ht="61.5" x14ac:dyDescent="0.9">
      <c r="AP1509" s="58"/>
    </row>
    <row r="1510" spans="42:42" ht="61.5" x14ac:dyDescent="0.9">
      <c r="AP1510" s="58"/>
    </row>
    <row r="1511" spans="42:42" ht="61.5" x14ac:dyDescent="0.9">
      <c r="AP1511" s="58"/>
    </row>
    <row r="1512" spans="42:42" ht="61.5" x14ac:dyDescent="0.9">
      <c r="AP1512" s="58"/>
    </row>
    <row r="1513" spans="42:42" ht="61.5" x14ac:dyDescent="0.9">
      <c r="AP1513" s="58"/>
    </row>
    <row r="1514" spans="42:42" ht="61.5" x14ac:dyDescent="0.9">
      <c r="AP1514" s="58"/>
    </row>
    <row r="1515" spans="42:42" ht="61.5" x14ac:dyDescent="0.9">
      <c r="AP1515" s="58"/>
    </row>
    <row r="1516" spans="42:42" ht="61.5" x14ac:dyDescent="0.9">
      <c r="AP1516" s="58"/>
    </row>
    <row r="1517" spans="42:42" ht="61.5" x14ac:dyDescent="0.9">
      <c r="AP1517" s="58"/>
    </row>
    <row r="1518" spans="42:42" ht="61.5" x14ac:dyDescent="0.9">
      <c r="AP1518" s="58"/>
    </row>
    <row r="1519" spans="42:42" ht="61.5" x14ac:dyDescent="0.9">
      <c r="AP1519" s="58"/>
    </row>
    <row r="1520" spans="42:42" ht="61.5" x14ac:dyDescent="0.9">
      <c r="AP1520" s="58"/>
    </row>
    <row r="1521" spans="42:42" ht="61.5" x14ac:dyDescent="0.9">
      <c r="AP1521" s="58"/>
    </row>
    <row r="1522" spans="42:42" ht="61.5" x14ac:dyDescent="0.9">
      <c r="AP1522" s="58"/>
    </row>
    <row r="1523" spans="42:42" ht="61.5" x14ac:dyDescent="0.9">
      <c r="AP1523" s="58"/>
    </row>
    <row r="1524" spans="42:42" ht="61.5" x14ac:dyDescent="0.9">
      <c r="AP1524" s="58"/>
    </row>
    <row r="1525" spans="42:42" ht="61.5" x14ac:dyDescent="0.9">
      <c r="AP1525" s="58"/>
    </row>
    <row r="1526" spans="42:42" ht="61.5" x14ac:dyDescent="0.9">
      <c r="AP1526" s="58"/>
    </row>
    <row r="1527" spans="42:42" ht="61.5" x14ac:dyDescent="0.9">
      <c r="AP1527" s="58"/>
    </row>
    <row r="1528" spans="42:42" ht="61.5" x14ac:dyDescent="0.9">
      <c r="AP1528" s="58"/>
    </row>
    <row r="1529" spans="42:42" ht="61.5" x14ac:dyDescent="0.9">
      <c r="AP1529" s="58"/>
    </row>
    <row r="1530" spans="42:42" ht="61.5" x14ac:dyDescent="0.9">
      <c r="AP1530" s="58"/>
    </row>
    <row r="1531" spans="42:42" ht="61.5" x14ac:dyDescent="0.9">
      <c r="AP1531" s="58"/>
    </row>
    <row r="1532" spans="42:42" ht="61.5" x14ac:dyDescent="0.9">
      <c r="AP1532" s="58"/>
    </row>
  </sheetData>
  <autoFilter ref="A12:GI1335" xr:uid="{00000000-0009-0000-0000-000001000000}"/>
  <mergeCells count="32">
    <mergeCell ref="B4:U6"/>
    <mergeCell ref="S1:U1"/>
    <mergeCell ref="O2:U3"/>
    <mergeCell ref="O8:O11"/>
    <mergeCell ref="B8:B11"/>
    <mergeCell ref="C8:C11"/>
    <mergeCell ref="D8:E8"/>
    <mergeCell ref="F8:F11"/>
    <mergeCell ref="G8:G11"/>
    <mergeCell ref="H8:H11"/>
    <mergeCell ref="S9:S10"/>
    <mergeCell ref="P8:S8"/>
    <mergeCell ref="T8:T10"/>
    <mergeCell ref="I8:I10"/>
    <mergeCell ref="J8:K8"/>
    <mergeCell ref="L8:L10"/>
    <mergeCell ref="B1326:U1326"/>
    <mergeCell ref="B1327:C1327"/>
    <mergeCell ref="B1312:U1312"/>
    <mergeCell ref="B1314:C1314"/>
    <mergeCell ref="U8:U10"/>
    <mergeCell ref="D9:D11"/>
    <mergeCell ref="E9:E11"/>
    <mergeCell ref="P9:P10"/>
    <mergeCell ref="Q9:Q10"/>
    <mergeCell ref="R9:R10"/>
    <mergeCell ref="M8:M11"/>
    <mergeCell ref="N8:N11"/>
    <mergeCell ref="J9:J10"/>
    <mergeCell ref="K9:K10"/>
    <mergeCell ref="B1321:C1321"/>
    <mergeCell ref="B1313:C1313"/>
  </mergeCells>
  <printOptions horizontalCentered="1"/>
  <pageMargins left="0" right="0" top="0.39370078740157483" bottom="0" header="0" footer="0"/>
  <pageSetup paperSize="9" scale="16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47"/>
  <sheetViews>
    <sheetView view="pageBreakPreview" zoomScale="60" zoomScaleNormal="60" workbookViewId="0">
      <selection activeCell="A41" sqref="A41:C41"/>
    </sheetView>
  </sheetViews>
  <sheetFormatPr defaultRowHeight="15" x14ac:dyDescent="0.25"/>
  <cols>
    <col min="1" max="1" width="28.7109375" customWidth="1"/>
    <col min="2" max="2" width="43.42578125" customWidth="1"/>
    <col min="3" max="3" width="52.7109375" customWidth="1"/>
    <col min="4" max="4" width="0" hidden="1" customWidth="1"/>
    <col min="5" max="5" width="14" hidden="1" customWidth="1"/>
    <col min="7" max="7" width="12" customWidth="1"/>
    <col min="9" max="9" width="21.7109375" customWidth="1"/>
    <col min="11" max="11" width="20.5703125" customWidth="1"/>
    <col min="12" max="12" width="23.42578125" customWidth="1"/>
  </cols>
  <sheetData>
    <row r="1" spans="1:5" ht="18.75" x14ac:dyDescent="0.3">
      <c r="A1" s="1"/>
      <c r="B1" s="1"/>
      <c r="C1" s="2" t="s">
        <v>730</v>
      </c>
    </row>
    <row r="2" spans="1:5" ht="63.75" customHeight="1" x14ac:dyDescent="0.25">
      <c r="A2" s="354" t="s">
        <v>738</v>
      </c>
      <c r="B2" s="354"/>
      <c r="C2" s="354"/>
    </row>
    <row r="3" spans="1:5" ht="41.45" customHeight="1" x14ac:dyDescent="0.25">
      <c r="A3" s="347" t="s">
        <v>731</v>
      </c>
      <c r="B3" s="348"/>
      <c r="C3" s="349"/>
    </row>
    <row r="4" spans="1:5" ht="18.75" customHeight="1" x14ac:dyDescent="0.25">
      <c r="A4" s="347" t="s">
        <v>732</v>
      </c>
      <c r="B4" s="349"/>
      <c r="C4" s="40" t="s">
        <v>739</v>
      </c>
    </row>
    <row r="5" spans="1:5" ht="18.75" x14ac:dyDescent="0.3">
      <c r="A5" s="350" t="s">
        <v>733</v>
      </c>
      <c r="B5" s="351"/>
      <c r="C5" s="41">
        <f>Перечень!P14</f>
        <v>1065435142.2300001</v>
      </c>
    </row>
    <row r="6" spans="1:5" ht="37.5" customHeight="1" x14ac:dyDescent="0.3">
      <c r="A6" s="350" t="s">
        <v>734</v>
      </c>
      <c r="B6" s="351"/>
      <c r="C6" s="41">
        <v>0</v>
      </c>
    </row>
    <row r="7" spans="1:5" ht="18.75" x14ac:dyDescent="0.3">
      <c r="A7" s="350" t="s">
        <v>735</v>
      </c>
      <c r="B7" s="351"/>
      <c r="C7" s="41">
        <f>Перечень!Q14</f>
        <v>0</v>
      </c>
    </row>
    <row r="8" spans="1:5" ht="18.75" x14ac:dyDescent="0.3">
      <c r="A8" s="350" t="s">
        <v>736</v>
      </c>
      <c r="B8" s="351"/>
      <c r="C8" s="41">
        <f>Перечень!R14</f>
        <v>2908349.77</v>
      </c>
      <c r="D8">
        <v>4344514.92</v>
      </c>
      <c r="E8" s="87">
        <v>746895.1400000006</v>
      </c>
    </row>
    <row r="9" spans="1:5" ht="18.75" customHeight="1" x14ac:dyDescent="0.3">
      <c r="A9" s="350" t="s">
        <v>737</v>
      </c>
      <c r="B9" s="351"/>
      <c r="C9" s="41">
        <f>C5-C6-C7-C8</f>
        <v>1062526792.4600002</v>
      </c>
    </row>
    <row r="10" spans="1:5" ht="43.9" customHeight="1" x14ac:dyDescent="0.25">
      <c r="A10" s="347" t="s">
        <v>731</v>
      </c>
      <c r="B10" s="348"/>
      <c r="C10" s="349"/>
    </row>
    <row r="11" spans="1:5" ht="18.75" customHeight="1" x14ac:dyDescent="0.25">
      <c r="A11" s="347" t="s">
        <v>732</v>
      </c>
      <c r="B11" s="349"/>
      <c r="C11" s="40" t="s">
        <v>740</v>
      </c>
    </row>
    <row r="12" spans="1:5" ht="18.75" x14ac:dyDescent="0.3">
      <c r="A12" s="350" t="s">
        <v>733</v>
      </c>
      <c r="B12" s="351"/>
      <c r="C12" s="41">
        <f>Перечень!P550</f>
        <v>1533901394.6799998</v>
      </c>
    </row>
    <row r="13" spans="1:5" ht="33.75" customHeight="1" x14ac:dyDescent="0.3">
      <c r="A13" s="350" t="s">
        <v>734</v>
      </c>
      <c r="B13" s="351"/>
      <c r="C13" s="41">
        <v>0</v>
      </c>
    </row>
    <row r="14" spans="1:5" ht="18.75" x14ac:dyDescent="0.3">
      <c r="A14" s="350" t="s">
        <v>735</v>
      </c>
      <c r="B14" s="351"/>
      <c r="C14" s="41">
        <f>Перечень!Q550</f>
        <v>0</v>
      </c>
    </row>
    <row r="15" spans="1:5" ht="18.75" x14ac:dyDescent="0.3">
      <c r="A15" s="350" t="s">
        <v>736</v>
      </c>
      <c r="B15" s="351"/>
      <c r="C15" s="41">
        <f>Перечень!R550</f>
        <v>3015567.51</v>
      </c>
    </row>
    <row r="16" spans="1:5" ht="18.75" customHeight="1" x14ac:dyDescent="0.3">
      <c r="A16" s="350" t="s">
        <v>737</v>
      </c>
      <c r="B16" s="351"/>
      <c r="C16" s="41">
        <f>C12-C13-C14-C15</f>
        <v>1530885827.1699998</v>
      </c>
    </row>
    <row r="17" spans="1:3" ht="39.75" customHeight="1" x14ac:dyDescent="0.25">
      <c r="A17" s="347" t="s">
        <v>731</v>
      </c>
      <c r="B17" s="348"/>
      <c r="C17" s="349"/>
    </row>
    <row r="18" spans="1:3" ht="18.75" customHeight="1" x14ac:dyDescent="0.25">
      <c r="A18" s="347" t="s">
        <v>732</v>
      </c>
      <c r="B18" s="349"/>
      <c r="C18" s="40" t="s">
        <v>741</v>
      </c>
    </row>
    <row r="19" spans="1:3" ht="18.75" x14ac:dyDescent="0.3">
      <c r="A19" s="350" t="s">
        <v>733</v>
      </c>
      <c r="B19" s="351"/>
      <c r="C19" s="41">
        <f>Перечень!P1028</f>
        <v>830181076.74000001</v>
      </c>
    </row>
    <row r="20" spans="1:3" ht="41.25" customHeight="1" x14ac:dyDescent="0.3">
      <c r="A20" s="350" t="s">
        <v>734</v>
      </c>
      <c r="B20" s="351"/>
      <c r="C20" s="41">
        <v>0</v>
      </c>
    </row>
    <row r="21" spans="1:3" ht="18.75" x14ac:dyDescent="0.3">
      <c r="A21" s="350" t="s">
        <v>735</v>
      </c>
      <c r="B21" s="351"/>
      <c r="C21" s="41">
        <f>Перечень!Q1028</f>
        <v>0</v>
      </c>
    </row>
    <row r="22" spans="1:3" ht="18.75" x14ac:dyDescent="0.3">
      <c r="A22" s="350" t="s">
        <v>736</v>
      </c>
      <c r="B22" s="351"/>
      <c r="C22" s="41">
        <f>Перечень!R1028</f>
        <v>1851570.68</v>
      </c>
    </row>
    <row r="23" spans="1:3" ht="18.75" customHeight="1" x14ac:dyDescent="0.3">
      <c r="A23" s="350" t="s">
        <v>737</v>
      </c>
      <c r="B23" s="351"/>
      <c r="C23" s="41">
        <f>C19-C20-C21-C22</f>
        <v>828329506.06000006</v>
      </c>
    </row>
    <row r="24" spans="1:3" ht="81.75" customHeight="1" x14ac:dyDescent="0.25">
      <c r="A24" s="347" t="s">
        <v>1604</v>
      </c>
      <c r="B24" s="348"/>
      <c r="C24" s="349"/>
    </row>
    <row r="25" spans="1:3" ht="18.75" customHeight="1" x14ac:dyDescent="0.25">
      <c r="A25" s="347" t="s">
        <v>732</v>
      </c>
      <c r="B25" s="349"/>
      <c r="C25" s="40" t="s">
        <v>739</v>
      </c>
    </row>
    <row r="26" spans="1:3" ht="18.75" x14ac:dyDescent="0.3">
      <c r="A26" s="350" t="s">
        <v>735</v>
      </c>
      <c r="B26" s="351"/>
      <c r="C26" s="41">
        <f>Перечень!Q1314</f>
        <v>4599545.3899999997</v>
      </c>
    </row>
    <row r="27" spans="1:3" s="94" customFormat="1" ht="23.25" customHeight="1" x14ac:dyDescent="0.3">
      <c r="A27" s="350" t="s">
        <v>736</v>
      </c>
      <c r="B27" s="351"/>
      <c r="C27" s="41">
        <f>Перечень!R1314</f>
        <v>1178018</v>
      </c>
    </row>
    <row r="28" spans="1:3" s="94" customFormat="1" ht="27" customHeight="1" x14ac:dyDescent="0.3">
      <c r="A28" s="350" t="s">
        <v>737</v>
      </c>
      <c r="B28" s="351"/>
      <c r="C28" s="41">
        <f>Перечень!S1314</f>
        <v>1256638.3399999999</v>
      </c>
    </row>
    <row r="29" spans="1:3" ht="82.5" customHeight="1" x14ac:dyDescent="0.25">
      <c r="A29" s="347" t="s">
        <v>1665</v>
      </c>
      <c r="B29" s="348"/>
      <c r="C29" s="349"/>
    </row>
    <row r="30" spans="1:3" ht="18.75" customHeight="1" x14ac:dyDescent="0.25">
      <c r="A30" s="347" t="s">
        <v>732</v>
      </c>
      <c r="B30" s="349"/>
      <c r="C30" s="40" t="s">
        <v>740</v>
      </c>
    </row>
    <row r="31" spans="1:3" ht="18.75" x14ac:dyDescent="0.3">
      <c r="A31" s="350" t="s">
        <v>735</v>
      </c>
      <c r="B31" s="351"/>
      <c r="C31" s="41">
        <v>28826300</v>
      </c>
    </row>
    <row r="32" spans="1:3" s="136" customFormat="1" ht="23.25" customHeight="1" x14ac:dyDescent="0.3">
      <c r="A32" s="352" t="s">
        <v>1663</v>
      </c>
      <c r="B32" s="353"/>
      <c r="C32" s="252">
        <f>C31-Перечень!Q1321</f>
        <v>24222391.82</v>
      </c>
    </row>
    <row r="33" spans="1:5" s="136" customFormat="1" ht="23.25" customHeight="1" x14ac:dyDescent="0.3">
      <c r="A33" s="352" t="s">
        <v>736</v>
      </c>
      <c r="B33" s="353"/>
      <c r="C33" s="252">
        <f>Перечень!R1321</f>
        <v>1158867.83</v>
      </c>
    </row>
    <row r="34" spans="1:5" s="136" customFormat="1" ht="27" customHeight="1" x14ac:dyDescent="0.3">
      <c r="A34" s="352" t="s">
        <v>737</v>
      </c>
      <c r="B34" s="353"/>
      <c r="C34" s="252">
        <f>Перечень!S1321</f>
        <v>767031.99</v>
      </c>
    </row>
    <row r="35" spans="1:5" ht="81" customHeight="1" x14ac:dyDescent="0.25">
      <c r="A35" s="347" t="s">
        <v>1604</v>
      </c>
      <c r="B35" s="348"/>
      <c r="C35" s="349"/>
    </row>
    <row r="36" spans="1:5" ht="18.75" customHeight="1" x14ac:dyDescent="0.25">
      <c r="A36" s="347" t="s">
        <v>732</v>
      </c>
      <c r="B36" s="349"/>
      <c r="C36" s="40" t="s">
        <v>741</v>
      </c>
    </row>
    <row r="37" spans="1:5" ht="18.75" x14ac:dyDescent="0.3">
      <c r="A37" s="350" t="s">
        <v>735</v>
      </c>
      <c r="B37" s="351"/>
      <c r="C37" s="41">
        <v>28058900</v>
      </c>
    </row>
    <row r="38" spans="1:5" ht="81" customHeight="1" x14ac:dyDescent="0.25">
      <c r="A38" s="347" t="s">
        <v>1604</v>
      </c>
      <c r="B38" s="348"/>
      <c r="C38" s="349"/>
    </row>
    <row r="39" spans="1:5" ht="18.75" customHeight="1" x14ac:dyDescent="0.25">
      <c r="A39" s="347" t="s">
        <v>732</v>
      </c>
      <c r="B39" s="349"/>
      <c r="C39" s="40" t="s">
        <v>2280</v>
      </c>
    </row>
    <row r="40" spans="1:5" ht="18.75" x14ac:dyDescent="0.3">
      <c r="A40" s="350" t="s">
        <v>735</v>
      </c>
      <c r="B40" s="351"/>
      <c r="C40" s="41">
        <v>28058900</v>
      </c>
    </row>
    <row r="41" spans="1:5" ht="81.75" customHeight="1" x14ac:dyDescent="0.25">
      <c r="A41" s="347" t="s">
        <v>1924</v>
      </c>
      <c r="B41" s="348"/>
      <c r="C41" s="349"/>
    </row>
    <row r="42" spans="1:5" ht="18.75" customHeight="1" x14ac:dyDescent="0.25">
      <c r="A42" s="347" t="s">
        <v>732</v>
      </c>
      <c r="B42" s="349"/>
      <c r="C42" s="40" t="s">
        <v>739</v>
      </c>
    </row>
    <row r="43" spans="1:5" ht="18.75" x14ac:dyDescent="0.3">
      <c r="A43" s="350" t="s">
        <v>733</v>
      </c>
      <c r="B43" s="351"/>
      <c r="C43" s="41">
        <f>Реестр!D1334</f>
        <v>17288357.709999997</v>
      </c>
    </row>
    <row r="44" spans="1:5" ht="37.5" customHeight="1" x14ac:dyDescent="0.3">
      <c r="A44" s="350" t="s">
        <v>734</v>
      </c>
      <c r="B44" s="351"/>
      <c r="C44" s="41">
        <v>0</v>
      </c>
    </row>
    <row r="45" spans="1:5" ht="18.75" x14ac:dyDescent="0.3">
      <c r="A45" s="350" t="s">
        <v>735</v>
      </c>
      <c r="B45" s="351"/>
      <c r="C45" s="41">
        <f>Перечень!Q47</f>
        <v>0</v>
      </c>
    </row>
    <row r="46" spans="1:5" ht="18.75" x14ac:dyDescent="0.3">
      <c r="A46" s="350" t="s">
        <v>736</v>
      </c>
      <c r="B46" s="351"/>
      <c r="C46" s="41">
        <f>Перечень!R47</f>
        <v>0</v>
      </c>
      <c r="D46">
        <v>4344514.92</v>
      </c>
      <c r="E46" s="87">
        <v>746895.1400000006</v>
      </c>
    </row>
    <row r="47" spans="1:5" ht="18.75" customHeight="1" x14ac:dyDescent="0.3">
      <c r="A47" s="350" t="s">
        <v>737</v>
      </c>
      <c r="B47" s="351"/>
      <c r="C47" s="41">
        <f>C43-C44-C45-C46</f>
        <v>17288357.709999997</v>
      </c>
    </row>
  </sheetData>
  <mergeCells count="46">
    <mergeCell ref="A38:C38"/>
    <mergeCell ref="A39:B39"/>
    <mergeCell ref="A40:B40"/>
    <mergeCell ref="A47:B47"/>
    <mergeCell ref="A43:B43"/>
    <mergeCell ref="A41:C41"/>
    <mergeCell ref="A42:B42"/>
    <mergeCell ref="A44:B44"/>
    <mergeCell ref="A45:B45"/>
    <mergeCell ref="A46:B46"/>
    <mergeCell ref="A23:B23"/>
    <mergeCell ref="A13:B13"/>
    <mergeCell ref="A14:B14"/>
    <mergeCell ref="A15:B15"/>
    <mergeCell ref="A16:B16"/>
    <mergeCell ref="A17:C17"/>
    <mergeCell ref="A18:B18"/>
    <mergeCell ref="A19:B19"/>
    <mergeCell ref="A20:B20"/>
    <mergeCell ref="A21:B21"/>
    <mergeCell ref="A22:B22"/>
    <mergeCell ref="A8:B8"/>
    <mergeCell ref="A9:B9"/>
    <mergeCell ref="A10:C10"/>
    <mergeCell ref="A11:B11"/>
    <mergeCell ref="A12:B12"/>
    <mergeCell ref="A7:B7"/>
    <mergeCell ref="A2:C2"/>
    <mergeCell ref="A3:C3"/>
    <mergeCell ref="A4:B4"/>
    <mergeCell ref="A5:B5"/>
    <mergeCell ref="A6:B6"/>
    <mergeCell ref="A35:C35"/>
    <mergeCell ref="A36:B36"/>
    <mergeCell ref="A37:B37"/>
    <mergeCell ref="A31:B31"/>
    <mergeCell ref="A24:C24"/>
    <mergeCell ref="A25:B25"/>
    <mergeCell ref="A26:B26"/>
    <mergeCell ref="A29:C29"/>
    <mergeCell ref="A30:B30"/>
    <mergeCell ref="A27:B27"/>
    <mergeCell ref="A28:B28"/>
    <mergeCell ref="A32:B32"/>
    <mergeCell ref="A33:B33"/>
    <mergeCell ref="A34:B34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231"/>
  <sheetViews>
    <sheetView topLeftCell="A6" zoomScale="70" zoomScaleNormal="70" workbookViewId="0">
      <selection activeCell="B78" sqref="B12:B78"/>
    </sheetView>
  </sheetViews>
  <sheetFormatPr defaultRowHeight="15" x14ac:dyDescent="0.25"/>
  <cols>
    <col min="1" max="1" width="9" style="6" customWidth="1"/>
    <col min="2" max="2" width="81" style="6" customWidth="1"/>
    <col min="3" max="3" width="23.85546875" style="6" customWidth="1"/>
    <col min="4" max="4" width="32.28515625" style="6" customWidth="1"/>
    <col min="5" max="5" width="22.140625" style="6" customWidth="1"/>
    <col min="6" max="6" width="28.85546875" style="6" customWidth="1"/>
    <col min="7" max="7" width="9.140625" style="6"/>
    <col min="8" max="8" width="0" style="6" hidden="1" customWidth="1"/>
    <col min="9" max="9" width="16.28515625" style="6" hidden="1" customWidth="1"/>
    <col min="10" max="10" width="0" style="6" hidden="1" customWidth="1"/>
    <col min="11" max="11" width="17" style="6" customWidth="1"/>
    <col min="12" max="12" width="11.7109375" style="6" bestFit="1" customWidth="1"/>
    <col min="13" max="13" width="16.85546875" style="6" bestFit="1" customWidth="1"/>
    <col min="14" max="14" width="11.85546875" style="6" bestFit="1" customWidth="1"/>
    <col min="15" max="15" width="16.85546875" style="6" bestFit="1" customWidth="1"/>
    <col min="16" max="16384" width="9.140625" style="6"/>
  </cols>
  <sheetData>
    <row r="1" spans="1:15" ht="20.25" x14ac:dyDescent="0.25">
      <c r="A1" s="5"/>
      <c r="B1" s="5"/>
      <c r="C1" s="5"/>
      <c r="D1" s="5"/>
      <c r="E1" s="361" t="s">
        <v>742</v>
      </c>
      <c r="F1" s="361"/>
    </row>
    <row r="2" spans="1:15" ht="95.25" customHeight="1" x14ac:dyDescent="0.25">
      <c r="B2" s="7"/>
      <c r="C2" s="7"/>
      <c r="D2" s="362" t="s">
        <v>749</v>
      </c>
      <c r="E2" s="362"/>
      <c r="F2" s="362"/>
    </row>
    <row r="3" spans="1:15" x14ac:dyDescent="0.25">
      <c r="A3" s="363" t="s">
        <v>750</v>
      </c>
      <c r="B3" s="363"/>
      <c r="C3" s="363"/>
      <c r="D3" s="363"/>
      <c r="E3" s="363"/>
      <c r="F3" s="363"/>
    </row>
    <row r="4" spans="1:15" ht="93" customHeight="1" x14ac:dyDescent="0.25">
      <c r="A4" s="363"/>
      <c r="B4" s="363"/>
      <c r="C4" s="363"/>
      <c r="D4" s="363"/>
      <c r="E4" s="363"/>
      <c r="F4" s="363"/>
    </row>
    <row r="5" spans="1:15" x14ac:dyDescent="0.25">
      <c r="A5" s="364" t="s">
        <v>6</v>
      </c>
      <c r="B5" s="367" t="s">
        <v>743</v>
      </c>
      <c r="C5" s="364" t="s">
        <v>744</v>
      </c>
      <c r="D5" s="364" t="s">
        <v>745</v>
      </c>
      <c r="E5" s="364" t="s">
        <v>746</v>
      </c>
      <c r="F5" s="364" t="s">
        <v>747</v>
      </c>
    </row>
    <row r="6" spans="1:15" x14ac:dyDescent="0.25">
      <c r="A6" s="365"/>
      <c r="B6" s="368"/>
      <c r="C6" s="370"/>
      <c r="D6" s="370"/>
      <c r="E6" s="370"/>
      <c r="F6" s="370"/>
    </row>
    <row r="7" spans="1:15" ht="101.25" customHeight="1" x14ac:dyDescent="0.25">
      <c r="A7" s="365"/>
      <c r="B7" s="368"/>
      <c r="C7" s="371"/>
      <c r="D7" s="371"/>
      <c r="E7" s="371"/>
      <c r="F7" s="371"/>
    </row>
    <row r="8" spans="1:15" ht="20.25" x14ac:dyDescent="0.3">
      <c r="A8" s="366"/>
      <c r="B8" s="369"/>
      <c r="C8" s="8" t="s">
        <v>748</v>
      </c>
      <c r="D8" s="8" t="s">
        <v>263</v>
      </c>
      <c r="E8" s="9" t="s">
        <v>37</v>
      </c>
      <c r="F8" s="9" t="s">
        <v>36</v>
      </c>
    </row>
    <row r="9" spans="1:15" ht="20.25" x14ac:dyDescent="0.3">
      <c r="A9" s="10">
        <v>1</v>
      </c>
      <c r="B9" s="10">
        <v>2</v>
      </c>
      <c r="C9" s="10">
        <v>3</v>
      </c>
      <c r="D9" s="10">
        <v>4</v>
      </c>
      <c r="E9" s="10">
        <v>5</v>
      </c>
      <c r="F9" s="10">
        <v>6</v>
      </c>
    </row>
    <row r="10" spans="1:15" ht="20.25" x14ac:dyDescent="0.3">
      <c r="A10" s="3" t="s">
        <v>752</v>
      </c>
      <c r="B10" s="11"/>
      <c r="C10" s="70">
        <f>C11+C79+C147</f>
        <v>2801110.42</v>
      </c>
      <c r="D10" s="71">
        <f>D11+D79+D147</f>
        <v>107819</v>
      </c>
      <c r="E10" s="71">
        <f>E11+E79+E147</f>
        <v>1103</v>
      </c>
      <c r="F10" s="460">
        <f>F11+F79+F147</f>
        <v>3429517613.6499996</v>
      </c>
      <c r="K10" s="93"/>
      <c r="M10" s="93"/>
      <c r="N10" s="93"/>
      <c r="O10" s="93"/>
    </row>
    <row r="11" spans="1:15" ht="20.25" x14ac:dyDescent="0.3">
      <c r="A11" s="3" t="s">
        <v>753</v>
      </c>
      <c r="B11" s="11"/>
      <c r="C11" s="70">
        <f>SUM(C12:C78)</f>
        <v>1282974.6400000004</v>
      </c>
      <c r="D11" s="71">
        <f>SUM(D12:D78)</f>
        <v>49293</v>
      </c>
      <c r="E11" s="71">
        <f>SUM(E12:E78)</f>
        <v>468</v>
      </c>
      <c r="F11" s="460">
        <f>SUM(F12:F78)</f>
        <v>1065435142.2300001</v>
      </c>
      <c r="K11" s="93"/>
    </row>
    <row r="12" spans="1:15" ht="20.25" x14ac:dyDescent="0.3">
      <c r="A12" s="4">
        <v>1</v>
      </c>
      <c r="B12" s="3" t="s">
        <v>985</v>
      </c>
      <c r="C12" s="70">
        <v>362242.11000000022</v>
      </c>
      <c r="D12" s="71">
        <v>13536</v>
      </c>
      <c r="E12" s="72">
        <v>104</v>
      </c>
      <c r="F12" s="98">
        <v>266320148.65000004</v>
      </c>
    </row>
    <row r="13" spans="1:15" ht="20.25" x14ac:dyDescent="0.3">
      <c r="A13" s="4">
        <v>2</v>
      </c>
      <c r="B13" s="3" t="s">
        <v>892</v>
      </c>
      <c r="C13" s="70">
        <v>54718.7</v>
      </c>
      <c r="D13" s="71">
        <v>2187</v>
      </c>
      <c r="E13" s="72">
        <v>29</v>
      </c>
      <c r="F13" s="98">
        <v>50842017.530000001</v>
      </c>
    </row>
    <row r="14" spans="1:15" ht="20.25" x14ac:dyDescent="0.3">
      <c r="A14" s="4">
        <v>3</v>
      </c>
      <c r="B14" s="3" t="s">
        <v>893</v>
      </c>
      <c r="C14" s="82">
        <v>122338.65999999997</v>
      </c>
      <c r="D14" s="72">
        <v>4539</v>
      </c>
      <c r="E14" s="72">
        <v>45</v>
      </c>
      <c r="F14" s="98">
        <v>112751259.44999994</v>
      </c>
    </row>
    <row r="15" spans="1:15" ht="20.25" x14ac:dyDescent="0.3">
      <c r="A15" s="4">
        <v>4</v>
      </c>
      <c r="B15" s="3" t="s">
        <v>948</v>
      </c>
      <c r="C15" s="82">
        <v>218132.8</v>
      </c>
      <c r="D15" s="72">
        <v>7911</v>
      </c>
      <c r="E15" s="72">
        <v>36</v>
      </c>
      <c r="F15" s="98">
        <v>128937901.11000001</v>
      </c>
    </row>
    <row r="16" spans="1:15" ht="20.25" x14ac:dyDescent="0.3">
      <c r="A16" s="4">
        <v>5</v>
      </c>
      <c r="B16" s="3" t="s">
        <v>895</v>
      </c>
      <c r="C16" s="70">
        <v>38189.1</v>
      </c>
      <c r="D16" s="71">
        <v>1569</v>
      </c>
      <c r="E16" s="72">
        <v>5</v>
      </c>
      <c r="F16" s="98">
        <v>11570369.789999999</v>
      </c>
    </row>
    <row r="17" spans="1:6" ht="20.25" x14ac:dyDescent="0.3">
      <c r="A17" s="4">
        <v>6</v>
      </c>
      <c r="B17" s="3" t="s">
        <v>896</v>
      </c>
      <c r="C17" s="82">
        <v>91721.91</v>
      </c>
      <c r="D17" s="72">
        <v>3374</v>
      </c>
      <c r="E17" s="72">
        <v>26</v>
      </c>
      <c r="F17" s="98">
        <v>65365711.729999989</v>
      </c>
    </row>
    <row r="18" spans="1:6" ht="20.25" x14ac:dyDescent="0.3">
      <c r="A18" s="4">
        <v>7</v>
      </c>
      <c r="B18" s="3" t="s">
        <v>897</v>
      </c>
      <c r="C18" s="82">
        <v>29543.5</v>
      </c>
      <c r="D18" s="72">
        <v>855</v>
      </c>
      <c r="E18" s="72">
        <v>5</v>
      </c>
      <c r="F18" s="98">
        <v>14114868.93</v>
      </c>
    </row>
    <row r="19" spans="1:6" ht="20.25" x14ac:dyDescent="0.3">
      <c r="A19" s="4">
        <v>8</v>
      </c>
      <c r="B19" s="3" t="s">
        <v>898</v>
      </c>
      <c r="C19" s="82">
        <v>10662.800000000001</v>
      </c>
      <c r="D19" s="72">
        <v>403</v>
      </c>
      <c r="E19" s="72">
        <v>6</v>
      </c>
      <c r="F19" s="98">
        <v>30964559.009999998</v>
      </c>
    </row>
    <row r="20" spans="1:6" ht="20.25" x14ac:dyDescent="0.3">
      <c r="A20" s="4">
        <v>9</v>
      </c>
      <c r="B20" s="3" t="s">
        <v>899</v>
      </c>
      <c r="C20" s="82">
        <v>14970.710000000001</v>
      </c>
      <c r="D20" s="72">
        <v>518</v>
      </c>
      <c r="E20" s="72">
        <v>4</v>
      </c>
      <c r="F20" s="98">
        <v>12442442.430000002</v>
      </c>
    </row>
    <row r="21" spans="1:6" ht="20.25" x14ac:dyDescent="0.3">
      <c r="A21" s="4">
        <v>10</v>
      </c>
      <c r="B21" s="3" t="s">
        <v>1362</v>
      </c>
      <c r="C21" s="82">
        <v>762</v>
      </c>
      <c r="D21" s="72">
        <v>42</v>
      </c>
      <c r="E21" s="72">
        <v>1</v>
      </c>
      <c r="F21" s="98">
        <v>345276.04000000004</v>
      </c>
    </row>
    <row r="22" spans="1:6" ht="20.25" x14ac:dyDescent="0.3">
      <c r="A22" s="4">
        <v>11</v>
      </c>
      <c r="B22" s="3" t="s">
        <v>900</v>
      </c>
      <c r="C22" s="82">
        <v>2259.1</v>
      </c>
      <c r="D22" s="72">
        <v>104</v>
      </c>
      <c r="E22" s="72">
        <v>2</v>
      </c>
      <c r="F22" s="98">
        <v>5773107.5300000003</v>
      </c>
    </row>
    <row r="23" spans="1:6" ht="20.25" x14ac:dyDescent="0.3">
      <c r="A23" s="4">
        <v>12</v>
      </c>
      <c r="B23" s="3" t="s">
        <v>901</v>
      </c>
      <c r="C23" s="82">
        <v>4271.2</v>
      </c>
      <c r="D23" s="72">
        <v>227</v>
      </c>
      <c r="E23" s="72">
        <v>5</v>
      </c>
      <c r="F23" s="98">
        <v>10624337.110000001</v>
      </c>
    </row>
    <row r="24" spans="1:6" ht="20.25" x14ac:dyDescent="0.3">
      <c r="A24" s="4">
        <v>13</v>
      </c>
      <c r="B24" s="3" t="s">
        <v>902</v>
      </c>
      <c r="C24" s="82">
        <v>3135.5000000000005</v>
      </c>
      <c r="D24" s="72">
        <v>130</v>
      </c>
      <c r="E24" s="72">
        <v>5</v>
      </c>
      <c r="F24" s="98">
        <v>4459924.01</v>
      </c>
    </row>
    <row r="25" spans="1:6" ht="20.25" x14ac:dyDescent="0.3">
      <c r="A25" s="4">
        <v>14</v>
      </c>
      <c r="B25" s="3" t="s">
        <v>904</v>
      </c>
      <c r="C25" s="82">
        <v>3504.3</v>
      </c>
      <c r="D25" s="72">
        <v>178</v>
      </c>
      <c r="E25" s="72">
        <v>1</v>
      </c>
      <c r="F25" s="98">
        <v>1997229.1400000001</v>
      </c>
    </row>
    <row r="26" spans="1:6" ht="20.25" x14ac:dyDescent="0.3">
      <c r="A26" s="4">
        <v>15</v>
      </c>
      <c r="B26" s="3" t="s">
        <v>905</v>
      </c>
      <c r="C26" s="82">
        <v>37828.900000000009</v>
      </c>
      <c r="D26" s="72">
        <v>1989</v>
      </c>
      <c r="E26" s="72">
        <v>15</v>
      </c>
      <c r="F26" s="98">
        <v>29976052.369999997</v>
      </c>
    </row>
    <row r="27" spans="1:6" ht="20.25" x14ac:dyDescent="0.3">
      <c r="A27" s="4">
        <v>16</v>
      </c>
      <c r="B27" s="3" t="s">
        <v>906</v>
      </c>
      <c r="C27" s="82">
        <v>12766.299999999997</v>
      </c>
      <c r="D27" s="72">
        <v>777</v>
      </c>
      <c r="E27" s="72">
        <v>16</v>
      </c>
      <c r="F27" s="98">
        <v>22830689.180000003</v>
      </c>
    </row>
    <row r="28" spans="1:6" ht="20.25" x14ac:dyDescent="0.3">
      <c r="A28" s="4">
        <v>17</v>
      </c>
      <c r="B28" s="3" t="s">
        <v>907</v>
      </c>
      <c r="C28" s="82">
        <v>1395.0000000000002</v>
      </c>
      <c r="D28" s="72">
        <v>56</v>
      </c>
      <c r="E28" s="72">
        <v>4</v>
      </c>
      <c r="F28" s="98">
        <v>2221160.0099999998</v>
      </c>
    </row>
    <row r="29" spans="1:6" ht="20.25" x14ac:dyDescent="0.3">
      <c r="A29" s="4">
        <v>18</v>
      </c>
      <c r="B29" s="3" t="s">
        <v>908</v>
      </c>
      <c r="C29" s="82">
        <v>1222.4000000000001</v>
      </c>
      <c r="D29" s="72">
        <v>44</v>
      </c>
      <c r="E29" s="72">
        <v>2</v>
      </c>
      <c r="F29" s="98">
        <v>4069083.7199999997</v>
      </c>
    </row>
    <row r="30" spans="1:6" ht="20.25" x14ac:dyDescent="0.3">
      <c r="A30" s="4">
        <v>19</v>
      </c>
      <c r="B30" s="3" t="s">
        <v>966</v>
      </c>
      <c r="C30" s="82">
        <v>1746.5</v>
      </c>
      <c r="D30" s="72">
        <v>78</v>
      </c>
      <c r="E30" s="72">
        <v>2</v>
      </c>
      <c r="F30" s="98">
        <v>5178138.5</v>
      </c>
    </row>
    <row r="31" spans="1:6" ht="20.25" x14ac:dyDescent="0.3">
      <c r="A31" s="4">
        <v>20</v>
      </c>
      <c r="B31" s="3" t="s">
        <v>911</v>
      </c>
      <c r="C31" s="70">
        <v>5843.6</v>
      </c>
      <c r="D31" s="71">
        <v>224</v>
      </c>
      <c r="E31" s="72">
        <v>3</v>
      </c>
      <c r="F31" s="98">
        <v>8426851.959999999</v>
      </c>
    </row>
    <row r="32" spans="1:6" ht="20.25" x14ac:dyDescent="0.3">
      <c r="A32" s="4">
        <v>21</v>
      </c>
      <c r="B32" s="3" t="s">
        <v>953</v>
      </c>
      <c r="C32" s="70">
        <v>9076.82</v>
      </c>
      <c r="D32" s="71">
        <v>298</v>
      </c>
      <c r="E32" s="72">
        <v>2</v>
      </c>
      <c r="F32" s="98">
        <v>7968708.8700000001</v>
      </c>
    </row>
    <row r="33" spans="1:6" ht="20.25" x14ac:dyDescent="0.3">
      <c r="A33" s="4">
        <v>22</v>
      </c>
      <c r="B33" s="3" t="s">
        <v>913</v>
      </c>
      <c r="C33" s="70">
        <v>846.4</v>
      </c>
      <c r="D33" s="71">
        <v>26</v>
      </c>
      <c r="E33" s="72">
        <v>1</v>
      </c>
      <c r="F33" s="98">
        <v>1861701.91</v>
      </c>
    </row>
    <row r="34" spans="1:6" ht="20.25" x14ac:dyDescent="0.3">
      <c r="A34" s="4">
        <v>23</v>
      </c>
      <c r="B34" s="3" t="s">
        <v>915</v>
      </c>
      <c r="C34" s="82">
        <v>50658.080000000002</v>
      </c>
      <c r="D34" s="72">
        <v>1648</v>
      </c>
      <c r="E34" s="72">
        <v>17</v>
      </c>
      <c r="F34" s="98">
        <v>44398957.329999998</v>
      </c>
    </row>
    <row r="35" spans="1:6" ht="20.25" x14ac:dyDescent="0.3">
      <c r="A35" s="4">
        <v>24</v>
      </c>
      <c r="B35" s="3" t="s">
        <v>967</v>
      </c>
      <c r="C35" s="82">
        <v>2529.2999999999997</v>
      </c>
      <c r="D35" s="72">
        <v>106</v>
      </c>
      <c r="E35" s="72">
        <v>2</v>
      </c>
      <c r="F35" s="98">
        <v>2076549.34</v>
      </c>
    </row>
    <row r="36" spans="1:6" ht="20.25" x14ac:dyDescent="0.3">
      <c r="A36" s="4">
        <v>25</v>
      </c>
      <c r="B36" s="3" t="s">
        <v>968</v>
      </c>
      <c r="C36" s="82">
        <v>375</v>
      </c>
      <c r="D36" s="72">
        <v>21</v>
      </c>
      <c r="E36" s="72">
        <v>1</v>
      </c>
      <c r="F36" s="98">
        <v>2005046.9200000002</v>
      </c>
    </row>
    <row r="37" spans="1:6" ht="20.25" x14ac:dyDescent="0.3">
      <c r="A37" s="4">
        <v>26</v>
      </c>
      <c r="B37" s="3" t="s">
        <v>969</v>
      </c>
      <c r="C37" s="82">
        <v>1156.21</v>
      </c>
      <c r="D37" s="72">
        <v>44</v>
      </c>
      <c r="E37" s="72">
        <v>1</v>
      </c>
      <c r="F37" s="98">
        <v>3716503.4299999997</v>
      </c>
    </row>
    <row r="38" spans="1:6" ht="20.25" x14ac:dyDescent="0.3">
      <c r="A38" s="4">
        <v>27</v>
      </c>
      <c r="B38" s="3" t="s">
        <v>917</v>
      </c>
      <c r="C38" s="82">
        <v>2624.2</v>
      </c>
      <c r="D38" s="72">
        <v>125</v>
      </c>
      <c r="E38" s="72">
        <v>4</v>
      </c>
      <c r="F38" s="98">
        <v>4283070.8099999996</v>
      </c>
    </row>
    <row r="39" spans="1:6" ht="20.25" x14ac:dyDescent="0.3">
      <c r="A39" s="4">
        <v>28</v>
      </c>
      <c r="B39" s="3" t="s">
        <v>918</v>
      </c>
      <c r="C39" s="70">
        <v>1157</v>
      </c>
      <c r="D39" s="71">
        <v>40</v>
      </c>
      <c r="E39" s="72">
        <v>2</v>
      </c>
      <c r="F39" s="98">
        <v>3114731.1799999997</v>
      </c>
    </row>
    <row r="40" spans="1:6" ht="20.25" x14ac:dyDescent="0.3">
      <c r="A40" s="4">
        <v>29</v>
      </c>
      <c r="B40" s="3" t="s">
        <v>916</v>
      </c>
      <c r="C40" s="83">
        <v>407.9</v>
      </c>
      <c r="D40" s="84">
        <v>21</v>
      </c>
      <c r="E40" s="72">
        <v>1</v>
      </c>
      <c r="F40" s="98">
        <v>43566.44</v>
      </c>
    </row>
    <row r="41" spans="1:6" ht="20.25" x14ac:dyDescent="0.3">
      <c r="A41" s="4">
        <v>30</v>
      </c>
      <c r="B41" s="3" t="s">
        <v>919</v>
      </c>
      <c r="C41" s="82">
        <v>2253.2999999999997</v>
      </c>
      <c r="D41" s="72">
        <v>108</v>
      </c>
      <c r="E41" s="72">
        <v>4</v>
      </c>
      <c r="F41" s="98">
        <v>4166442.5</v>
      </c>
    </row>
    <row r="42" spans="1:6" ht="20.25" x14ac:dyDescent="0.3">
      <c r="A42" s="4">
        <v>31</v>
      </c>
      <c r="B42" s="3" t="s">
        <v>954</v>
      </c>
      <c r="C42" s="70">
        <v>829.4</v>
      </c>
      <c r="D42" s="71">
        <v>42</v>
      </c>
      <c r="E42" s="72">
        <v>1</v>
      </c>
      <c r="F42" s="98">
        <v>2786770.47</v>
      </c>
    </row>
    <row r="43" spans="1:6" ht="20.25" x14ac:dyDescent="0.3">
      <c r="A43" s="4">
        <v>32</v>
      </c>
      <c r="B43" s="3" t="s">
        <v>920</v>
      </c>
      <c r="C43" s="70">
        <v>10312.24</v>
      </c>
      <c r="D43" s="71">
        <v>425</v>
      </c>
      <c r="E43" s="72">
        <v>7</v>
      </c>
      <c r="F43" s="98">
        <v>8480737.0799999982</v>
      </c>
    </row>
    <row r="44" spans="1:6" ht="20.25" x14ac:dyDescent="0.3">
      <c r="A44" s="4">
        <v>33</v>
      </c>
      <c r="B44" s="3" t="s">
        <v>921</v>
      </c>
      <c r="C44" s="70">
        <v>613</v>
      </c>
      <c r="D44" s="71">
        <v>32</v>
      </c>
      <c r="E44" s="72">
        <v>1</v>
      </c>
      <c r="F44" s="98">
        <v>2358530.46</v>
      </c>
    </row>
    <row r="45" spans="1:6" ht="20.25" x14ac:dyDescent="0.3">
      <c r="A45" s="4">
        <v>34</v>
      </c>
      <c r="B45" s="3" t="s">
        <v>955</v>
      </c>
      <c r="C45" s="70">
        <v>866.6</v>
      </c>
      <c r="D45" s="71">
        <v>34</v>
      </c>
      <c r="E45" s="72">
        <v>3</v>
      </c>
      <c r="F45" s="98">
        <v>178408.21000000002</v>
      </c>
    </row>
    <row r="46" spans="1:6" ht="20.25" x14ac:dyDescent="0.3">
      <c r="A46" s="4">
        <v>35</v>
      </c>
      <c r="B46" s="3" t="s">
        <v>923</v>
      </c>
      <c r="C46" s="82">
        <v>3663.2799999999997</v>
      </c>
      <c r="D46" s="72">
        <v>115</v>
      </c>
      <c r="E46" s="72">
        <v>3</v>
      </c>
      <c r="F46" s="98">
        <v>8700170.3300000001</v>
      </c>
    </row>
    <row r="47" spans="1:6" ht="20.25" x14ac:dyDescent="0.3">
      <c r="A47" s="4">
        <v>36</v>
      </c>
      <c r="B47" s="3" t="s">
        <v>926</v>
      </c>
      <c r="C47" s="70">
        <v>2767.4</v>
      </c>
      <c r="D47" s="71">
        <v>31</v>
      </c>
      <c r="E47" s="72">
        <v>1</v>
      </c>
      <c r="F47" s="98">
        <v>4281723.32</v>
      </c>
    </row>
    <row r="48" spans="1:6" ht="20.25" x14ac:dyDescent="0.3">
      <c r="A48" s="4">
        <v>37</v>
      </c>
      <c r="B48" s="3" t="s">
        <v>932</v>
      </c>
      <c r="C48" s="70">
        <v>15666.63</v>
      </c>
      <c r="D48" s="71">
        <v>545</v>
      </c>
      <c r="E48" s="72">
        <v>3</v>
      </c>
      <c r="F48" s="98">
        <v>2434186.5799999996</v>
      </c>
    </row>
    <row r="49" spans="1:6" ht="20.25" x14ac:dyDescent="0.3">
      <c r="A49" s="4">
        <v>38</v>
      </c>
      <c r="B49" s="3" t="s">
        <v>927</v>
      </c>
      <c r="C49" s="70">
        <v>14224.350000000002</v>
      </c>
      <c r="D49" s="71">
        <v>742</v>
      </c>
      <c r="E49" s="72">
        <v>6</v>
      </c>
      <c r="F49" s="98">
        <v>19736488.870000001</v>
      </c>
    </row>
    <row r="50" spans="1:6" ht="20.25" x14ac:dyDescent="0.3">
      <c r="A50" s="4">
        <v>39</v>
      </c>
      <c r="B50" s="3" t="s">
        <v>928</v>
      </c>
      <c r="C50" s="70">
        <v>4806.5999999999995</v>
      </c>
      <c r="D50" s="71">
        <v>165</v>
      </c>
      <c r="E50" s="72">
        <v>5</v>
      </c>
      <c r="F50" s="98">
        <v>9389545.5600000005</v>
      </c>
    </row>
    <row r="51" spans="1:6" ht="20.25" x14ac:dyDescent="0.3">
      <c r="A51" s="4">
        <v>40</v>
      </c>
      <c r="B51" s="3" t="s">
        <v>929</v>
      </c>
      <c r="C51" s="70">
        <v>1322.5</v>
      </c>
      <c r="D51" s="71">
        <v>60</v>
      </c>
      <c r="E51" s="72">
        <v>2</v>
      </c>
      <c r="F51" s="98">
        <v>5138784.57</v>
      </c>
    </row>
    <row r="52" spans="1:6" ht="20.25" x14ac:dyDescent="0.3">
      <c r="A52" s="4">
        <v>41</v>
      </c>
      <c r="B52" s="3" t="s">
        <v>931</v>
      </c>
      <c r="C52" s="70">
        <v>13058.16</v>
      </c>
      <c r="D52" s="71">
        <v>529</v>
      </c>
      <c r="E52" s="72">
        <v>10</v>
      </c>
      <c r="F52" s="98">
        <v>17752085.210000001</v>
      </c>
    </row>
    <row r="53" spans="1:6" ht="20.25" x14ac:dyDescent="0.3">
      <c r="A53" s="4">
        <v>42</v>
      </c>
      <c r="B53" s="3" t="s">
        <v>930</v>
      </c>
      <c r="C53" s="70">
        <v>878.6</v>
      </c>
      <c r="D53" s="71">
        <v>55</v>
      </c>
      <c r="E53" s="72">
        <v>1</v>
      </c>
      <c r="F53" s="98">
        <v>3622790.6399999997</v>
      </c>
    </row>
    <row r="54" spans="1:6" ht="20.25" x14ac:dyDescent="0.3">
      <c r="A54" s="4">
        <v>43</v>
      </c>
      <c r="B54" s="3" t="s">
        <v>933</v>
      </c>
      <c r="C54" s="82">
        <v>940.6</v>
      </c>
      <c r="D54" s="72">
        <v>33</v>
      </c>
      <c r="E54" s="72">
        <v>1</v>
      </c>
      <c r="F54" s="98">
        <v>3515825.94</v>
      </c>
    </row>
    <row r="55" spans="1:6" ht="20.25" x14ac:dyDescent="0.3">
      <c r="A55" s="4">
        <v>44</v>
      </c>
      <c r="B55" s="3" t="s">
        <v>970</v>
      </c>
      <c r="C55" s="82">
        <v>340.3</v>
      </c>
      <c r="D55" s="72">
        <v>19</v>
      </c>
      <c r="E55" s="72">
        <v>1</v>
      </c>
      <c r="F55" s="98">
        <v>1371104.41</v>
      </c>
    </row>
    <row r="56" spans="1:6" ht="20.25" x14ac:dyDescent="0.3">
      <c r="A56" s="4">
        <v>45</v>
      </c>
      <c r="B56" s="3" t="s">
        <v>1363</v>
      </c>
      <c r="C56" s="82">
        <v>953.9</v>
      </c>
      <c r="D56" s="72">
        <v>28</v>
      </c>
      <c r="E56" s="72">
        <v>1</v>
      </c>
      <c r="F56" s="98">
        <v>40161.910000000003</v>
      </c>
    </row>
    <row r="57" spans="1:6" ht="20.25" x14ac:dyDescent="0.3">
      <c r="A57" s="4">
        <v>46</v>
      </c>
      <c r="B57" s="3" t="s">
        <v>959</v>
      </c>
      <c r="C57" s="82">
        <v>1446.38</v>
      </c>
      <c r="D57" s="72">
        <v>78</v>
      </c>
      <c r="E57" s="72">
        <v>1</v>
      </c>
      <c r="F57" s="98">
        <v>127877.6</v>
      </c>
    </row>
    <row r="58" spans="1:6" ht="20.25" x14ac:dyDescent="0.3">
      <c r="A58" s="4">
        <v>47</v>
      </c>
      <c r="B58" s="3" t="s">
        <v>971</v>
      </c>
      <c r="C58" s="70">
        <v>676.3</v>
      </c>
      <c r="D58" s="71">
        <v>32</v>
      </c>
      <c r="E58" s="72">
        <v>1</v>
      </c>
      <c r="F58" s="98">
        <v>87573.72</v>
      </c>
    </row>
    <row r="59" spans="1:6" ht="20.25" x14ac:dyDescent="0.3">
      <c r="A59" s="4">
        <v>48</v>
      </c>
      <c r="B59" s="3" t="s">
        <v>936</v>
      </c>
      <c r="C59" s="83">
        <v>3130</v>
      </c>
      <c r="D59" s="84">
        <v>140</v>
      </c>
      <c r="E59" s="72">
        <v>5</v>
      </c>
      <c r="F59" s="98">
        <v>3911488.5799999996</v>
      </c>
    </row>
    <row r="60" spans="1:6" ht="20.25" x14ac:dyDescent="0.3">
      <c r="A60" s="4">
        <v>49</v>
      </c>
      <c r="B60" s="3" t="s">
        <v>961</v>
      </c>
      <c r="C60" s="82">
        <v>36117.07</v>
      </c>
      <c r="D60" s="72">
        <v>1569</v>
      </c>
      <c r="E60" s="72">
        <v>11</v>
      </c>
      <c r="F60" s="98">
        <v>23896075.439999998</v>
      </c>
    </row>
    <row r="61" spans="1:6" ht="20.25" x14ac:dyDescent="0.3">
      <c r="A61" s="4">
        <v>50</v>
      </c>
      <c r="B61" s="3" t="s">
        <v>937</v>
      </c>
      <c r="C61" s="70">
        <v>32478.429999999997</v>
      </c>
      <c r="D61" s="71">
        <v>1444</v>
      </c>
      <c r="E61" s="72">
        <v>8</v>
      </c>
      <c r="F61" s="98">
        <v>24440368.16</v>
      </c>
    </row>
    <row r="62" spans="1:6" ht="20.25" x14ac:dyDescent="0.3">
      <c r="A62" s="4">
        <v>51</v>
      </c>
      <c r="B62" s="3" t="s">
        <v>1364</v>
      </c>
      <c r="C62" s="70">
        <v>546.02</v>
      </c>
      <c r="D62" s="71">
        <v>20</v>
      </c>
      <c r="E62" s="72">
        <v>1</v>
      </c>
      <c r="F62" s="98">
        <v>1483737.75</v>
      </c>
    </row>
    <row r="63" spans="1:6" ht="20.25" x14ac:dyDescent="0.3">
      <c r="A63" s="4">
        <v>52</v>
      </c>
      <c r="B63" s="3" t="s">
        <v>1361</v>
      </c>
      <c r="C63" s="70">
        <v>1598.9</v>
      </c>
      <c r="D63" s="71">
        <v>38</v>
      </c>
      <c r="E63" s="72">
        <v>1</v>
      </c>
      <c r="F63" s="98">
        <v>446142.85</v>
      </c>
    </row>
    <row r="64" spans="1:6" ht="20.25" x14ac:dyDescent="0.3">
      <c r="A64" s="4">
        <v>53</v>
      </c>
      <c r="B64" s="3" t="s">
        <v>934</v>
      </c>
      <c r="C64" s="70">
        <v>9103.2800000000007</v>
      </c>
      <c r="D64" s="71">
        <v>365</v>
      </c>
      <c r="E64" s="72">
        <v>4</v>
      </c>
      <c r="F64" s="98">
        <v>3380450.98</v>
      </c>
    </row>
    <row r="65" spans="1:14" ht="20.25" x14ac:dyDescent="0.3">
      <c r="A65" s="4">
        <v>54</v>
      </c>
      <c r="B65" s="3" t="s">
        <v>938</v>
      </c>
      <c r="C65" s="70">
        <v>2977.1</v>
      </c>
      <c r="D65" s="71">
        <v>125</v>
      </c>
      <c r="E65" s="72">
        <v>5</v>
      </c>
      <c r="F65" s="98">
        <v>7738017.7799999993</v>
      </c>
    </row>
    <row r="66" spans="1:14" ht="20.25" x14ac:dyDescent="0.3">
      <c r="A66" s="4">
        <v>55</v>
      </c>
      <c r="B66" s="3" t="s">
        <v>939</v>
      </c>
      <c r="C66" s="82">
        <v>1191.0999999999999</v>
      </c>
      <c r="D66" s="72">
        <v>26</v>
      </c>
      <c r="E66" s="72">
        <v>1</v>
      </c>
      <c r="F66" s="98">
        <v>2846268.34</v>
      </c>
    </row>
    <row r="67" spans="1:14" ht="20.25" x14ac:dyDescent="0.3">
      <c r="A67" s="4">
        <v>56</v>
      </c>
      <c r="B67" s="3" t="s">
        <v>940</v>
      </c>
      <c r="C67" s="70">
        <v>1414.1</v>
      </c>
      <c r="D67" s="71">
        <v>84</v>
      </c>
      <c r="E67" s="72">
        <v>2</v>
      </c>
      <c r="F67" s="98">
        <v>2794020.73</v>
      </c>
    </row>
    <row r="68" spans="1:14" ht="20.25" x14ac:dyDescent="0.3">
      <c r="A68" s="4">
        <v>57</v>
      </c>
      <c r="B68" s="3" t="s">
        <v>941</v>
      </c>
      <c r="C68" s="70">
        <v>2762.9</v>
      </c>
      <c r="D68" s="71">
        <v>125</v>
      </c>
      <c r="E68" s="72">
        <v>2</v>
      </c>
      <c r="F68" s="98">
        <v>4868704.13</v>
      </c>
    </row>
    <row r="69" spans="1:14" ht="20.25" x14ac:dyDescent="0.3">
      <c r="A69" s="4">
        <v>58</v>
      </c>
      <c r="B69" s="3" t="s">
        <v>963</v>
      </c>
      <c r="C69" s="70">
        <v>702.7</v>
      </c>
      <c r="D69" s="71">
        <v>16</v>
      </c>
      <c r="E69" s="72">
        <v>1</v>
      </c>
      <c r="F69" s="98">
        <v>2570556.2200000002</v>
      </c>
    </row>
    <row r="70" spans="1:14" ht="20.25" x14ac:dyDescent="0.3">
      <c r="A70" s="4">
        <v>59</v>
      </c>
      <c r="B70" s="3" t="s">
        <v>1365</v>
      </c>
      <c r="C70" s="70">
        <v>1625.9</v>
      </c>
      <c r="D70" s="71">
        <v>63</v>
      </c>
      <c r="E70" s="72">
        <v>2</v>
      </c>
      <c r="F70" s="98">
        <v>1181101.69</v>
      </c>
    </row>
    <row r="71" spans="1:14" ht="20.25" x14ac:dyDescent="0.3">
      <c r="A71" s="4">
        <v>60</v>
      </c>
      <c r="B71" s="3" t="s">
        <v>942</v>
      </c>
      <c r="C71" s="70">
        <v>2462.8000000000002</v>
      </c>
      <c r="D71" s="71">
        <v>120</v>
      </c>
      <c r="E71" s="72">
        <v>5</v>
      </c>
      <c r="F71" s="98">
        <v>5058199.54</v>
      </c>
    </row>
    <row r="72" spans="1:14" ht="20.25" x14ac:dyDescent="0.3">
      <c r="A72" s="4">
        <v>61</v>
      </c>
      <c r="B72" s="3" t="s">
        <v>943</v>
      </c>
      <c r="C72" s="70">
        <v>1755.2</v>
      </c>
      <c r="D72" s="71">
        <v>62</v>
      </c>
      <c r="E72" s="72">
        <v>1</v>
      </c>
      <c r="F72" s="98">
        <v>3982171.62</v>
      </c>
    </row>
    <row r="73" spans="1:14" ht="20.25" x14ac:dyDescent="0.3">
      <c r="A73" s="4">
        <v>62</v>
      </c>
      <c r="B73" s="3" t="s">
        <v>964</v>
      </c>
      <c r="C73" s="70">
        <v>4921.7999999999993</v>
      </c>
      <c r="D73" s="71">
        <v>126</v>
      </c>
      <c r="E73" s="72">
        <v>2</v>
      </c>
      <c r="F73" s="98">
        <v>8046011.1599999992</v>
      </c>
    </row>
    <row r="74" spans="1:14" ht="20.25" x14ac:dyDescent="0.3">
      <c r="A74" s="4">
        <v>63</v>
      </c>
      <c r="B74" s="3" t="s">
        <v>944</v>
      </c>
      <c r="C74" s="70">
        <v>428.4</v>
      </c>
      <c r="D74" s="71">
        <v>20</v>
      </c>
      <c r="E74" s="72">
        <v>1</v>
      </c>
      <c r="F74" s="98">
        <v>1241065.97</v>
      </c>
    </row>
    <row r="75" spans="1:14" ht="20.25" x14ac:dyDescent="0.3">
      <c r="A75" s="4">
        <v>64</v>
      </c>
      <c r="B75" s="3" t="s">
        <v>946</v>
      </c>
      <c r="C75" s="70">
        <v>12546.099999999999</v>
      </c>
      <c r="D75" s="71">
        <v>564</v>
      </c>
      <c r="E75" s="72">
        <v>9</v>
      </c>
      <c r="F75" s="98">
        <v>9190793.5899999999</v>
      </c>
    </row>
    <row r="76" spans="1:14" ht="20.25" x14ac:dyDescent="0.3">
      <c r="A76" s="4">
        <v>65</v>
      </c>
      <c r="B76" s="3" t="s">
        <v>947</v>
      </c>
      <c r="C76" s="70">
        <v>2975.2</v>
      </c>
      <c r="D76" s="71">
        <v>130</v>
      </c>
      <c r="E76" s="72">
        <v>4</v>
      </c>
      <c r="F76" s="98">
        <v>3506290.42</v>
      </c>
    </row>
    <row r="77" spans="1:14" ht="20.25" x14ac:dyDescent="0.3">
      <c r="A77" s="4">
        <v>66</v>
      </c>
      <c r="B77" s="3" t="s">
        <v>972</v>
      </c>
      <c r="C77" s="70">
        <v>1422.8</v>
      </c>
      <c r="D77" s="71">
        <v>64</v>
      </c>
      <c r="E77" s="72">
        <v>2</v>
      </c>
      <c r="F77" s="98">
        <v>735510.79</v>
      </c>
    </row>
    <row r="78" spans="1:14" ht="20.25" x14ac:dyDescent="0.3">
      <c r="A78" s="4">
        <v>67</v>
      </c>
      <c r="B78" s="3" t="s">
        <v>965</v>
      </c>
      <c r="C78" s="70">
        <v>1109.3</v>
      </c>
      <c r="D78" s="71">
        <v>49</v>
      </c>
      <c r="E78" s="72">
        <v>2</v>
      </c>
      <c r="F78" s="98">
        <v>1268994.68</v>
      </c>
    </row>
    <row r="79" spans="1:14" ht="20.25" x14ac:dyDescent="0.3">
      <c r="A79" s="3" t="s">
        <v>754</v>
      </c>
      <c r="B79" s="3"/>
      <c r="C79" s="70">
        <f>SUM(C80:C146)</f>
        <v>980574.45999999973</v>
      </c>
      <c r="D79" s="71">
        <f>SUM(D80:D146)</f>
        <v>37672</v>
      </c>
      <c r="E79" s="72">
        <f>SUM(E80:E146)</f>
        <v>410</v>
      </c>
      <c r="F79" s="460">
        <f>SUM(F80:F146)</f>
        <v>1533901394.6799998</v>
      </c>
      <c r="K79" s="93"/>
      <c r="L79" s="93"/>
      <c r="M79" s="93"/>
      <c r="N79" s="93"/>
    </row>
    <row r="80" spans="1:14" ht="20.25" x14ac:dyDescent="0.3">
      <c r="A80" s="4">
        <v>1</v>
      </c>
      <c r="B80" s="3" t="s">
        <v>985</v>
      </c>
      <c r="C80" s="70">
        <v>261817.97999999989</v>
      </c>
      <c r="D80" s="71">
        <v>10357</v>
      </c>
      <c r="E80" s="72">
        <v>89</v>
      </c>
      <c r="F80" s="98">
        <v>299889783.23999983</v>
      </c>
      <c r="H80" s="6">
        <v>209231.22999999995</v>
      </c>
      <c r="I80" s="6">
        <v>8552</v>
      </c>
      <c r="J80" s="6">
        <v>216853215.43000004</v>
      </c>
    </row>
    <row r="81" spans="1:10" ht="20.25" x14ac:dyDescent="0.3">
      <c r="A81" s="4">
        <v>2</v>
      </c>
      <c r="B81" s="3" t="s">
        <v>892</v>
      </c>
      <c r="C81" s="70">
        <v>46935.01</v>
      </c>
      <c r="D81" s="71">
        <v>1959</v>
      </c>
      <c r="E81" s="72">
        <v>31</v>
      </c>
      <c r="F81" s="98">
        <v>99817914.320000023</v>
      </c>
      <c r="H81" s="6">
        <v>15519.199999999999</v>
      </c>
      <c r="I81" s="6">
        <v>787</v>
      </c>
      <c r="J81" s="6">
        <v>45048314.759999998</v>
      </c>
    </row>
    <row r="82" spans="1:10" ht="20.25" x14ac:dyDescent="0.3">
      <c r="A82" s="4">
        <v>3</v>
      </c>
      <c r="B82" s="3" t="s">
        <v>893</v>
      </c>
      <c r="C82" s="70">
        <v>90090.07</v>
      </c>
      <c r="D82" s="71">
        <v>3367</v>
      </c>
      <c r="E82" s="72">
        <v>43</v>
      </c>
      <c r="F82" s="98">
        <v>160867854.94000003</v>
      </c>
      <c r="H82" s="6">
        <v>55253.150000000009</v>
      </c>
      <c r="I82" s="6">
        <v>2316</v>
      </c>
      <c r="J82" s="6">
        <v>91626897.959999993</v>
      </c>
    </row>
    <row r="83" spans="1:10" ht="20.25" x14ac:dyDescent="0.3">
      <c r="A83" s="4">
        <v>4</v>
      </c>
      <c r="B83" s="3" t="s">
        <v>948</v>
      </c>
      <c r="C83" s="70">
        <v>133121.29999999999</v>
      </c>
      <c r="D83" s="71">
        <v>4121</v>
      </c>
      <c r="E83" s="72">
        <v>28</v>
      </c>
      <c r="F83" s="98">
        <v>160973596.03999999</v>
      </c>
      <c r="H83" s="6">
        <v>26773.05</v>
      </c>
      <c r="I83" s="6">
        <v>869</v>
      </c>
      <c r="J83" s="6">
        <v>44137673.120000005</v>
      </c>
    </row>
    <row r="84" spans="1:10" ht="20.25" x14ac:dyDescent="0.3">
      <c r="A84" s="4">
        <v>5</v>
      </c>
      <c r="B84" s="3" t="s">
        <v>895</v>
      </c>
      <c r="C84" s="70">
        <v>89434.3</v>
      </c>
      <c r="D84" s="71">
        <v>3712</v>
      </c>
      <c r="E84" s="72">
        <v>12</v>
      </c>
      <c r="F84" s="98">
        <v>103874872.24000001</v>
      </c>
      <c r="H84" s="6">
        <v>13712.7</v>
      </c>
      <c r="I84" s="6">
        <v>336</v>
      </c>
      <c r="J84" s="6">
        <v>21856214.650000002</v>
      </c>
    </row>
    <row r="85" spans="1:10" ht="20.25" x14ac:dyDescent="0.3">
      <c r="A85" s="4">
        <v>6</v>
      </c>
      <c r="B85" s="3" t="s">
        <v>896</v>
      </c>
      <c r="C85" s="70">
        <v>53937.16</v>
      </c>
      <c r="D85" s="71">
        <v>2174</v>
      </c>
      <c r="E85" s="72">
        <v>26</v>
      </c>
      <c r="F85" s="98">
        <v>107004610.82000002</v>
      </c>
      <c r="H85" s="6">
        <v>45913.430000000008</v>
      </c>
      <c r="I85" s="6">
        <v>1959</v>
      </c>
      <c r="J85" s="6">
        <v>51679396.32</v>
      </c>
    </row>
    <row r="86" spans="1:10" ht="20.25" x14ac:dyDescent="0.3">
      <c r="A86" s="4">
        <v>7</v>
      </c>
      <c r="B86" s="3" t="s">
        <v>897</v>
      </c>
      <c r="C86" s="70">
        <v>35250.9</v>
      </c>
      <c r="D86" s="71">
        <v>902</v>
      </c>
      <c r="E86" s="72">
        <v>7</v>
      </c>
      <c r="F86" s="98">
        <v>31580337.110000003</v>
      </c>
      <c r="H86" s="6">
        <v>11170.900000000001</v>
      </c>
      <c r="I86" s="6">
        <v>305</v>
      </c>
      <c r="J86" s="6">
        <v>9890638.1399999987</v>
      </c>
    </row>
    <row r="87" spans="1:10" ht="20.25" x14ac:dyDescent="0.3">
      <c r="A87" s="4">
        <v>8</v>
      </c>
      <c r="B87" s="3" t="s">
        <v>898</v>
      </c>
      <c r="C87" s="70">
        <v>11928.599999999999</v>
      </c>
      <c r="D87" s="71">
        <v>416</v>
      </c>
      <c r="E87" s="72">
        <v>6</v>
      </c>
      <c r="F87" s="98">
        <v>22006421.640000001</v>
      </c>
      <c r="H87" s="6">
        <v>4408.6000000000004</v>
      </c>
      <c r="I87" s="6">
        <v>120</v>
      </c>
      <c r="J87" s="6">
        <v>11422752.699999999</v>
      </c>
    </row>
    <row r="88" spans="1:10" ht="20.25" x14ac:dyDescent="0.3">
      <c r="A88" s="4">
        <v>9</v>
      </c>
      <c r="B88" s="3" t="s">
        <v>899</v>
      </c>
      <c r="C88" s="70">
        <v>11803.32</v>
      </c>
      <c r="D88" s="71">
        <v>483</v>
      </c>
      <c r="E88" s="72">
        <v>4</v>
      </c>
      <c r="F88" s="98">
        <v>13606335.93</v>
      </c>
      <c r="H88" s="6">
        <v>8897</v>
      </c>
      <c r="I88" s="6">
        <v>313</v>
      </c>
      <c r="J88" s="6">
        <v>9642280</v>
      </c>
    </row>
    <row r="89" spans="1:10" ht="20.25" x14ac:dyDescent="0.3">
      <c r="A89" s="4">
        <v>10</v>
      </c>
      <c r="B89" s="3" t="s">
        <v>900</v>
      </c>
      <c r="C89" s="70">
        <v>2782.7</v>
      </c>
      <c r="D89" s="71">
        <v>103</v>
      </c>
      <c r="E89" s="72">
        <v>1</v>
      </c>
      <c r="F89" s="98">
        <v>2579501.7000000002</v>
      </c>
      <c r="H89" s="6">
        <v>804.5</v>
      </c>
      <c r="I89" s="6">
        <v>47</v>
      </c>
      <c r="J89" s="6">
        <v>4369866.08</v>
      </c>
    </row>
    <row r="90" spans="1:10" ht="20.25" x14ac:dyDescent="0.3">
      <c r="A90" s="4">
        <v>11</v>
      </c>
      <c r="B90" s="3" t="s">
        <v>902</v>
      </c>
      <c r="C90" s="70">
        <v>1151.5</v>
      </c>
      <c r="D90" s="71">
        <v>39</v>
      </c>
      <c r="E90" s="72">
        <v>2</v>
      </c>
      <c r="F90" s="98">
        <v>3008567.42</v>
      </c>
      <c r="H90" s="6">
        <v>1070.8</v>
      </c>
      <c r="I90" s="6">
        <v>42</v>
      </c>
      <c r="J90" s="6">
        <v>2936950.21</v>
      </c>
    </row>
    <row r="91" spans="1:10" ht="20.25" x14ac:dyDescent="0.3">
      <c r="A91" s="4">
        <v>12</v>
      </c>
      <c r="B91" s="3" t="s">
        <v>949</v>
      </c>
      <c r="C91" s="70">
        <v>618.29999999999995</v>
      </c>
      <c r="D91" s="71">
        <v>24</v>
      </c>
      <c r="E91" s="72">
        <v>1</v>
      </c>
      <c r="F91" s="98">
        <v>3080948</v>
      </c>
      <c r="H91" s="6">
        <v>1426.8</v>
      </c>
      <c r="I91" s="6">
        <v>72</v>
      </c>
      <c r="J91" s="6">
        <v>2773728.46</v>
      </c>
    </row>
    <row r="92" spans="1:10" ht="20.25" x14ac:dyDescent="0.3">
      <c r="A92" s="4">
        <v>13</v>
      </c>
      <c r="B92" s="3" t="s">
        <v>904</v>
      </c>
      <c r="C92" s="70">
        <v>4097</v>
      </c>
      <c r="D92" s="71">
        <v>158</v>
      </c>
      <c r="E92" s="72">
        <v>1</v>
      </c>
      <c r="F92" s="98">
        <v>2008998.15</v>
      </c>
      <c r="H92" s="6">
        <v>456.6</v>
      </c>
      <c r="I92" s="6">
        <v>26</v>
      </c>
      <c r="J92" s="6">
        <v>2158336.3499999996</v>
      </c>
    </row>
    <row r="93" spans="1:10" ht="20.25" x14ac:dyDescent="0.3">
      <c r="A93" s="4">
        <v>14</v>
      </c>
      <c r="B93" s="3" t="s">
        <v>905</v>
      </c>
      <c r="C93" s="70">
        <v>25999.699999999997</v>
      </c>
      <c r="D93" s="71">
        <v>1189</v>
      </c>
      <c r="E93" s="72">
        <v>16</v>
      </c>
      <c r="F93" s="98">
        <v>57805232.260000005</v>
      </c>
      <c r="H93" s="6">
        <v>3374.6</v>
      </c>
      <c r="I93" s="6">
        <v>144</v>
      </c>
      <c r="J93" s="6">
        <v>2000000</v>
      </c>
    </row>
    <row r="94" spans="1:10" ht="20.25" x14ac:dyDescent="0.3">
      <c r="A94" s="4">
        <v>15</v>
      </c>
      <c r="B94" s="3" t="s">
        <v>906</v>
      </c>
      <c r="C94" s="70">
        <v>12858.21</v>
      </c>
      <c r="D94" s="71">
        <v>844</v>
      </c>
      <c r="E94" s="72">
        <v>10</v>
      </c>
      <c r="F94" s="98">
        <v>26896985.909999996</v>
      </c>
      <c r="H94" s="6">
        <v>13638.6</v>
      </c>
      <c r="I94" s="6">
        <v>299</v>
      </c>
      <c r="J94" s="6">
        <v>23342011.919999998</v>
      </c>
    </row>
    <row r="95" spans="1:10" ht="20.25" x14ac:dyDescent="0.3">
      <c r="A95" s="4">
        <v>16</v>
      </c>
      <c r="B95" s="3" t="s">
        <v>1366</v>
      </c>
      <c r="C95" s="70">
        <v>1813.6000000000001</v>
      </c>
      <c r="D95" s="71">
        <v>68</v>
      </c>
      <c r="E95" s="72">
        <v>2</v>
      </c>
      <c r="F95" s="98">
        <v>5767392.7699999996</v>
      </c>
      <c r="H95" s="6">
        <v>5759.0999999999995</v>
      </c>
      <c r="I95" s="6">
        <v>215</v>
      </c>
      <c r="J95" s="6">
        <v>12591900</v>
      </c>
    </row>
    <row r="96" spans="1:10" ht="20.25" x14ac:dyDescent="0.3">
      <c r="A96" s="4">
        <v>17</v>
      </c>
      <c r="B96" s="3" t="s">
        <v>907</v>
      </c>
      <c r="C96" s="70">
        <v>768.40000000000009</v>
      </c>
      <c r="D96" s="71">
        <v>34</v>
      </c>
      <c r="E96" s="72">
        <v>2</v>
      </c>
      <c r="F96" s="98">
        <v>1924810.92</v>
      </c>
      <c r="H96" s="6">
        <v>396.2</v>
      </c>
      <c r="I96" s="6">
        <v>21</v>
      </c>
      <c r="J96" s="6">
        <v>1724820</v>
      </c>
    </row>
    <row r="97" spans="1:10" ht="20.25" x14ac:dyDescent="0.3">
      <c r="A97" s="4">
        <v>18</v>
      </c>
      <c r="B97" s="3" t="s">
        <v>950</v>
      </c>
      <c r="C97" s="70">
        <v>924.3</v>
      </c>
      <c r="D97" s="71">
        <v>22</v>
      </c>
      <c r="E97" s="72">
        <v>1</v>
      </c>
      <c r="F97" s="98">
        <v>2192210.02</v>
      </c>
      <c r="H97" s="6">
        <v>1011.8</v>
      </c>
      <c r="I97" s="6">
        <v>26</v>
      </c>
      <c r="J97" s="6">
        <v>1739107.3499999999</v>
      </c>
    </row>
    <row r="98" spans="1:10" ht="20.25" x14ac:dyDescent="0.3">
      <c r="A98" s="4">
        <v>19</v>
      </c>
      <c r="B98" s="3" t="s">
        <v>966</v>
      </c>
      <c r="C98" s="70">
        <v>467.8</v>
      </c>
      <c r="D98" s="71">
        <v>24</v>
      </c>
      <c r="E98" s="72">
        <v>1</v>
      </c>
      <c r="F98" s="98">
        <v>2662852.27</v>
      </c>
      <c r="H98" s="6">
        <v>594.20000000000005</v>
      </c>
      <c r="I98" s="6">
        <v>23</v>
      </c>
      <c r="J98" s="6">
        <v>3373804.98</v>
      </c>
    </row>
    <row r="99" spans="1:10" ht="20.25" x14ac:dyDescent="0.3">
      <c r="A99" s="4">
        <v>20</v>
      </c>
      <c r="B99" s="3" t="s">
        <v>951</v>
      </c>
      <c r="C99" s="70">
        <v>672</v>
      </c>
      <c r="D99" s="71">
        <v>35</v>
      </c>
      <c r="E99" s="72">
        <v>1</v>
      </c>
      <c r="F99" s="98">
        <v>2610900</v>
      </c>
      <c r="H99" s="6">
        <v>594.20000000000005</v>
      </c>
      <c r="I99" s="6">
        <v>23</v>
      </c>
      <c r="J99" s="6">
        <v>3373804.98</v>
      </c>
    </row>
    <row r="100" spans="1:10" ht="20.25" x14ac:dyDescent="0.3">
      <c r="A100" s="4">
        <v>21</v>
      </c>
      <c r="B100" s="3" t="s">
        <v>952</v>
      </c>
      <c r="C100" s="70">
        <v>531.9</v>
      </c>
      <c r="D100" s="71">
        <v>14</v>
      </c>
      <c r="E100" s="72">
        <v>1</v>
      </c>
      <c r="F100" s="98">
        <v>3133080</v>
      </c>
      <c r="H100" s="6">
        <v>906.9</v>
      </c>
      <c r="I100" s="6">
        <v>32</v>
      </c>
      <c r="J100" s="6">
        <v>3916350</v>
      </c>
    </row>
    <row r="101" spans="1:10" ht="20.25" x14ac:dyDescent="0.3">
      <c r="A101" s="4">
        <v>22</v>
      </c>
      <c r="B101" s="3" t="s">
        <v>911</v>
      </c>
      <c r="C101" s="70">
        <v>7845.75</v>
      </c>
      <c r="D101" s="71">
        <v>252</v>
      </c>
      <c r="E101" s="72">
        <v>1</v>
      </c>
      <c r="F101" s="98">
        <v>9833014.4500000011</v>
      </c>
      <c r="H101" s="6">
        <v>2184</v>
      </c>
      <c r="I101" s="6">
        <v>57</v>
      </c>
      <c r="J101" s="6">
        <v>3516578.96</v>
      </c>
    </row>
    <row r="102" spans="1:10" ht="20.25" x14ac:dyDescent="0.3">
      <c r="A102" s="4">
        <v>23</v>
      </c>
      <c r="B102" s="3" t="s">
        <v>912</v>
      </c>
      <c r="C102" s="70">
        <v>550.20000000000005</v>
      </c>
      <c r="D102" s="71">
        <v>20</v>
      </c>
      <c r="E102" s="72">
        <v>1</v>
      </c>
      <c r="F102" s="98">
        <v>2537436</v>
      </c>
      <c r="H102" s="6">
        <v>1069.5</v>
      </c>
      <c r="I102" s="6">
        <v>39</v>
      </c>
      <c r="J102" s="6">
        <v>3598749.4899999998</v>
      </c>
    </row>
    <row r="103" spans="1:10" ht="20.25" x14ac:dyDescent="0.3">
      <c r="A103" s="4">
        <v>24</v>
      </c>
      <c r="B103" s="3" t="s">
        <v>953</v>
      </c>
      <c r="C103" s="70">
        <v>10202.299999999999</v>
      </c>
      <c r="D103" s="71">
        <v>360</v>
      </c>
      <c r="E103" s="72">
        <v>4</v>
      </c>
      <c r="F103" s="98">
        <v>7294072.0299999993</v>
      </c>
      <c r="H103" s="6">
        <v>630</v>
      </c>
      <c r="I103" s="6">
        <v>32</v>
      </c>
      <c r="J103" s="6">
        <v>3488946.79</v>
      </c>
    </row>
    <row r="104" spans="1:10" ht="20.25" x14ac:dyDescent="0.3">
      <c r="A104" s="4">
        <v>25</v>
      </c>
      <c r="B104" s="3" t="s">
        <v>913</v>
      </c>
      <c r="C104" s="70">
        <v>846.4</v>
      </c>
      <c r="D104" s="71">
        <v>26</v>
      </c>
      <c r="E104" s="72">
        <v>1</v>
      </c>
      <c r="F104" s="98">
        <v>4024889.9</v>
      </c>
      <c r="H104" s="6">
        <v>626.5</v>
      </c>
      <c r="I104" s="6">
        <v>23</v>
      </c>
      <c r="J104" s="6">
        <v>1538879.17</v>
      </c>
    </row>
    <row r="105" spans="1:10" ht="20.25" x14ac:dyDescent="0.3">
      <c r="A105" s="4">
        <v>26</v>
      </c>
      <c r="B105" s="3" t="s">
        <v>915</v>
      </c>
      <c r="C105" s="70">
        <v>17997.829999999998</v>
      </c>
      <c r="D105" s="71">
        <v>716</v>
      </c>
      <c r="E105" s="72">
        <v>12</v>
      </c>
      <c r="F105" s="98">
        <v>42452497.159999996</v>
      </c>
      <c r="H105" s="6">
        <v>20161.96</v>
      </c>
      <c r="I105" s="6">
        <v>621</v>
      </c>
      <c r="J105" s="6">
        <v>28415186.600000001</v>
      </c>
    </row>
    <row r="106" spans="1:10" ht="20.25" x14ac:dyDescent="0.3">
      <c r="A106" s="4">
        <v>27</v>
      </c>
      <c r="B106" s="3" t="s">
        <v>917</v>
      </c>
      <c r="C106" s="70">
        <v>1443.4</v>
      </c>
      <c r="D106" s="71">
        <v>68</v>
      </c>
      <c r="E106" s="72">
        <v>2</v>
      </c>
      <c r="F106" s="98">
        <v>6003691.8100000005</v>
      </c>
      <c r="H106" s="6">
        <v>1573</v>
      </c>
      <c r="I106" s="6">
        <v>68</v>
      </c>
      <c r="J106" s="6">
        <v>5777967.8699999992</v>
      </c>
    </row>
    <row r="107" spans="1:10" ht="20.25" x14ac:dyDescent="0.3">
      <c r="A107" s="4">
        <v>28</v>
      </c>
      <c r="B107" s="3" t="s">
        <v>919</v>
      </c>
      <c r="C107" s="70">
        <v>1854.1999999999998</v>
      </c>
      <c r="D107" s="71">
        <v>87</v>
      </c>
      <c r="E107" s="72">
        <v>3</v>
      </c>
      <c r="F107" s="98">
        <v>7316428.790000001</v>
      </c>
      <c r="H107" s="6">
        <v>1266.2</v>
      </c>
      <c r="I107" s="6">
        <v>52</v>
      </c>
      <c r="J107" s="6">
        <v>4715781.71</v>
      </c>
    </row>
    <row r="108" spans="1:10" ht="20.25" x14ac:dyDescent="0.3">
      <c r="A108" s="4">
        <v>29</v>
      </c>
      <c r="B108" s="3" t="s">
        <v>918</v>
      </c>
      <c r="C108" s="70">
        <v>889.09999999999991</v>
      </c>
      <c r="D108" s="71">
        <v>44</v>
      </c>
      <c r="E108" s="72">
        <v>2</v>
      </c>
      <c r="F108" s="98">
        <v>5162888.5</v>
      </c>
      <c r="H108" s="6">
        <v>703.5</v>
      </c>
      <c r="I108" s="6">
        <v>36</v>
      </c>
      <c r="J108" s="6">
        <v>2590114.16</v>
      </c>
    </row>
    <row r="109" spans="1:10" ht="20.25" x14ac:dyDescent="0.3">
      <c r="A109" s="4">
        <v>30</v>
      </c>
      <c r="B109" s="3" t="s">
        <v>954</v>
      </c>
      <c r="C109" s="70">
        <v>1323.09</v>
      </c>
      <c r="D109" s="71">
        <v>68</v>
      </c>
      <c r="E109" s="72">
        <v>2</v>
      </c>
      <c r="F109" s="98">
        <v>6623229.2899999991</v>
      </c>
      <c r="H109" s="6">
        <v>1217.2</v>
      </c>
      <c r="I109" s="6">
        <v>47</v>
      </c>
      <c r="J109" s="6">
        <v>1456533.11</v>
      </c>
    </row>
    <row r="110" spans="1:10" ht="20.25" x14ac:dyDescent="0.3">
      <c r="A110" s="4">
        <v>31</v>
      </c>
      <c r="B110" s="3" t="s">
        <v>916</v>
      </c>
      <c r="C110" s="70">
        <v>804.7</v>
      </c>
      <c r="D110" s="71">
        <v>36</v>
      </c>
      <c r="E110" s="72">
        <v>2</v>
      </c>
      <c r="F110" s="98">
        <v>3151634.72</v>
      </c>
      <c r="H110" s="6">
        <v>1774</v>
      </c>
      <c r="I110" s="6">
        <v>80</v>
      </c>
      <c r="J110" s="6">
        <v>10290828.25</v>
      </c>
    </row>
    <row r="111" spans="1:10" ht="20.25" x14ac:dyDescent="0.3">
      <c r="A111" s="4">
        <v>32</v>
      </c>
      <c r="B111" s="3" t="s">
        <v>920</v>
      </c>
      <c r="C111" s="70">
        <v>6122.7</v>
      </c>
      <c r="D111" s="71">
        <v>226</v>
      </c>
      <c r="E111" s="72">
        <v>8</v>
      </c>
      <c r="F111" s="98">
        <v>25708169.950000003</v>
      </c>
      <c r="H111" s="6">
        <v>609</v>
      </c>
      <c r="I111" s="6">
        <v>31</v>
      </c>
      <c r="J111" s="6">
        <v>3013803.8600000003</v>
      </c>
    </row>
    <row r="112" spans="1:10" ht="20.25" x14ac:dyDescent="0.3">
      <c r="A112" s="4">
        <v>33</v>
      </c>
      <c r="B112" s="3" t="s">
        <v>955</v>
      </c>
      <c r="C112" s="70">
        <v>1222.5999999999999</v>
      </c>
      <c r="D112" s="71">
        <v>66</v>
      </c>
      <c r="E112" s="72">
        <v>3</v>
      </c>
      <c r="F112" s="98">
        <v>2999636.55</v>
      </c>
      <c r="H112" s="6">
        <v>616</v>
      </c>
      <c r="I112" s="6">
        <v>21</v>
      </c>
      <c r="J112" s="6">
        <v>2036502</v>
      </c>
    </row>
    <row r="113" spans="1:15" ht="20.25" x14ac:dyDescent="0.3">
      <c r="A113" s="4">
        <v>34</v>
      </c>
      <c r="B113" s="3" t="s">
        <v>956</v>
      </c>
      <c r="C113" s="70">
        <v>654.5</v>
      </c>
      <c r="D113" s="71">
        <v>32</v>
      </c>
      <c r="E113" s="72">
        <v>1</v>
      </c>
      <c r="F113" s="98">
        <v>3037413.17</v>
      </c>
      <c r="H113" s="6">
        <v>772.9</v>
      </c>
      <c r="I113" s="6">
        <v>32</v>
      </c>
      <c r="J113" s="6">
        <v>3592598.4</v>
      </c>
    </row>
    <row r="114" spans="1:15" ht="20.25" x14ac:dyDescent="0.3">
      <c r="A114" s="4">
        <v>35</v>
      </c>
      <c r="B114" s="3" t="s">
        <v>923</v>
      </c>
      <c r="C114" s="70">
        <v>7388.82</v>
      </c>
      <c r="D114" s="71">
        <v>208</v>
      </c>
      <c r="E114" s="72">
        <v>4</v>
      </c>
      <c r="F114" s="98">
        <v>12893957.77</v>
      </c>
      <c r="H114" s="6">
        <v>976.3</v>
      </c>
      <c r="I114" s="6">
        <v>36</v>
      </c>
      <c r="J114" s="6">
        <v>4454195.3999999994</v>
      </c>
    </row>
    <row r="115" spans="1:15" ht="20.25" x14ac:dyDescent="0.3">
      <c r="A115" s="4">
        <v>36</v>
      </c>
      <c r="B115" s="3" t="s">
        <v>2316</v>
      </c>
      <c r="C115" s="70">
        <v>327.60000000000002</v>
      </c>
      <c r="D115" s="71">
        <v>21</v>
      </c>
      <c r="E115" s="72">
        <v>1</v>
      </c>
      <c r="F115" s="98">
        <v>738468</v>
      </c>
      <c r="H115" s="6">
        <v>781.7</v>
      </c>
      <c r="I115" s="6">
        <v>25</v>
      </c>
      <c r="J115" s="6">
        <v>4839701.7600000007</v>
      </c>
    </row>
    <row r="116" spans="1:15" ht="20.25" x14ac:dyDescent="0.3">
      <c r="A116" s="4">
        <v>37</v>
      </c>
      <c r="B116" s="3" t="s">
        <v>957</v>
      </c>
      <c r="C116" s="70">
        <v>948.3</v>
      </c>
      <c r="D116" s="71">
        <v>64</v>
      </c>
      <c r="E116" s="72">
        <v>1</v>
      </c>
      <c r="F116" s="98">
        <v>4290230.8800000008</v>
      </c>
      <c r="H116" s="6">
        <v>781.7</v>
      </c>
      <c r="I116" s="6">
        <v>25</v>
      </c>
      <c r="J116" s="6">
        <v>4839701.7600000007</v>
      </c>
    </row>
    <row r="117" spans="1:15" ht="20.25" x14ac:dyDescent="0.3">
      <c r="A117" s="4">
        <v>38</v>
      </c>
      <c r="B117" s="3" t="s">
        <v>924</v>
      </c>
      <c r="C117" s="70">
        <v>779.2</v>
      </c>
      <c r="D117" s="71">
        <v>33</v>
      </c>
      <c r="E117" s="72">
        <v>1</v>
      </c>
      <c r="F117" s="98">
        <v>2903320.8000000003</v>
      </c>
      <c r="H117" s="6">
        <v>792.9</v>
      </c>
      <c r="I117" s="6">
        <v>42</v>
      </c>
      <c r="J117" s="6">
        <v>3231458.3</v>
      </c>
      <c r="K117" s="16"/>
      <c r="L117" s="16"/>
      <c r="M117" s="16"/>
      <c r="N117" s="16"/>
      <c r="O117" s="16"/>
    </row>
    <row r="118" spans="1:15" ht="20.25" x14ac:dyDescent="0.3">
      <c r="A118" s="4">
        <v>39</v>
      </c>
      <c r="B118" s="3" t="s">
        <v>926</v>
      </c>
      <c r="C118" s="70">
        <v>1015.6</v>
      </c>
      <c r="D118" s="71">
        <v>45</v>
      </c>
      <c r="E118" s="72">
        <v>1</v>
      </c>
      <c r="F118" s="98">
        <v>3826397.3</v>
      </c>
      <c r="H118" s="6">
        <v>792.9</v>
      </c>
      <c r="I118" s="6">
        <v>42</v>
      </c>
      <c r="J118" s="6">
        <v>3231458.3</v>
      </c>
    </row>
    <row r="119" spans="1:15" ht="20.25" x14ac:dyDescent="0.3">
      <c r="A119" s="4">
        <v>40</v>
      </c>
      <c r="B119" s="3" t="s">
        <v>932</v>
      </c>
      <c r="C119" s="70">
        <v>23824.84</v>
      </c>
      <c r="D119" s="71">
        <v>837</v>
      </c>
      <c r="E119" s="72">
        <v>4</v>
      </c>
      <c r="F119" s="98">
        <v>27477227.949999999</v>
      </c>
      <c r="H119" s="6">
        <v>9443</v>
      </c>
      <c r="I119" s="6">
        <v>371</v>
      </c>
      <c r="J119" s="6">
        <v>16849360.93</v>
      </c>
    </row>
    <row r="120" spans="1:15" ht="20.25" x14ac:dyDescent="0.3">
      <c r="A120" s="4">
        <v>41</v>
      </c>
      <c r="B120" s="3" t="s">
        <v>958</v>
      </c>
      <c r="C120" s="70">
        <v>1431.7</v>
      </c>
      <c r="D120" s="71">
        <v>54</v>
      </c>
      <c r="E120" s="72">
        <v>2</v>
      </c>
      <c r="F120" s="98">
        <v>5796065.7599999998</v>
      </c>
      <c r="H120" s="6">
        <v>2168.41</v>
      </c>
      <c r="I120" s="6">
        <v>62</v>
      </c>
      <c r="J120" s="6">
        <v>3799734.79</v>
      </c>
    </row>
    <row r="121" spans="1:15" ht="20.25" x14ac:dyDescent="0.3">
      <c r="A121" s="4">
        <v>42</v>
      </c>
      <c r="B121" s="3" t="s">
        <v>927</v>
      </c>
      <c r="C121" s="70">
        <v>13217.54</v>
      </c>
      <c r="D121" s="71">
        <v>505</v>
      </c>
      <c r="E121" s="72">
        <v>5</v>
      </c>
      <c r="F121" s="98">
        <v>25990852.659999996</v>
      </c>
      <c r="H121" s="6">
        <v>540.79999999999995</v>
      </c>
      <c r="I121" s="6">
        <v>15</v>
      </c>
      <c r="J121" s="6">
        <v>3215375.5700000003</v>
      </c>
    </row>
    <row r="122" spans="1:15" ht="20.25" x14ac:dyDescent="0.3">
      <c r="A122" s="4">
        <v>43</v>
      </c>
      <c r="B122" s="3" t="s">
        <v>928</v>
      </c>
      <c r="C122" s="70">
        <v>8831.67</v>
      </c>
      <c r="D122" s="71">
        <v>282</v>
      </c>
      <c r="E122" s="72">
        <v>3</v>
      </c>
      <c r="F122" s="98">
        <v>12690176.630000001</v>
      </c>
      <c r="H122" s="6">
        <v>2550.6999999999998</v>
      </c>
      <c r="I122" s="6">
        <v>119</v>
      </c>
      <c r="J122" s="6">
        <v>10672314.84</v>
      </c>
    </row>
    <row r="123" spans="1:15" ht="20.25" x14ac:dyDescent="0.3">
      <c r="A123" s="4">
        <v>44</v>
      </c>
      <c r="B123" s="3" t="s">
        <v>929</v>
      </c>
      <c r="C123" s="70">
        <v>485.3</v>
      </c>
      <c r="D123" s="71">
        <v>16</v>
      </c>
      <c r="E123" s="72">
        <v>1</v>
      </c>
      <c r="F123" s="98">
        <v>2347065.8600000003</v>
      </c>
      <c r="H123" s="6">
        <v>5727.7</v>
      </c>
      <c r="I123" s="6">
        <v>188</v>
      </c>
      <c r="J123" s="6">
        <v>6053192.4699999997</v>
      </c>
    </row>
    <row r="124" spans="1:15" ht="20.25" x14ac:dyDescent="0.3">
      <c r="A124" s="4">
        <v>45</v>
      </c>
      <c r="B124" s="3" t="s">
        <v>931</v>
      </c>
      <c r="C124" s="70">
        <v>10895.89</v>
      </c>
      <c r="D124" s="71">
        <v>502</v>
      </c>
      <c r="E124" s="72">
        <v>8</v>
      </c>
      <c r="F124" s="98">
        <v>26983289.200000003</v>
      </c>
      <c r="H124" s="6">
        <v>1040.7</v>
      </c>
      <c r="I124" s="6">
        <v>44</v>
      </c>
      <c r="J124" s="6">
        <v>4804056</v>
      </c>
    </row>
    <row r="125" spans="1:15" ht="20.25" x14ac:dyDescent="0.3">
      <c r="A125" s="4">
        <v>46</v>
      </c>
      <c r="B125" s="3" t="s">
        <v>933</v>
      </c>
      <c r="C125" s="70">
        <v>4675.3</v>
      </c>
      <c r="D125" s="71">
        <v>143</v>
      </c>
      <c r="E125" s="72">
        <v>3</v>
      </c>
      <c r="F125" s="98">
        <v>8165392.25</v>
      </c>
      <c r="H125" s="6">
        <v>3554.5</v>
      </c>
      <c r="I125" s="6">
        <v>145</v>
      </c>
      <c r="J125" s="6">
        <v>7284801.9000000004</v>
      </c>
    </row>
    <row r="126" spans="1:15" ht="20.25" x14ac:dyDescent="0.3">
      <c r="A126" s="4">
        <v>47</v>
      </c>
      <c r="B126" s="3" t="s">
        <v>1363</v>
      </c>
      <c r="C126" s="70">
        <v>953.9</v>
      </c>
      <c r="D126" s="71">
        <v>28</v>
      </c>
      <c r="E126" s="72">
        <v>1</v>
      </c>
      <c r="F126" s="98">
        <v>4934808.4300000006</v>
      </c>
      <c r="H126" s="6">
        <v>2640.94</v>
      </c>
      <c r="I126" s="6">
        <v>88</v>
      </c>
      <c r="J126" s="6">
        <v>4011881.02</v>
      </c>
    </row>
    <row r="127" spans="1:15" ht="20.25" x14ac:dyDescent="0.3">
      <c r="A127" s="4">
        <v>48</v>
      </c>
      <c r="B127" s="3" t="s">
        <v>959</v>
      </c>
      <c r="C127" s="70">
        <v>1991.7200000000003</v>
      </c>
      <c r="D127" s="71">
        <v>99</v>
      </c>
      <c r="E127" s="72">
        <v>2</v>
      </c>
      <c r="F127" s="98">
        <v>7040608.0200000005</v>
      </c>
      <c r="H127" s="6">
        <v>4173.7</v>
      </c>
      <c r="I127" s="6">
        <v>171</v>
      </c>
      <c r="J127" s="6">
        <v>6026117.5699999994</v>
      </c>
    </row>
    <row r="128" spans="1:15" ht="20.25" x14ac:dyDescent="0.3">
      <c r="A128" s="4">
        <v>49</v>
      </c>
      <c r="B128" s="3" t="s">
        <v>960</v>
      </c>
      <c r="C128" s="70">
        <v>938.37</v>
      </c>
      <c r="D128" s="71">
        <v>47</v>
      </c>
      <c r="E128" s="72">
        <v>1</v>
      </c>
      <c r="F128" s="98">
        <v>3974620.0799999996</v>
      </c>
      <c r="H128" s="6">
        <v>8514.9</v>
      </c>
      <c r="I128" s="6">
        <v>327</v>
      </c>
      <c r="J128" s="6">
        <v>12459674.15</v>
      </c>
    </row>
    <row r="129" spans="1:10" ht="20.25" x14ac:dyDescent="0.3">
      <c r="A129" s="4">
        <v>50</v>
      </c>
      <c r="B129" s="3" t="s">
        <v>935</v>
      </c>
      <c r="C129" s="70">
        <v>1367.9</v>
      </c>
      <c r="D129" s="71">
        <v>78</v>
      </c>
      <c r="E129" s="72">
        <v>1</v>
      </c>
      <c r="F129" s="98">
        <v>3001841.1700000004</v>
      </c>
      <c r="H129" s="6">
        <v>14680.3</v>
      </c>
      <c r="I129" s="6">
        <v>685</v>
      </c>
      <c r="J129" s="6">
        <v>13993215.270000001</v>
      </c>
    </row>
    <row r="130" spans="1:10" ht="20.25" x14ac:dyDescent="0.3">
      <c r="A130" s="4">
        <v>51</v>
      </c>
      <c r="B130" s="3" t="s">
        <v>971</v>
      </c>
      <c r="C130" s="70">
        <v>676.3</v>
      </c>
      <c r="D130" s="71">
        <v>32</v>
      </c>
      <c r="E130" s="72">
        <v>1</v>
      </c>
      <c r="F130" s="98">
        <v>2594808.33</v>
      </c>
      <c r="H130" s="6">
        <v>4947</v>
      </c>
      <c r="I130" s="6">
        <v>164</v>
      </c>
      <c r="J130" s="6">
        <v>9221698.8000000007</v>
      </c>
    </row>
    <row r="131" spans="1:10" ht="20.25" x14ac:dyDescent="0.3">
      <c r="A131" s="4">
        <v>52</v>
      </c>
      <c r="B131" s="3" t="s">
        <v>936</v>
      </c>
      <c r="C131" s="70">
        <v>4397.6899999999996</v>
      </c>
      <c r="D131" s="71">
        <v>167</v>
      </c>
      <c r="E131" s="72">
        <v>3</v>
      </c>
      <c r="F131" s="98">
        <v>12428636.060000001</v>
      </c>
      <c r="H131" s="6">
        <v>726</v>
      </c>
      <c r="I131" s="6">
        <v>28</v>
      </c>
      <c r="J131" s="6">
        <v>3623929.1999999997</v>
      </c>
    </row>
    <row r="132" spans="1:10" ht="20.25" x14ac:dyDescent="0.3">
      <c r="A132" s="4">
        <v>53</v>
      </c>
      <c r="B132" s="3" t="s">
        <v>961</v>
      </c>
      <c r="C132" s="70">
        <v>8018.76</v>
      </c>
      <c r="D132" s="71">
        <v>440</v>
      </c>
      <c r="E132" s="72">
        <v>5</v>
      </c>
      <c r="F132" s="98">
        <v>18338882.109999999</v>
      </c>
      <c r="H132" s="6">
        <v>675.9</v>
      </c>
      <c r="I132" s="6">
        <v>32</v>
      </c>
      <c r="J132" s="6">
        <v>3080862</v>
      </c>
    </row>
    <row r="133" spans="1:10" ht="20.25" x14ac:dyDescent="0.3">
      <c r="A133" s="4">
        <v>54</v>
      </c>
      <c r="B133" s="3" t="s">
        <v>937</v>
      </c>
      <c r="C133" s="70">
        <v>22450.780000000002</v>
      </c>
      <c r="D133" s="71">
        <v>905</v>
      </c>
      <c r="E133" s="72">
        <v>6</v>
      </c>
      <c r="F133" s="98">
        <v>32249890.370000001</v>
      </c>
      <c r="H133" s="6">
        <v>611.5</v>
      </c>
      <c r="I133" s="6">
        <v>28</v>
      </c>
      <c r="J133" s="6">
        <v>2610892.59</v>
      </c>
    </row>
    <row r="134" spans="1:10" ht="20.25" x14ac:dyDescent="0.3">
      <c r="A134" s="4">
        <v>55</v>
      </c>
      <c r="B134" s="3" t="s">
        <v>938</v>
      </c>
      <c r="C134" s="70">
        <v>4721.28</v>
      </c>
      <c r="D134" s="71">
        <v>152</v>
      </c>
      <c r="E134" s="72">
        <v>3</v>
      </c>
      <c r="F134" s="98">
        <v>14837581.219999999</v>
      </c>
      <c r="H134" s="6">
        <v>789</v>
      </c>
      <c r="I134" s="6">
        <v>64</v>
      </c>
      <c r="J134" s="6">
        <v>3026194.08</v>
      </c>
    </row>
    <row r="135" spans="1:10" ht="20.25" x14ac:dyDescent="0.3">
      <c r="A135" s="4">
        <v>56</v>
      </c>
      <c r="B135" s="3" t="s">
        <v>940</v>
      </c>
      <c r="C135" s="70">
        <v>708.1</v>
      </c>
      <c r="D135" s="71">
        <v>42</v>
      </c>
      <c r="E135" s="72">
        <v>1</v>
      </c>
      <c r="F135" s="98">
        <v>3029954.81</v>
      </c>
      <c r="H135" s="6">
        <v>351</v>
      </c>
      <c r="I135" s="6">
        <v>18</v>
      </c>
      <c r="J135" s="6">
        <v>3600600</v>
      </c>
    </row>
    <row r="136" spans="1:10" ht="20.25" x14ac:dyDescent="0.3">
      <c r="A136" s="4">
        <v>57</v>
      </c>
      <c r="B136" s="3" t="s">
        <v>962</v>
      </c>
      <c r="C136" s="70">
        <v>788.3</v>
      </c>
      <c r="D136" s="71">
        <v>16</v>
      </c>
      <c r="E136" s="72">
        <v>1</v>
      </c>
      <c r="F136" s="98">
        <v>4784142.66</v>
      </c>
      <c r="H136" s="6">
        <v>351</v>
      </c>
      <c r="I136" s="6">
        <v>18</v>
      </c>
      <c r="J136" s="6">
        <v>3600600</v>
      </c>
    </row>
    <row r="137" spans="1:10" ht="20.25" x14ac:dyDescent="0.3">
      <c r="A137" s="4">
        <v>58</v>
      </c>
      <c r="B137" s="3" t="s">
        <v>941</v>
      </c>
      <c r="C137" s="70">
        <v>758.5</v>
      </c>
      <c r="D137" s="71">
        <v>31</v>
      </c>
      <c r="E137" s="72">
        <v>1</v>
      </c>
      <c r="F137" s="98">
        <v>877727.45000000007</v>
      </c>
      <c r="H137" s="6">
        <v>626</v>
      </c>
      <c r="I137" s="6">
        <v>23</v>
      </c>
      <c r="J137" s="6">
        <v>1917600</v>
      </c>
    </row>
    <row r="138" spans="1:10" ht="20.25" x14ac:dyDescent="0.3">
      <c r="A138" s="4">
        <v>59</v>
      </c>
      <c r="B138" s="3" t="s">
        <v>963</v>
      </c>
      <c r="C138" s="70">
        <v>707.1</v>
      </c>
      <c r="D138" s="71">
        <v>16</v>
      </c>
      <c r="E138" s="72">
        <v>1</v>
      </c>
      <c r="F138" s="98">
        <v>3108475.73</v>
      </c>
    </row>
    <row r="139" spans="1:10" ht="20.25" x14ac:dyDescent="0.3">
      <c r="A139" s="4">
        <v>60</v>
      </c>
      <c r="B139" s="3" t="s">
        <v>942</v>
      </c>
      <c r="C139" s="70">
        <v>3679.7</v>
      </c>
      <c r="D139" s="71">
        <v>153</v>
      </c>
      <c r="E139" s="72">
        <v>5</v>
      </c>
      <c r="F139" s="98">
        <v>10682268.789999999</v>
      </c>
    </row>
    <row r="140" spans="1:10" ht="20.25" x14ac:dyDescent="0.3">
      <c r="A140" s="4">
        <v>61</v>
      </c>
      <c r="B140" s="3" t="s">
        <v>943</v>
      </c>
      <c r="C140" s="70">
        <v>1492</v>
      </c>
      <c r="D140" s="71">
        <v>70</v>
      </c>
      <c r="E140" s="72">
        <v>1</v>
      </c>
      <c r="F140" s="98">
        <v>2150000</v>
      </c>
    </row>
    <row r="141" spans="1:10" ht="20.25" x14ac:dyDescent="0.3">
      <c r="A141" s="4">
        <v>62</v>
      </c>
      <c r="B141" s="3" t="s">
        <v>964</v>
      </c>
      <c r="C141" s="70">
        <v>834.7</v>
      </c>
      <c r="D141" s="71">
        <v>56</v>
      </c>
      <c r="E141" s="72">
        <v>1</v>
      </c>
      <c r="F141" s="98">
        <v>4822502.0600000005</v>
      </c>
    </row>
    <row r="142" spans="1:10" ht="20.25" x14ac:dyDescent="0.3">
      <c r="A142" s="4">
        <v>63</v>
      </c>
      <c r="B142" s="3" t="s">
        <v>944</v>
      </c>
      <c r="C142" s="70">
        <v>350.9</v>
      </c>
      <c r="D142" s="71">
        <v>18</v>
      </c>
      <c r="E142" s="72">
        <v>1</v>
      </c>
      <c r="F142" s="98">
        <v>1403643.06</v>
      </c>
    </row>
    <row r="143" spans="1:10" ht="20.25" x14ac:dyDescent="0.3">
      <c r="A143" s="4">
        <v>64</v>
      </c>
      <c r="B143" s="3" t="s">
        <v>946</v>
      </c>
      <c r="C143" s="70">
        <v>8823.68</v>
      </c>
      <c r="D143" s="71">
        <v>390</v>
      </c>
      <c r="E143" s="72">
        <v>7</v>
      </c>
      <c r="F143" s="98">
        <v>16542453.889999999</v>
      </c>
    </row>
    <row r="144" spans="1:10" ht="20.25" x14ac:dyDescent="0.3">
      <c r="A144" s="4">
        <v>65</v>
      </c>
      <c r="B144" s="3" t="s">
        <v>947</v>
      </c>
      <c r="C144" s="70">
        <v>3328.2</v>
      </c>
      <c r="D144" s="71">
        <v>142</v>
      </c>
      <c r="E144" s="72">
        <v>5</v>
      </c>
      <c r="F144" s="98">
        <v>9904028.3699999992</v>
      </c>
    </row>
    <row r="145" spans="1:10" ht="20.25" x14ac:dyDescent="0.3">
      <c r="A145" s="4">
        <v>66</v>
      </c>
      <c r="B145" s="3" t="s">
        <v>965</v>
      </c>
      <c r="C145" s="70">
        <v>791.9</v>
      </c>
      <c r="D145" s="71">
        <v>27</v>
      </c>
      <c r="E145" s="72">
        <v>1</v>
      </c>
      <c r="F145" s="98">
        <v>3417127.3200000003</v>
      </c>
    </row>
    <row r="146" spans="1:10" ht="20.25" x14ac:dyDescent="0.3">
      <c r="A146" s="4">
        <v>67</v>
      </c>
      <c r="B146" s="3" t="s">
        <v>972</v>
      </c>
      <c r="C146" s="70">
        <v>212.1</v>
      </c>
      <c r="D146" s="71">
        <v>7</v>
      </c>
      <c r="E146" s="72">
        <v>1</v>
      </c>
      <c r="F146" s="98">
        <v>236741.66999999998</v>
      </c>
    </row>
    <row r="147" spans="1:10" ht="20.25" x14ac:dyDescent="0.3">
      <c r="A147" s="3" t="s">
        <v>755</v>
      </c>
      <c r="B147" s="12"/>
      <c r="C147" s="70">
        <f>SUM(C148:C205)</f>
        <v>537561.31999999995</v>
      </c>
      <c r="D147" s="71">
        <f>SUM(D148:D205)</f>
        <v>20854</v>
      </c>
      <c r="E147" s="71">
        <f>SUM(E148:E205)</f>
        <v>225</v>
      </c>
      <c r="F147" s="460">
        <f>SUM(F148:F205)</f>
        <v>830181076.74000001</v>
      </c>
      <c r="H147" s="6">
        <v>715.9</v>
      </c>
      <c r="I147" s="6">
        <v>16</v>
      </c>
      <c r="J147" s="6">
        <v>3396600</v>
      </c>
    </row>
    <row r="148" spans="1:10" ht="20.25" x14ac:dyDescent="0.3">
      <c r="A148" s="4">
        <v>1</v>
      </c>
      <c r="B148" s="3" t="s">
        <v>985</v>
      </c>
      <c r="C148" s="70">
        <v>234866.49999999994</v>
      </c>
      <c r="D148" s="71">
        <v>8844</v>
      </c>
      <c r="E148" s="173">
        <v>68</v>
      </c>
      <c r="F148" s="98">
        <v>269435305.27999997</v>
      </c>
      <c r="H148" s="6">
        <v>209231.22999999995</v>
      </c>
      <c r="I148" s="6">
        <v>8552</v>
      </c>
      <c r="J148" s="6">
        <v>216853215.43000004</v>
      </c>
    </row>
    <row r="149" spans="1:10" ht="20.25" x14ac:dyDescent="0.3">
      <c r="A149" s="4">
        <v>2</v>
      </c>
      <c r="B149" s="3" t="s">
        <v>892</v>
      </c>
      <c r="C149" s="70">
        <v>14992.5</v>
      </c>
      <c r="D149" s="71">
        <v>773</v>
      </c>
      <c r="E149" s="72">
        <v>14</v>
      </c>
      <c r="F149" s="98">
        <v>44764760.649999999</v>
      </c>
      <c r="H149" s="6">
        <v>15519.199999999999</v>
      </c>
      <c r="I149" s="6">
        <v>787</v>
      </c>
      <c r="J149" s="6">
        <v>45048314.759999998</v>
      </c>
    </row>
    <row r="150" spans="1:10" ht="20.25" x14ac:dyDescent="0.3">
      <c r="A150" s="4">
        <v>3</v>
      </c>
      <c r="B150" s="3" t="s">
        <v>893</v>
      </c>
      <c r="C150" s="70">
        <v>49658.150000000009</v>
      </c>
      <c r="D150" s="71">
        <v>2164</v>
      </c>
      <c r="E150" s="72">
        <v>26</v>
      </c>
      <c r="F150" s="98">
        <v>90625537.659999982</v>
      </c>
      <c r="H150" s="6">
        <v>55253.150000000009</v>
      </c>
      <c r="I150" s="6">
        <v>2316</v>
      </c>
      <c r="J150" s="6">
        <v>91626897.959999993</v>
      </c>
    </row>
    <row r="151" spans="1:10" ht="20.25" x14ac:dyDescent="0.3">
      <c r="A151" s="4">
        <v>4</v>
      </c>
      <c r="B151" s="85" t="s">
        <v>894</v>
      </c>
      <c r="C151" s="70">
        <v>31763.41</v>
      </c>
      <c r="D151" s="71">
        <v>1018</v>
      </c>
      <c r="E151" s="72">
        <v>13</v>
      </c>
      <c r="F151" s="98">
        <v>50260646.789999992</v>
      </c>
      <c r="H151" s="6">
        <v>26773.05</v>
      </c>
      <c r="I151" s="6">
        <v>869</v>
      </c>
      <c r="J151" s="6">
        <v>44137673.120000005</v>
      </c>
    </row>
    <row r="152" spans="1:10" ht="20.25" x14ac:dyDescent="0.3">
      <c r="A152" s="4">
        <v>5</v>
      </c>
      <c r="B152" s="3" t="s">
        <v>895</v>
      </c>
      <c r="C152" s="70">
        <v>13712.699999999999</v>
      </c>
      <c r="D152" s="71">
        <v>547</v>
      </c>
      <c r="E152" s="72">
        <v>2</v>
      </c>
      <c r="F152" s="98">
        <v>21856214.649999999</v>
      </c>
      <c r="H152" s="6">
        <v>13712.7</v>
      </c>
      <c r="I152" s="6">
        <v>336</v>
      </c>
      <c r="J152" s="6">
        <v>21856214.650000002</v>
      </c>
    </row>
    <row r="153" spans="1:10" ht="20.25" x14ac:dyDescent="0.3">
      <c r="A153" s="4">
        <v>6</v>
      </c>
      <c r="B153" s="3" t="s">
        <v>896</v>
      </c>
      <c r="C153" s="70">
        <v>44403.5</v>
      </c>
      <c r="D153" s="71">
        <v>1743</v>
      </c>
      <c r="E153" s="72">
        <v>8</v>
      </c>
      <c r="F153" s="98">
        <v>51599396.32</v>
      </c>
      <c r="H153" s="6">
        <v>45913.430000000008</v>
      </c>
      <c r="I153" s="6">
        <v>1959</v>
      </c>
      <c r="J153" s="6">
        <v>51679396.32</v>
      </c>
    </row>
    <row r="154" spans="1:10" ht="20.25" x14ac:dyDescent="0.3">
      <c r="A154" s="4">
        <v>7</v>
      </c>
      <c r="B154" s="3" t="s">
        <v>897</v>
      </c>
      <c r="C154" s="70">
        <v>6151.9</v>
      </c>
      <c r="D154" s="71">
        <v>158</v>
      </c>
      <c r="E154" s="72">
        <v>2</v>
      </c>
      <c r="F154" s="98">
        <v>5663822.2999999998</v>
      </c>
      <c r="H154" s="6">
        <v>11170.900000000001</v>
      </c>
      <c r="I154" s="6">
        <v>305</v>
      </c>
      <c r="J154" s="6">
        <v>9890638.1399999987</v>
      </c>
    </row>
    <row r="155" spans="1:10" ht="20.25" x14ac:dyDescent="0.3">
      <c r="A155" s="4">
        <v>8</v>
      </c>
      <c r="B155" s="3" t="s">
        <v>898</v>
      </c>
      <c r="C155" s="70">
        <v>8048.2000000000007</v>
      </c>
      <c r="D155" s="71">
        <v>328</v>
      </c>
      <c r="E155" s="72">
        <v>3</v>
      </c>
      <c r="F155" s="98">
        <v>7120486.3999999994</v>
      </c>
      <c r="H155" s="6">
        <v>4408.6000000000004</v>
      </c>
      <c r="I155" s="6">
        <v>120</v>
      </c>
      <c r="J155" s="6">
        <v>11422752.699999999</v>
      </c>
    </row>
    <row r="156" spans="1:10" ht="20.25" x14ac:dyDescent="0.3">
      <c r="A156" s="4">
        <v>9</v>
      </c>
      <c r="B156" s="3" t="s">
        <v>899</v>
      </c>
      <c r="C156" s="70">
        <v>6442.65</v>
      </c>
      <c r="D156" s="71">
        <v>188</v>
      </c>
      <c r="E156" s="72">
        <v>2</v>
      </c>
      <c r="F156" s="98">
        <v>8756823</v>
      </c>
      <c r="H156" s="6">
        <v>8897</v>
      </c>
      <c r="I156" s="6">
        <v>313</v>
      </c>
      <c r="J156" s="6">
        <v>9642280</v>
      </c>
    </row>
    <row r="157" spans="1:10" ht="20.25" x14ac:dyDescent="0.3">
      <c r="A157" s="4">
        <v>10</v>
      </c>
      <c r="B157" s="3" t="s">
        <v>900</v>
      </c>
      <c r="C157" s="70">
        <v>1801.1</v>
      </c>
      <c r="D157" s="71">
        <v>87</v>
      </c>
      <c r="E157" s="72">
        <v>1</v>
      </c>
      <c r="F157" s="98">
        <v>4369866.08</v>
      </c>
      <c r="H157" s="6">
        <v>804.5</v>
      </c>
      <c r="I157" s="6">
        <v>47</v>
      </c>
      <c r="J157" s="6">
        <v>4369866.08</v>
      </c>
    </row>
    <row r="158" spans="1:10" ht="20.25" x14ac:dyDescent="0.3">
      <c r="A158" s="4">
        <v>11</v>
      </c>
      <c r="B158" s="3" t="s">
        <v>901</v>
      </c>
      <c r="C158" s="70">
        <v>1070.8</v>
      </c>
      <c r="D158" s="71">
        <v>57</v>
      </c>
      <c r="E158" s="72">
        <v>1</v>
      </c>
      <c r="F158" s="98">
        <v>2936950.21</v>
      </c>
      <c r="H158" s="6">
        <v>1070.8</v>
      </c>
      <c r="I158" s="6">
        <v>42</v>
      </c>
      <c r="J158" s="6">
        <v>2936950.21</v>
      </c>
    </row>
    <row r="159" spans="1:10" ht="20.25" x14ac:dyDescent="0.3">
      <c r="A159" s="4">
        <v>12</v>
      </c>
      <c r="B159" s="3" t="s">
        <v>902</v>
      </c>
      <c r="C159" s="70">
        <v>1547.1</v>
      </c>
      <c r="D159" s="71">
        <v>72</v>
      </c>
      <c r="E159" s="72">
        <v>2</v>
      </c>
      <c r="F159" s="98">
        <v>2773728.46</v>
      </c>
      <c r="H159" s="6">
        <v>1426.8</v>
      </c>
      <c r="I159" s="6">
        <v>72</v>
      </c>
      <c r="J159" s="6">
        <v>2773728.46</v>
      </c>
    </row>
    <row r="160" spans="1:10" ht="20.25" x14ac:dyDescent="0.3">
      <c r="A160" s="4">
        <v>13</v>
      </c>
      <c r="B160" s="3" t="s">
        <v>903</v>
      </c>
      <c r="C160" s="70">
        <v>520.79999999999995</v>
      </c>
      <c r="D160" s="71">
        <v>32</v>
      </c>
      <c r="E160" s="72">
        <v>1</v>
      </c>
      <c r="F160" s="98">
        <v>2158336.3499999996</v>
      </c>
      <c r="H160" s="6">
        <v>456.6</v>
      </c>
      <c r="I160" s="6">
        <v>26</v>
      </c>
      <c r="J160" s="6">
        <v>2158336.3499999996</v>
      </c>
    </row>
    <row r="161" spans="1:10" ht="20.25" x14ac:dyDescent="0.3">
      <c r="A161" s="4">
        <v>14</v>
      </c>
      <c r="B161" s="3" t="s">
        <v>904</v>
      </c>
      <c r="C161" s="70">
        <v>3156.2</v>
      </c>
      <c r="D161" s="71">
        <v>151</v>
      </c>
      <c r="E161" s="72">
        <v>1</v>
      </c>
      <c r="F161" s="98">
        <v>2000000</v>
      </c>
      <c r="H161" s="6">
        <v>3374.6</v>
      </c>
      <c r="I161" s="6">
        <v>144</v>
      </c>
      <c r="J161" s="6">
        <v>2000000</v>
      </c>
    </row>
    <row r="162" spans="1:10" ht="20.25" x14ac:dyDescent="0.3">
      <c r="A162" s="4">
        <v>15</v>
      </c>
      <c r="B162" s="3" t="s">
        <v>905</v>
      </c>
      <c r="C162" s="70">
        <v>11171.599999999999</v>
      </c>
      <c r="D162" s="71">
        <v>563</v>
      </c>
      <c r="E162" s="72">
        <v>6</v>
      </c>
      <c r="F162" s="98">
        <v>19139362.629999999</v>
      </c>
      <c r="H162" s="6">
        <v>13638.6</v>
      </c>
      <c r="I162" s="6">
        <v>299</v>
      </c>
      <c r="J162" s="6">
        <v>23342011.919999998</v>
      </c>
    </row>
    <row r="163" spans="1:10" ht="20.25" x14ac:dyDescent="0.3">
      <c r="A163" s="4">
        <v>16</v>
      </c>
      <c r="B163" s="3" t="s">
        <v>906</v>
      </c>
      <c r="C163" s="70">
        <v>6105.4</v>
      </c>
      <c r="D163" s="71">
        <v>226</v>
      </c>
      <c r="E163" s="72">
        <v>3</v>
      </c>
      <c r="F163" s="98">
        <v>13813074.67</v>
      </c>
      <c r="H163" s="6">
        <v>5759.0999999999995</v>
      </c>
      <c r="I163" s="6">
        <v>215</v>
      </c>
      <c r="J163" s="6">
        <v>12591900</v>
      </c>
    </row>
    <row r="164" spans="1:10" ht="20.25" x14ac:dyDescent="0.3">
      <c r="A164" s="4">
        <v>17</v>
      </c>
      <c r="B164" s="3" t="s">
        <v>907</v>
      </c>
      <c r="C164" s="70">
        <v>396.2</v>
      </c>
      <c r="D164" s="71">
        <v>20</v>
      </c>
      <c r="E164" s="72">
        <v>1</v>
      </c>
      <c r="F164" s="98">
        <v>1724820</v>
      </c>
      <c r="H164" s="6">
        <v>396.2</v>
      </c>
      <c r="I164" s="6">
        <v>21</v>
      </c>
      <c r="J164" s="6">
        <v>1724820</v>
      </c>
    </row>
    <row r="165" spans="1:10" ht="20.25" x14ac:dyDescent="0.3">
      <c r="A165" s="4">
        <v>18</v>
      </c>
      <c r="B165" s="3" t="s">
        <v>908</v>
      </c>
      <c r="C165" s="70">
        <v>1011.8</v>
      </c>
      <c r="D165" s="71">
        <v>36</v>
      </c>
      <c r="E165" s="72">
        <v>1</v>
      </c>
      <c r="F165" s="98">
        <v>1739107.3499999999</v>
      </c>
      <c r="H165" s="6">
        <v>1011.8</v>
      </c>
      <c r="I165" s="6">
        <v>26</v>
      </c>
      <c r="J165" s="6">
        <v>1739107.3499999999</v>
      </c>
    </row>
    <row r="166" spans="1:10" ht="20.25" x14ac:dyDescent="0.3">
      <c r="A166" s="4">
        <v>19</v>
      </c>
      <c r="B166" s="3" t="s">
        <v>909</v>
      </c>
      <c r="C166" s="70">
        <v>594.20000000000005</v>
      </c>
      <c r="D166" s="71">
        <v>21</v>
      </c>
      <c r="E166" s="72">
        <v>1</v>
      </c>
      <c r="F166" s="98">
        <v>3373804.98</v>
      </c>
      <c r="H166" s="6">
        <v>594.20000000000005</v>
      </c>
      <c r="I166" s="6">
        <v>23</v>
      </c>
      <c r="J166" s="6">
        <v>3373804.98</v>
      </c>
    </row>
    <row r="167" spans="1:10" ht="20.25" x14ac:dyDescent="0.3">
      <c r="A167" s="4">
        <v>20</v>
      </c>
      <c r="B167" s="3" t="s">
        <v>910</v>
      </c>
      <c r="C167" s="70">
        <v>1532.1</v>
      </c>
      <c r="D167" s="71">
        <v>39</v>
      </c>
      <c r="E167" s="72">
        <v>2</v>
      </c>
      <c r="F167" s="98">
        <v>3916350</v>
      </c>
      <c r="H167" s="6">
        <v>906.9</v>
      </c>
      <c r="I167" s="6">
        <v>32</v>
      </c>
      <c r="J167" s="6">
        <v>3916350</v>
      </c>
    </row>
    <row r="168" spans="1:10" ht="20.25" x14ac:dyDescent="0.3">
      <c r="A168" s="4">
        <v>21</v>
      </c>
      <c r="B168" s="3" t="s">
        <v>911</v>
      </c>
      <c r="C168" s="70">
        <v>2184</v>
      </c>
      <c r="D168" s="71">
        <v>61</v>
      </c>
      <c r="E168" s="72">
        <v>2</v>
      </c>
      <c r="F168" s="98">
        <v>3516578.96</v>
      </c>
      <c r="H168" s="6">
        <v>2184</v>
      </c>
      <c r="I168" s="6">
        <v>57</v>
      </c>
      <c r="J168" s="6">
        <v>3516578.96</v>
      </c>
    </row>
    <row r="169" spans="1:10" ht="20.25" x14ac:dyDescent="0.3">
      <c r="A169" s="4">
        <v>22</v>
      </c>
      <c r="B169" s="3" t="s">
        <v>912</v>
      </c>
      <c r="C169" s="70">
        <v>1069.5</v>
      </c>
      <c r="D169" s="71">
        <v>34</v>
      </c>
      <c r="E169" s="72">
        <v>1</v>
      </c>
      <c r="F169" s="98">
        <v>3598749.4899999998</v>
      </c>
      <c r="H169" s="6">
        <v>1069.5</v>
      </c>
      <c r="I169" s="6">
        <v>39</v>
      </c>
      <c r="J169" s="6">
        <v>3598749.4899999998</v>
      </c>
    </row>
    <row r="170" spans="1:10" ht="20.25" x14ac:dyDescent="0.3">
      <c r="A170" s="4">
        <v>23</v>
      </c>
      <c r="B170" s="3" t="s">
        <v>913</v>
      </c>
      <c r="C170" s="70">
        <v>667.4</v>
      </c>
      <c r="D170" s="71">
        <v>32</v>
      </c>
      <c r="E170" s="72">
        <v>1</v>
      </c>
      <c r="F170" s="98">
        <v>1925593.0499999998</v>
      </c>
      <c r="H170" s="6">
        <v>630</v>
      </c>
      <c r="I170" s="6">
        <v>32</v>
      </c>
      <c r="J170" s="6">
        <v>3488946.79</v>
      </c>
    </row>
    <row r="171" spans="1:10" ht="20.25" x14ac:dyDescent="0.3">
      <c r="A171" s="4">
        <v>24</v>
      </c>
      <c r="B171" s="3" t="s">
        <v>914</v>
      </c>
      <c r="C171" s="70">
        <v>569.20000000000005</v>
      </c>
      <c r="D171" s="71">
        <v>29</v>
      </c>
      <c r="E171" s="72">
        <v>1</v>
      </c>
      <c r="F171" s="98">
        <v>1538879.17</v>
      </c>
      <c r="H171" s="6">
        <v>626.5</v>
      </c>
      <c r="I171" s="6">
        <v>23</v>
      </c>
      <c r="J171" s="6">
        <v>1538879.17</v>
      </c>
    </row>
    <row r="172" spans="1:10" ht="20.25" x14ac:dyDescent="0.3">
      <c r="A172" s="4">
        <v>25</v>
      </c>
      <c r="B172" s="3" t="s">
        <v>915</v>
      </c>
      <c r="C172" s="70">
        <v>14681.960000000001</v>
      </c>
      <c r="D172" s="71">
        <v>474</v>
      </c>
      <c r="E172" s="72">
        <v>6</v>
      </c>
      <c r="F172" s="98">
        <v>29368928.999999996</v>
      </c>
      <c r="H172" s="6">
        <v>20161.96</v>
      </c>
      <c r="I172" s="6">
        <v>621</v>
      </c>
      <c r="J172" s="6">
        <v>28415186.600000001</v>
      </c>
    </row>
    <row r="173" spans="1:10" ht="20.25" x14ac:dyDescent="0.3">
      <c r="A173" s="4">
        <v>26</v>
      </c>
      <c r="B173" s="3" t="s">
        <v>916</v>
      </c>
      <c r="C173" s="70">
        <v>1573</v>
      </c>
      <c r="D173" s="71">
        <v>86</v>
      </c>
      <c r="E173" s="72">
        <v>2</v>
      </c>
      <c r="F173" s="98">
        <v>5777967.8699999992</v>
      </c>
      <c r="H173" s="6">
        <v>1573</v>
      </c>
      <c r="I173" s="6">
        <v>68</v>
      </c>
      <c r="J173" s="6">
        <v>5777967.8699999992</v>
      </c>
    </row>
    <row r="174" spans="1:10" ht="20.25" x14ac:dyDescent="0.3">
      <c r="A174" s="4">
        <v>27</v>
      </c>
      <c r="B174" s="3" t="s">
        <v>917</v>
      </c>
      <c r="C174" s="70">
        <v>1266.2</v>
      </c>
      <c r="D174" s="71">
        <v>63</v>
      </c>
      <c r="E174" s="72">
        <v>3</v>
      </c>
      <c r="F174" s="98">
        <v>4715781.71</v>
      </c>
      <c r="H174" s="6">
        <v>1266.2</v>
      </c>
      <c r="I174" s="6">
        <v>52</v>
      </c>
      <c r="J174" s="6">
        <v>4715781.71</v>
      </c>
    </row>
    <row r="175" spans="1:10" ht="20.25" x14ac:dyDescent="0.3">
      <c r="A175" s="4">
        <v>28</v>
      </c>
      <c r="B175" s="3" t="s">
        <v>918</v>
      </c>
      <c r="C175" s="70">
        <v>666.5</v>
      </c>
      <c r="D175" s="71">
        <v>37</v>
      </c>
      <c r="E175" s="72">
        <v>2</v>
      </c>
      <c r="F175" s="98">
        <v>2590114.16</v>
      </c>
      <c r="H175" s="6">
        <v>703.5</v>
      </c>
      <c r="I175" s="6">
        <v>36</v>
      </c>
      <c r="J175" s="6">
        <v>2590114.16</v>
      </c>
    </row>
    <row r="176" spans="1:10" ht="20.25" x14ac:dyDescent="0.3">
      <c r="A176" s="4">
        <v>29</v>
      </c>
      <c r="B176" s="3" t="s">
        <v>919</v>
      </c>
      <c r="C176" s="70">
        <v>1217.2</v>
      </c>
      <c r="D176" s="71">
        <v>47</v>
      </c>
      <c r="E176" s="72">
        <v>1</v>
      </c>
      <c r="F176" s="98">
        <v>1456533.11</v>
      </c>
      <c r="H176" s="6">
        <v>1217.2</v>
      </c>
      <c r="I176" s="6">
        <v>47</v>
      </c>
      <c r="J176" s="6">
        <v>1456533.11</v>
      </c>
    </row>
    <row r="177" spans="1:10" ht="20.25" x14ac:dyDescent="0.3">
      <c r="A177" s="4">
        <v>30</v>
      </c>
      <c r="B177" s="3" t="s">
        <v>920</v>
      </c>
      <c r="C177" s="70">
        <v>1774</v>
      </c>
      <c r="D177" s="71">
        <v>80</v>
      </c>
      <c r="E177" s="72">
        <v>3</v>
      </c>
      <c r="F177" s="98">
        <v>10290828.25</v>
      </c>
      <c r="H177" s="6">
        <v>1774</v>
      </c>
      <c r="I177" s="6">
        <v>80</v>
      </c>
      <c r="J177" s="6">
        <v>10290828.25</v>
      </c>
    </row>
    <row r="178" spans="1:10" ht="20.25" x14ac:dyDescent="0.3">
      <c r="A178" s="4">
        <v>31</v>
      </c>
      <c r="B178" s="3" t="s">
        <v>921</v>
      </c>
      <c r="C178" s="70">
        <v>609</v>
      </c>
      <c r="D178" s="71">
        <v>32</v>
      </c>
      <c r="E178" s="72">
        <v>1</v>
      </c>
      <c r="F178" s="98">
        <v>3013803.8600000003</v>
      </c>
      <c r="H178" s="6">
        <v>609</v>
      </c>
      <c r="I178" s="6">
        <v>31</v>
      </c>
      <c r="J178" s="6">
        <v>3013803.8600000003</v>
      </c>
    </row>
    <row r="179" spans="1:10" ht="20.25" x14ac:dyDescent="0.3">
      <c r="A179" s="4">
        <v>32</v>
      </c>
      <c r="B179" s="3" t="s">
        <v>922</v>
      </c>
      <c r="C179" s="70">
        <v>616.20000000000005</v>
      </c>
      <c r="D179" s="71">
        <v>21</v>
      </c>
      <c r="E179" s="72">
        <v>1</v>
      </c>
      <c r="F179" s="98">
        <v>2036502</v>
      </c>
      <c r="H179" s="6">
        <v>616</v>
      </c>
      <c r="I179" s="6">
        <v>21</v>
      </c>
      <c r="J179" s="6">
        <v>2036502</v>
      </c>
    </row>
    <row r="180" spans="1:10" ht="20.25" x14ac:dyDescent="0.3">
      <c r="A180" s="4">
        <v>33</v>
      </c>
      <c r="B180" s="3" t="s">
        <v>923</v>
      </c>
      <c r="C180" s="70">
        <v>772.9</v>
      </c>
      <c r="D180" s="71">
        <v>30</v>
      </c>
      <c r="E180" s="72">
        <v>1</v>
      </c>
      <c r="F180" s="98">
        <v>3592598.4</v>
      </c>
      <c r="H180" s="6">
        <v>772.9</v>
      </c>
      <c r="I180" s="6">
        <v>32</v>
      </c>
      <c r="J180" s="6">
        <v>3592598.4</v>
      </c>
    </row>
    <row r="181" spans="1:10" ht="20.25" x14ac:dyDescent="0.3">
      <c r="A181" s="4">
        <v>34</v>
      </c>
      <c r="B181" s="3" t="s">
        <v>924</v>
      </c>
      <c r="C181" s="70">
        <v>976.3</v>
      </c>
      <c r="D181" s="71">
        <v>36</v>
      </c>
      <c r="E181" s="72">
        <v>1</v>
      </c>
      <c r="F181" s="98">
        <v>4454195.3999999994</v>
      </c>
      <c r="H181" s="6">
        <v>976.3</v>
      </c>
      <c r="I181" s="6">
        <v>36</v>
      </c>
      <c r="J181" s="6">
        <v>4454195.3999999994</v>
      </c>
    </row>
    <row r="182" spans="1:10" ht="20.25" x14ac:dyDescent="0.3">
      <c r="A182" s="4">
        <v>35</v>
      </c>
      <c r="B182" s="3" t="s">
        <v>925</v>
      </c>
      <c r="C182" s="70">
        <v>781.7</v>
      </c>
      <c r="D182" s="71">
        <v>40</v>
      </c>
      <c r="E182" s="72">
        <v>1</v>
      </c>
      <c r="F182" s="98">
        <v>5304624.57</v>
      </c>
      <c r="H182" s="6">
        <v>781.7</v>
      </c>
      <c r="I182" s="6">
        <v>25</v>
      </c>
      <c r="J182" s="6">
        <v>4839701.7600000007</v>
      </c>
    </row>
    <row r="183" spans="1:10" ht="20.25" x14ac:dyDescent="0.3">
      <c r="A183" s="4">
        <v>36</v>
      </c>
      <c r="B183" s="3" t="s">
        <v>926</v>
      </c>
      <c r="C183" s="70">
        <v>736.7</v>
      </c>
      <c r="D183" s="71">
        <v>41</v>
      </c>
      <c r="E183" s="72">
        <v>1</v>
      </c>
      <c r="F183" s="98">
        <v>3231458.3</v>
      </c>
      <c r="H183" s="6">
        <v>792.9</v>
      </c>
      <c r="I183" s="6">
        <v>42</v>
      </c>
      <c r="J183" s="6">
        <v>3231458.3</v>
      </c>
    </row>
    <row r="184" spans="1:10" ht="20.25" x14ac:dyDescent="0.3">
      <c r="A184" s="4">
        <v>37</v>
      </c>
      <c r="B184" s="3" t="s">
        <v>927</v>
      </c>
      <c r="C184" s="70">
        <v>9352.4</v>
      </c>
      <c r="D184" s="71">
        <v>384</v>
      </c>
      <c r="E184" s="72">
        <v>3</v>
      </c>
      <c r="F184" s="98">
        <v>16849360.93</v>
      </c>
      <c r="H184" s="6">
        <v>9443</v>
      </c>
      <c r="I184" s="6">
        <v>371</v>
      </c>
      <c r="J184" s="6">
        <v>16849360.93</v>
      </c>
    </row>
    <row r="185" spans="1:10" ht="20.25" x14ac:dyDescent="0.3">
      <c r="A185" s="4">
        <v>38</v>
      </c>
      <c r="B185" s="3" t="s">
        <v>928</v>
      </c>
      <c r="C185" s="70">
        <v>2168.41</v>
      </c>
      <c r="D185" s="71">
        <v>63</v>
      </c>
      <c r="E185" s="72">
        <v>1</v>
      </c>
      <c r="F185" s="98">
        <v>3221353.3</v>
      </c>
      <c r="H185" s="6">
        <v>2168.41</v>
      </c>
      <c r="I185" s="6">
        <v>62</v>
      </c>
      <c r="J185" s="6">
        <v>3799734.79</v>
      </c>
    </row>
    <row r="186" spans="1:10" ht="20.25" x14ac:dyDescent="0.3">
      <c r="A186" s="4">
        <v>39</v>
      </c>
      <c r="B186" s="3" t="s">
        <v>929</v>
      </c>
      <c r="C186" s="70">
        <v>780.3</v>
      </c>
      <c r="D186" s="71">
        <v>40</v>
      </c>
      <c r="E186" s="72">
        <v>1</v>
      </c>
      <c r="F186" s="98">
        <v>2311215.4500000002</v>
      </c>
      <c r="H186" s="6">
        <v>780.3</v>
      </c>
      <c r="I186" s="6">
        <v>24</v>
      </c>
      <c r="J186" s="6">
        <v>2311215.4500000002</v>
      </c>
    </row>
    <row r="187" spans="1:10" ht="20.25" x14ac:dyDescent="0.3">
      <c r="A187" s="4">
        <v>40</v>
      </c>
      <c r="B187" s="3" t="s">
        <v>930</v>
      </c>
      <c r="C187" s="70">
        <v>540.79999999999995</v>
      </c>
      <c r="D187" s="71">
        <v>26</v>
      </c>
      <c r="E187" s="72">
        <v>1</v>
      </c>
      <c r="F187" s="98">
        <v>3215375.5700000003</v>
      </c>
      <c r="H187" s="6">
        <v>540.79999999999995</v>
      </c>
      <c r="I187" s="6">
        <v>15</v>
      </c>
      <c r="J187" s="6">
        <v>3215375.5700000003</v>
      </c>
    </row>
    <row r="188" spans="1:10" ht="20.25" x14ac:dyDescent="0.3">
      <c r="A188" s="4">
        <v>41</v>
      </c>
      <c r="B188" s="3" t="s">
        <v>931</v>
      </c>
      <c r="C188" s="70">
        <v>2550.6999999999998</v>
      </c>
      <c r="D188" s="71">
        <v>140</v>
      </c>
      <c r="E188" s="72">
        <v>3</v>
      </c>
      <c r="F188" s="98">
        <v>10672314.84</v>
      </c>
      <c r="H188" s="6">
        <v>2550.6999999999998</v>
      </c>
      <c r="I188" s="6">
        <v>119</v>
      </c>
      <c r="J188" s="6">
        <v>10672314.84</v>
      </c>
    </row>
    <row r="189" spans="1:10" ht="20.25" x14ac:dyDescent="0.3">
      <c r="A189" s="4">
        <v>42</v>
      </c>
      <c r="B189" s="3" t="s">
        <v>932</v>
      </c>
      <c r="C189" s="70">
        <v>5523</v>
      </c>
      <c r="D189" s="71">
        <v>208</v>
      </c>
      <c r="E189" s="72">
        <v>1</v>
      </c>
      <c r="F189" s="98">
        <v>3912770.8299999996</v>
      </c>
      <c r="H189" s="6">
        <v>5727.7</v>
      </c>
      <c r="I189" s="6">
        <v>188</v>
      </c>
      <c r="J189" s="6">
        <v>6053192.4699999997</v>
      </c>
    </row>
    <row r="190" spans="1:10" ht="20.25" x14ac:dyDescent="0.3">
      <c r="A190" s="4">
        <v>43</v>
      </c>
      <c r="B190" s="3" t="s">
        <v>933</v>
      </c>
      <c r="C190" s="70">
        <v>1046.8</v>
      </c>
      <c r="D190" s="71">
        <v>44</v>
      </c>
      <c r="E190" s="72">
        <v>1</v>
      </c>
      <c r="F190" s="98">
        <v>4804056</v>
      </c>
      <c r="H190" s="6">
        <v>1040.7</v>
      </c>
      <c r="I190" s="6">
        <v>44</v>
      </c>
      <c r="J190" s="6">
        <v>4804056</v>
      </c>
    </row>
    <row r="191" spans="1:10" ht="20.25" x14ac:dyDescent="0.3">
      <c r="A191" s="4">
        <v>44</v>
      </c>
      <c r="B191" s="3" t="s">
        <v>934</v>
      </c>
      <c r="C191" s="70">
        <v>3554.5</v>
      </c>
      <c r="D191" s="71">
        <v>158</v>
      </c>
      <c r="E191" s="72">
        <v>1</v>
      </c>
      <c r="F191" s="98">
        <v>7297176.4800000004</v>
      </c>
      <c r="H191" s="6">
        <v>3554.5</v>
      </c>
      <c r="I191" s="6">
        <v>145</v>
      </c>
      <c r="J191" s="6">
        <v>7284801.9000000004</v>
      </c>
    </row>
    <row r="192" spans="1:10" ht="20.25" x14ac:dyDescent="0.3">
      <c r="A192" s="4">
        <v>45</v>
      </c>
      <c r="B192" s="3" t="s">
        <v>935</v>
      </c>
      <c r="C192" s="70">
        <v>2640.94</v>
      </c>
      <c r="D192" s="71">
        <v>92</v>
      </c>
      <c r="E192" s="72">
        <v>2</v>
      </c>
      <c r="F192" s="98">
        <v>4011881.02</v>
      </c>
      <c r="H192" s="6">
        <v>2640.94</v>
      </c>
      <c r="I192" s="6">
        <v>88</v>
      </c>
      <c r="J192" s="6">
        <v>4011881.02</v>
      </c>
    </row>
    <row r="193" spans="1:10" ht="20.25" x14ac:dyDescent="0.3">
      <c r="A193" s="4">
        <v>46</v>
      </c>
      <c r="B193" s="3" t="s">
        <v>936</v>
      </c>
      <c r="C193" s="70">
        <v>3872.1</v>
      </c>
      <c r="D193" s="71">
        <v>163</v>
      </c>
      <c r="E193" s="72">
        <v>3</v>
      </c>
      <c r="F193" s="98">
        <v>6079528.0199999996</v>
      </c>
      <c r="H193" s="6">
        <v>4173.7</v>
      </c>
      <c r="I193" s="6">
        <v>171</v>
      </c>
      <c r="J193" s="6">
        <v>6026117.5699999994</v>
      </c>
    </row>
    <row r="194" spans="1:10" ht="20.25" x14ac:dyDescent="0.3">
      <c r="A194" s="4">
        <v>47</v>
      </c>
      <c r="B194" s="3" t="s">
        <v>961</v>
      </c>
      <c r="C194" s="70">
        <v>13642.179999999998</v>
      </c>
      <c r="D194" s="71">
        <v>462</v>
      </c>
      <c r="E194" s="72">
        <v>3</v>
      </c>
      <c r="F194" s="98">
        <v>12459674.15</v>
      </c>
      <c r="H194" s="6">
        <v>8514.9</v>
      </c>
      <c r="I194" s="6">
        <v>327</v>
      </c>
      <c r="J194" s="6">
        <v>12459674.15</v>
      </c>
    </row>
    <row r="195" spans="1:10" ht="20.25" x14ac:dyDescent="0.3">
      <c r="A195" s="4">
        <v>48</v>
      </c>
      <c r="B195" s="3" t="s">
        <v>937</v>
      </c>
      <c r="C195" s="70">
        <v>5318.7099999999991</v>
      </c>
      <c r="D195" s="71">
        <v>278</v>
      </c>
      <c r="E195" s="72">
        <v>3</v>
      </c>
      <c r="F195" s="98">
        <v>8976986.379999999</v>
      </c>
      <c r="H195" s="6">
        <v>14680.3</v>
      </c>
      <c r="I195" s="6">
        <v>685</v>
      </c>
      <c r="J195" s="6">
        <v>13993215.270000001</v>
      </c>
    </row>
    <row r="196" spans="1:10" ht="20.25" x14ac:dyDescent="0.3">
      <c r="A196" s="4">
        <v>49</v>
      </c>
      <c r="B196" s="3" t="s">
        <v>938</v>
      </c>
      <c r="C196" s="70">
        <v>5101.2</v>
      </c>
      <c r="D196" s="71">
        <v>130</v>
      </c>
      <c r="E196" s="72">
        <v>2</v>
      </c>
      <c r="F196" s="98">
        <v>9221698.8000000007</v>
      </c>
      <c r="H196" s="6">
        <v>4947</v>
      </c>
      <c r="I196" s="6">
        <v>164</v>
      </c>
      <c r="J196" s="6">
        <v>9221698.8000000007</v>
      </c>
    </row>
    <row r="197" spans="1:10" ht="20.25" x14ac:dyDescent="0.3">
      <c r="A197" s="4">
        <v>50</v>
      </c>
      <c r="B197" s="3" t="s">
        <v>939</v>
      </c>
      <c r="C197" s="70">
        <v>783.81</v>
      </c>
      <c r="D197" s="71">
        <v>16</v>
      </c>
      <c r="E197" s="72">
        <v>1</v>
      </c>
      <c r="F197" s="98">
        <v>3623929.1999999997</v>
      </c>
      <c r="H197" s="6">
        <v>726</v>
      </c>
      <c r="I197" s="6">
        <v>28</v>
      </c>
      <c r="J197" s="6">
        <v>3623929.1999999997</v>
      </c>
    </row>
    <row r="198" spans="1:10" ht="20.25" x14ac:dyDescent="0.3">
      <c r="A198" s="4">
        <v>51</v>
      </c>
      <c r="B198" s="3" t="s">
        <v>940</v>
      </c>
      <c r="C198" s="70">
        <v>680.2</v>
      </c>
      <c r="D198" s="71">
        <v>33</v>
      </c>
      <c r="E198" s="72">
        <v>1</v>
      </c>
      <c r="F198" s="98">
        <v>3080862</v>
      </c>
      <c r="H198" s="6">
        <v>675.9</v>
      </c>
      <c r="I198" s="6">
        <v>32</v>
      </c>
      <c r="J198" s="6">
        <v>3080862</v>
      </c>
    </row>
    <row r="199" spans="1:10" ht="20.25" x14ac:dyDescent="0.3">
      <c r="A199" s="4">
        <v>52</v>
      </c>
      <c r="B199" s="3" t="s">
        <v>941</v>
      </c>
      <c r="C199" s="70">
        <v>646.4</v>
      </c>
      <c r="D199" s="71">
        <v>15</v>
      </c>
      <c r="E199" s="72">
        <v>2</v>
      </c>
      <c r="F199" s="98">
        <v>2610892.59</v>
      </c>
      <c r="H199" s="6">
        <v>611.5</v>
      </c>
      <c r="I199" s="6">
        <v>28</v>
      </c>
      <c r="J199" s="6">
        <v>2610892.59</v>
      </c>
    </row>
    <row r="200" spans="1:10" ht="20.25" x14ac:dyDescent="0.3">
      <c r="A200" s="4">
        <v>53</v>
      </c>
      <c r="B200" s="3" t="s">
        <v>942</v>
      </c>
      <c r="C200" s="70">
        <v>2009.6000000000001</v>
      </c>
      <c r="D200" s="71">
        <v>65</v>
      </c>
      <c r="E200" s="72">
        <v>3</v>
      </c>
      <c r="F200" s="98">
        <v>6332416.4000000004</v>
      </c>
      <c r="H200" s="6">
        <v>2373.5</v>
      </c>
      <c r="I200" s="6">
        <v>77</v>
      </c>
      <c r="J200" s="6">
        <v>6332416.4000000004</v>
      </c>
    </row>
    <row r="201" spans="1:10" ht="20.25" x14ac:dyDescent="0.3">
      <c r="A201" s="4">
        <v>54</v>
      </c>
      <c r="B201" s="3" t="s">
        <v>943</v>
      </c>
      <c r="C201" s="70">
        <v>814.6</v>
      </c>
      <c r="D201" s="71">
        <v>26</v>
      </c>
      <c r="E201" s="72">
        <v>1</v>
      </c>
      <c r="F201" s="98">
        <v>3434659.7399999998</v>
      </c>
      <c r="H201" s="6">
        <v>789</v>
      </c>
      <c r="I201" s="6">
        <v>64</v>
      </c>
      <c r="J201" s="6">
        <v>3026194.08</v>
      </c>
    </row>
    <row r="202" spans="1:10" ht="20.25" x14ac:dyDescent="0.3">
      <c r="A202" s="4">
        <v>55</v>
      </c>
      <c r="B202" s="3" t="s">
        <v>944</v>
      </c>
      <c r="C202" s="70">
        <v>1047.5</v>
      </c>
      <c r="D202" s="71">
        <v>55</v>
      </c>
      <c r="E202" s="72">
        <v>1</v>
      </c>
      <c r="F202" s="98">
        <v>3600600</v>
      </c>
      <c r="H202" s="6">
        <v>351</v>
      </c>
      <c r="I202" s="6">
        <v>18</v>
      </c>
      <c r="J202" s="6">
        <v>3600600</v>
      </c>
    </row>
    <row r="203" spans="1:10" ht="20.25" x14ac:dyDescent="0.3">
      <c r="A203" s="4">
        <v>56</v>
      </c>
      <c r="B203" s="3" t="s">
        <v>945</v>
      </c>
      <c r="C203" s="70">
        <v>626</v>
      </c>
      <c r="D203" s="71">
        <v>31</v>
      </c>
      <c r="E203" s="72">
        <v>1</v>
      </c>
      <c r="F203" s="98">
        <v>2233993.96</v>
      </c>
      <c r="H203" s="6">
        <v>626</v>
      </c>
      <c r="I203" s="6">
        <v>23</v>
      </c>
      <c r="J203" s="6">
        <v>1917600</v>
      </c>
    </row>
    <row r="204" spans="1:10" ht="20.25" x14ac:dyDescent="0.3">
      <c r="A204" s="4">
        <v>57</v>
      </c>
      <c r="B204" s="3" t="s">
        <v>946</v>
      </c>
      <c r="C204" s="70">
        <v>4977.3999999999996</v>
      </c>
      <c r="D204" s="71">
        <v>180</v>
      </c>
      <c r="E204" s="72">
        <v>3</v>
      </c>
      <c r="F204" s="98">
        <v>14392200</v>
      </c>
      <c r="H204" s="6">
        <v>4977.8</v>
      </c>
      <c r="I204" s="6">
        <v>158</v>
      </c>
      <c r="J204" s="6">
        <v>14392200</v>
      </c>
    </row>
    <row r="205" spans="1:10" ht="20.25" x14ac:dyDescent="0.3">
      <c r="A205" s="4">
        <v>58</v>
      </c>
      <c r="B205" s="3" t="s">
        <v>947</v>
      </c>
      <c r="C205" s="70">
        <v>775.2</v>
      </c>
      <c r="D205" s="71">
        <v>35</v>
      </c>
      <c r="E205" s="72">
        <v>1</v>
      </c>
      <c r="F205" s="98">
        <v>3396600</v>
      </c>
    </row>
    <row r="206" spans="1:10" customFormat="1" ht="71.25" customHeight="1" x14ac:dyDescent="0.25">
      <c r="A206" s="360" t="s">
        <v>1666</v>
      </c>
      <c r="B206" s="360"/>
      <c r="C206" s="360"/>
      <c r="D206" s="360"/>
      <c r="E206" s="360"/>
      <c r="F206" s="360"/>
    </row>
    <row r="207" spans="1:10" customFormat="1" ht="18.75" x14ac:dyDescent="0.3">
      <c r="A207" s="358" t="s">
        <v>2447</v>
      </c>
      <c r="B207" s="359"/>
      <c r="C207" s="95">
        <f>C208+C212</f>
        <v>4960.5</v>
      </c>
      <c r="D207" s="96">
        <f t="shared" ref="D207:F207" si="0">D208+D212</f>
        <v>206</v>
      </c>
      <c r="E207" s="96">
        <f t="shared" si="0"/>
        <v>5</v>
      </c>
      <c r="F207" s="95">
        <f t="shared" si="0"/>
        <v>12752557.73</v>
      </c>
    </row>
    <row r="208" spans="1:10" customFormat="1" ht="18.75" x14ac:dyDescent="0.3">
      <c r="A208" s="358" t="s">
        <v>1664</v>
      </c>
      <c r="B208" s="359"/>
      <c r="C208" s="95">
        <f>SUM(C209:C211)</f>
        <v>3182.5</v>
      </c>
      <c r="D208" s="96">
        <f>SUM(D209:D211)</f>
        <v>134</v>
      </c>
      <c r="E208" s="96">
        <f>SUM(E209:E211)</f>
        <v>3</v>
      </c>
      <c r="F208" s="95">
        <f>SUM(F209:F211)</f>
        <v>7034201.7300000004</v>
      </c>
    </row>
    <row r="209" spans="1:6" customFormat="1" ht="20.25" x14ac:dyDescent="0.3">
      <c r="A209" s="97">
        <v>1</v>
      </c>
      <c r="B209" s="100" t="s">
        <v>946</v>
      </c>
      <c r="C209" s="98">
        <v>522.9</v>
      </c>
      <c r="D209" s="99">
        <v>31</v>
      </c>
      <c r="E209" s="99">
        <v>1</v>
      </c>
      <c r="F209" s="98">
        <v>1836114.4000000001</v>
      </c>
    </row>
    <row r="210" spans="1:6" customFormat="1" ht="20.25" x14ac:dyDescent="0.3">
      <c r="A210" s="97">
        <v>2</v>
      </c>
      <c r="B210" s="100" t="s">
        <v>896</v>
      </c>
      <c r="C210" s="98">
        <v>1826</v>
      </c>
      <c r="D210" s="99">
        <v>73</v>
      </c>
      <c r="E210" s="99">
        <v>1</v>
      </c>
      <c r="F210" s="98">
        <v>2643881</v>
      </c>
    </row>
    <row r="211" spans="1:6" customFormat="1" ht="20.25" x14ac:dyDescent="0.3">
      <c r="A211" s="97">
        <v>3</v>
      </c>
      <c r="B211" s="3" t="s">
        <v>910</v>
      </c>
      <c r="C211" s="98">
        <v>833.6</v>
      </c>
      <c r="D211" s="99">
        <v>30</v>
      </c>
      <c r="E211" s="99">
        <v>1</v>
      </c>
      <c r="F211" s="98">
        <v>2554206.33</v>
      </c>
    </row>
    <row r="212" spans="1:6" customFormat="1" ht="18.75" x14ac:dyDescent="0.3">
      <c r="A212" s="358" t="s">
        <v>2446</v>
      </c>
      <c r="B212" s="359"/>
      <c r="C212" s="95">
        <f>SUM(C213:C214)</f>
        <v>1778</v>
      </c>
      <c r="D212" s="96">
        <f t="shared" ref="D212:F212" si="1">SUM(D213:D214)</f>
        <v>72</v>
      </c>
      <c r="E212" s="96">
        <f t="shared" si="1"/>
        <v>2</v>
      </c>
      <c r="F212" s="95">
        <f t="shared" si="1"/>
        <v>5718356</v>
      </c>
    </row>
    <row r="213" spans="1:6" customFormat="1" ht="20.25" x14ac:dyDescent="0.3">
      <c r="A213" s="97">
        <v>1</v>
      </c>
      <c r="B213" s="100" t="s">
        <v>1566</v>
      </c>
      <c r="C213" s="98">
        <v>833.7</v>
      </c>
      <c r="D213" s="99">
        <v>33</v>
      </c>
      <c r="E213" s="99">
        <v>1</v>
      </c>
      <c r="F213" s="98">
        <v>2859178</v>
      </c>
    </row>
    <row r="214" spans="1:6" customFormat="1" ht="20.25" x14ac:dyDescent="0.3">
      <c r="A214" s="97">
        <v>2</v>
      </c>
      <c r="B214" s="100" t="s">
        <v>933</v>
      </c>
      <c r="C214" s="98">
        <v>944.3</v>
      </c>
      <c r="D214" s="99">
        <v>39</v>
      </c>
      <c r="E214" s="99">
        <v>1</v>
      </c>
      <c r="F214" s="98">
        <v>2859178</v>
      </c>
    </row>
    <row r="215" spans="1:6" ht="72.75" customHeight="1" x14ac:dyDescent="0.25">
      <c r="A215" s="355" t="s">
        <v>1908</v>
      </c>
      <c r="B215" s="356"/>
      <c r="C215" s="356"/>
      <c r="D215" s="356"/>
      <c r="E215" s="356"/>
      <c r="F215" s="357"/>
    </row>
    <row r="216" spans="1:6" ht="18.75" x14ac:dyDescent="0.3">
      <c r="A216" s="358" t="s">
        <v>1909</v>
      </c>
      <c r="B216" s="359"/>
      <c r="C216" s="95">
        <f>SUM(C217:C219)</f>
        <v>9484.2999999999993</v>
      </c>
      <c r="D216" s="96">
        <f>SUM(D217:D219)</f>
        <v>424</v>
      </c>
      <c r="E216" s="96">
        <f>SUM(E217:E219)</f>
        <v>5</v>
      </c>
      <c r="F216" s="95">
        <f>SUM(F217:F219)</f>
        <v>17442384.329999998</v>
      </c>
    </row>
    <row r="217" spans="1:6" ht="20.25" x14ac:dyDescent="0.3">
      <c r="A217" s="97">
        <v>1</v>
      </c>
      <c r="B217" s="100" t="s">
        <v>920</v>
      </c>
      <c r="C217" s="98">
        <v>7491.9</v>
      </c>
      <c r="D217" s="99">
        <v>356</v>
      </c>
      <c r="E217" s="99">
        <v>3</v>
      </c>
      <c r="F217" s="98">
        <v>13632983.67</v>
      </c>
    </row>
    <row r="218" spans="1:6" ht="20.25" x14ac:dyDescent="0.3">
      <c r="A218" s="97">
        <v>2</v>
      </c>
      <c r="B218" s="100" t="s">
        <v>916</v>
      </c>
      <c r="C218" s="98">
        <v>1298.5999999999999</v>
      </c>
      <c r="D218" s="99">
        <v>47</v>
      </c>
      <c r="E218" s="99">
        <v>1</v>
      </c>
      <c r="F218" s="98">
        <v>1833103.6099999999</v>
      </c>
    </row>
    <row r="219" spans="1:6" ht="20.25" x14ac:dyDescent="0.3">
      <c r="A219" s="97">
        <v>3</v>
      </c>
      <c r="B219" s="100" t="s">
        <v>968</v>
      </c>
      <c r="C219" s="98">
        <v>693.8</v>
      </c>
      <c r="D219" s="99">
        <v>21</v>
      </c>
      <c r="E219" s="99">
        <v>1</v>
      </c>
      <c r="F219" s="98">
        <v>1976297.05</v>
      </c>
    </row>
    <row r="220" spans="1:6" x14ac:dyDescent="0.25">
      <c r="F220" s="93"/>
    </row>
    <row r="221" spans="1:6" x14ac:dyDescent="0.25">
      <c r="F221" s="93"/>
    </row>
    <row r="222" spans="1:6" x14ac:dyDescent="0.25">
      <c r="F222" s="93"/>
    </row>
    <row r="223" spans="1:6" x14ac:dyDescent="0.25">
      <c r="F223" s="93"/>
    </row>
    <row r="224" spans="1:6" x14ac:dyDescent="0.25">
      <c r="F224" s="93"/>
    </row>
    <row r="225" spans="6:6" x14ac:dyDescent="0.25">
      <c r="F225" s="93"/>
    </row>
    <row r="226" spans="6:6" x14ac:dyDescent="0.25">
      <c r="F226" s="93"/>
    </row>
    <row r="227" spans="6:6" x14ac:dyDescent="0.25">
      <c r="F227" s="117"/>
    </row>
    <row r="228" spans="6:6" x14ac:dyDescent="0.25">
      <c r="F228" s="117">
        <f>SUBTOTAL(9,F223:F227)</f>
        <v>0</v>
      </c>
    </row>
    <row r="229" spans="6:6" x14ac:dyDescent="0.25">
      <c r="F229" s="117"/>
    </row>
    <row r="230" spans="6:6" x14ac:dyDescent="0.25">
      <c r="F230" s="117"/>
    </row>
    <row r="231" spans="6:6" x14ac:dyDescent="0.25">
      <c r="F231" s="117"/>
    </row>
  </sheetData>
  <autoFilter ref="A9:K211" xr:uid="{00000000-0009-0000-0000-000003000000}"/>
  <mergeCells count="15">
    <mergeCell ref="A215:F215"/>
    <mergeCell ref="A216:B216"/>
    <mergeCell ref="A206:F206"/>
    <mergeCell ref="A208:B208"/>
    <mergeCell ref="E1:F1"/>
    <mergeCell ref="D2:F2"/>
    <mergeCell ref="A3:F4"/>
    <mergeCell ref="A5:A8"/>
    <mergeCell ref="B5:B8"/>
    <mergeCell ref="C5:C7"/>
    <mergeCell ref="D5:D7"/>
    <mergeCell ref="E5:E7"/>
    <mergeCell ref="F5:F7"/>
    <mergeCell ref="A212:B212"/>
    <mergeCell ref="A207:B207"/>
  </mergeCells>
  <pageMargins left="0" right="0" top="0.39370078740157483" bottom="0" header="0" footer="0"/>
  <pageSetup paperSize="9" scale="51" fitToHeight="0" orientation="portrait" r:id="rId1"/>
  <headerFooter differentFirst="1">
    <oddHeader>&amp;C&amp;"Times New Roman,обычный"&amp;P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589"/>
  <sheetViews>
    <sheetView topLeftCell="B1" zoomScale="40" zoomScaleNormal="40" workbookViewId="0">
      <selection activeCell="B1" sqref="A1:XFD1048576"/>
    </sheetView>
  </sheetViews>
  <sheetFormatPr defaultRowHeight="15" x14ac:dyDescent="0.25"/>
  <cols>
    <col min="1" max="1" width="9.28515625" style="143" hidden="1" customWidth="1"/>
    <col min="2" max="2" width="12.85546875" style="143" customWidth="1"/>
    <col min="3" max="3" width="167.42578125" style="143" customWidth="1"/>
    <col min="4" max="4" width="27.85546875" style="143" customWidth="1"/>
    <col min="5" max="5" width="26.140625" style="143" customWidth="1"/>
    <col min="6" max="6" width="26.85546875" style="143" customWidth="1"/>
    <col min="7" max="7" width="34.5703125" style="143" customWidth="1"/>
    <col min="8" max="8" width="23.28515625" style="143" customWidth="1"/>
    <col min="9" max="9" width="25.140625" style="143" customWidth="1"/>
    <col min="10" max="10" width="24.85546875" style="143" customWidth="1"/>
    <col min="11" max="11" width="22" style="143" customWidth="1"/>
    <col min="12" max="12" width="25.7109375" style="143" customWidth="1"/>
    <col min="13" max="13" width="26.140625" style="143" customWidth="1"/>
    <col min="14" max="14" width="27.5703125" style="143" customWidth="1"/>
    <col min="15" max="15" width="27.140625" style="143" customWidth="1"/>
    <col min="16" max="16" width="32.85546875" style="143" customWidth="1"/>
    <col min="17" max="17" width="22.42578125" style="143" customWidth="1"/>
    <col min="18" max="18" width="28.140625" style="143" customWidth="1"/>
    <col min="19" max="19" width="52.42578125" style="143" customWidth="1"/>
    <col min="20" max="20" width="32.42578125" style="143" customWidth="1"/>
    <col min="21" max="21" width="24.5703125" style="143" customWidth="1"/>
    <col min="22" max="22" width="35" style="143" customWidth="1"/>
    <col min="23" max="23" width="35.140625" style="143" customWidth="1"/>
    <col min="24" max="24" width="41.140625" style="143" customWidth="1"/>
    <col min="25" max="25" width="16.42578125" style="143" customWidth="1"/>
    <col min="26" max="26" width="21.42578125" style="143" customWidth="1"/>
    <col min="27" max="27" width="31.42578125" style="143" customWidth="1"/>
    <col min="28" max="28" width="18.140625" style="143" customWidth="1"/>
    <col min="29" max="256" width="9.140625" style="143"/>
    <col min="257" max="257" width="9.28515625" style="143" customWidth="1"/>
    <col min="258" max="258" width="12.85546875" style="143" customWidth="1"/>
    <col min="259" max="259" width="167.42578125" style="143" customWidth="1"/>
    <col min="260" max="260" width="27.85546875" style="143" customWidth="1"/>
    <col min="261" max="261" width="26.140625" style="143" customWidth="1"/>
    <col min="262" max="262" width="26.85546875" style="143" customWidth="1"/>
    <col min="263" max="263" width="34.5703125" style="143" customWidth="1"/>
    <col min="264" max="264" width="23.28515625" style="143" customWidth="1"/>
    <col min="265" max="265" width="25.140625" style="143" customWidth="1"/>
    <col min="266" max="266" width="24.85546875" style="143" customWidth="1"/>
    <col min="267" max="267" width="22" style="143" customWidth="1"/>
    <col min="268" max="268" width="25.7109375" style="143" customWidth="1"/>
    <col min="269" max="269" width="26.140625" style="143" customWidth="1"/>
    <col min="270" max="270" width="27.5703125" style="143" customWidth="1"/>
    <col min="271" max="271" width="27.140625" style="143" customWidth="1"/>
    <col min="272" max="272" width="32.85546875" style="143" customWidth="1"/>
    <col min="273" max="273" width="22.42578125" style="143" customWidth="1"/>
    <col min="274" max="274" width="28.140625" style="143" customWidth="1"/>
    <col min="275" max="275" width="52.42578125" style="143" customWidth="1"/>
    <col min="276" max="276" width="32.42578125" style="143" customWidth="1"/>
    <col min="277" max="277" width="24.5703125" style="143" customWidth="1"/>
    <col min="278" max="278" width="35" style="143" customWidth="1"/>
    <col min="279" max="279" width="35.140625" style="143" customWidth="1"/>
    <col min="280" max="280" width="41.140625" style="143" customWidth="1"/>
    <col min="281" max="281" width="16.42578125" style="143" customWidth="1"/>
    <col min="282" max="282" width="21.42578125" style="143" customWidth="1"/>
    <col min="283" max="283" width="31.42578125" style="143" customWidth="1"/>
    <col min="284" max="284" width="18.140625" style="143" customWidth="1"/>
    <col min="285" max="512" width="9.140625" style="143"/>
    <col min="513" max="513" width="9.28515625" style="143" customWidth="1"/>
    <col min="514" max="514" width="12.85546875" style="143" customWidth="1"/>
    <col min="515" max="515" width="167.42578125" style="143" customWidth="1"/>
    <col min="516" max="516" width="27.85546875" style="143" customWidth="1"/>
    <col min="517" max="517" width="26.140625" style="143" customWidth="1"/>
    <col min="518" max="518" width="26.85546875" style="143" customWidth="1"/>
    <col min="519" max="519" width="34.5703125" style="143" customWidth="1"/>
    <col min="520" max="520" width="23.28515625" style="143" customWidth="1"/>
    <col min="521" max="521" width="25.140625" style="143" customWidth="1"/>
    <col min="522" max="522" width="24.85546875" style="143" customWidth="1"/>
    <col min="523" max="523" width="22" style="143" customWidth="1"/>
    <col min="524" max="524" width="25.7109375" style="143" customWidth="1"/>
    <col min="525" max="525" width="26.140625" style="143" customWidth="1"/>
    <col min="526" max="526" width="27.5703125" style="143" customWidth="1"/>
    <col min="527" max="527" width="27.140625" style="143" customWidth="1"/>
    <col min="528" max="528" width="32.85546875" style="143" customWidth="1"/>
    <col min="529" max="529" width="22.42578125" style="143" customWidth="1"/>
    <col min="530" max="530" width="28.140625" style="143" customWidth="1"/>
    <col min="531" max="531" width="52.42578125" style="143" customWidth="1"/>
    <col min="532" max="532" width="32.42578125" style="143" customWidth="1"/>
    <col min="533" max="533" width="24.5703125" style="143" customWidth="1"/>
    <col min="534" max="534" width="35" style="143" customWidth="1"/>
    <col min="535" max="535" width="35.140625" style="143" customWidth="1"/>
    <col min="536" max="536" width="41.140625" style="143" customWidth="1"/>
    <col min="537" max="537" width="16.42578125" style="143" customWidth="1"/>
    <col min="538" max="538" width="21.42578125" style="143" customWidth="1"/>
    <col min="539" max="539" width="31.42578125" style="143" customWidth="1"/>
    <col min="540" max="540" width="18.140625" style="143" customWidth="1"/>
    <col min="541" max="768" width="9.140625" style="143"/>
    <col min="769" max="769" width="9.28515625" style="143" customWidth="1"/>
    <col min="770" max="770" width="12.85546875" style="143" customWidth="1"/>
    <col min="771" max="771" width="167.42578125" style="143" customWidth="1"/>
    <col min="772" max="772" width="27.85546875" style="143" customWidth="1"/>
    <col min="773" max="773" width="26.140625" style="143" customWidth="1"/>
    <col min="774" max="774" width="26.85546875" style="143" customWidth="1"/>
    <col min="775" max="775" width="34.5703125" style="143" customWidth="1"/>
    <col min="776" max="776" width="23.28515625" style="143" customWidth="1"/>
    <col min="777" max="777" width="25.140625" style="143" customWidth="1"/>
    <col min="778" max="778" width="24.85546875" style="143" customWidth="1"/>
    <col min="779" max="779" width="22" style="143" customWidth="1"/>
    <col min="780" max="780" width="25.7109375" style="143" customWidth="1"/>
    <col min="781" max="781" width="26.140625" style="143" customWidth="1"/>
    <col min="782" max="782" width="27.5703125" style="143" customWidth="1"/>
    <col min="783" max="783" width="27.140625" style="143" customWidth="1"/>
    <col min="784" max="784" width="32.85546875" style="143" customWidth="1"/>
    <col min="785" max="785" width="22.42578125" style="143" customWidth="1"/>
    <col min="786" max="786" width="28.140625" style="143" customWidth="1"/>
    <col min="787" max="787" width="52.42578125" style="143" customWidth="1"/>
    <col min="788" max="788" width="32.42578125" style="143" customWidth="1"/>
    <col min="789" max="789" width="24.5703125" style="143" customWidth="1"/>
    <col min="790" max="790" width="35" style="143" customWidth="1"/>
    <col min="791" max="791" width="35.140625" style="143" customWidth="1"/>
    <col min="792" max="792" width="41.140625" style="143" customWidth="1"/>
    <col min="793" max="793" width="16.42578125" style="143" customWidth="1"/>
    <col min="794" max="794" width="21.42578125" style="143" customWidth="1"/>
    <col min="795" max="795" width="31.42578125" style="143" customWidth="1"/>
    <col min="796" max="796" width="18.140625" style="143" customWidth="1"/>
    <col min="797" max="1024" width="9.140625" style="143"/>
    <col min="1025" max="1025" width="9.28515625" style="143" customWidth="1"/>
    <col min="1026" max="1026" width="12.85546875" style="143" customWidth="1"/>
    <col min="1027" max="1027" width="167.42578125" style="143" customWidth="1"/>
    <col min="1028" max="1028" width="27.85546875" style="143" customWidth="1"/>
    <col min="1029" max="1029" width="26.140625" style="143" customWidth="1"/>
    <col min="1030" max="1030" width="26.85546875" style="143" customWidth="1"/>
    <col min="1031" max="1031" width="34.5703125" style="143" customWidth="1"/>
    <col min="1032" max="1032" width="23.28515625" style="143" customWidth="1"/>
    <col min="1033" max="1033" width="25.140625" style="143" customWidth="1"/>
    <col min="1034" max="1034" width="24.85546875" style="143" customWidth="1"/>
    <col min="1035" max="1035" width="22" style="143" customWidth="1"/>
    <col min="1036" max="1036" width="25.7109375" style="143" customWidth="1"/>
    <col min="1037" max="1037" width="26.140625" style="143" customWidth="1"/>
    <col min="1038" max="1038" width="27.5703125" style="143" customWidth="1"/>
    <col min="1039" max="1039" width="27.140625" style="143" customWidth="1"/>
    <col min="1040" max="1040" width="32.85546875" style="143" customWidth="1"/>
    <col min="1041" max="1041" width="22.42578125" style="143" customWidth="1"/>
    <col min="1042" max="1042" width="28.140625" style="143" customWidth="1"/>
    <col min="1043" max="1043" width="52.42578125" style="143" customWidth="1"/>
    <col min="1044" max="1044" width="32.42578125" style="143" customWidth="1"/>
    <col min="1045" max="1045" width="24.5703125" style="143" customWidth="1"/>
    <col min="1046" max="1046" width="35" style="143" customWidth="1"/>
    <col min="1047" max="1047" width="35.140625" style="143" customWidth="1"/>
    <col min="1048" max="1048" width="41.140625" style="143" customWidth="1"/>
    <col min="1049" max="1049" width="16.42578125" style="143" customWidth="1"/>
    <col min="1050" max="1050" width="21.42578125" style="143" customWidth="1"/>
    <col min="1051" max="1051" width="31.42578125" style="143" customWidth="1"/>
    <col min="1052" max="1052" width="18.140625" style="143" customWidth="1"/>
    <col min="1053" max="1280" width="9.140625" style="143"/>
    <col min="1281" max="1281" width="9.28515625" style="143" customWidth="1"/>
    <col min="1282" max="1282" width="12.85546875" style="143" customWidth="1"/>
    <col min="1283" max="1283" width="167.42578125" style="143" customWidth="1"/>
    <col min="1284" max="1284" width="27.85546875" style="143" customWidth="1"/>
    <col min="1285" max="1285" width="26.140625" style="143" customWidth="1"/>
    <col min="1286" max="1286" width="26.85546875" style="143" customWidth="1"/>
    <col min="1287" max="1287" width="34.5703125" style="143" customWidth="1"/>
    <col min="1288" max="1288" width="23.28515625" style="143" customWidth="1"/>
    <col min="1289" max="1289" width="25.140625" style="143" customWidth="1"/>
    <col min="1290" max="1290" width="24.85546875" style="143" customWidth="1"/>
    <col min="1291" max="1291" width="22" style="143" customWidth="1"/>
    <col min="1292" max="1292" width="25.7109375" style="143" customWidth="1"/>
    <col min="1293" max="1293" width="26.140625" style="143" customWidth="1"/>
    <col min="1294" max="1294" width="27.5703125" style="143" customWidth="1"/>
    <col min="1295" max="1295" width="27.140625" style="143" customWidth="1"/>
    <col min="1296" max="1296" width="32.85546875" style="143" customWidth="1"/>
    <col min="1297" max="1297" width="22.42578125" style="143" customWidth="1"/>
    <col min="1298" max="1298" width="28.140625" style="143" customWidth="1"/>
    <col min="1299" max="1299" width="52.42578125" style="143" customWidth="1"/>
    <col min="1300" max="1300" width="32.42578125" style="143" customWidth="1"/>
    <col min="1301" max="1301" width="24.5703125" style="143" customWidth="1"/>
    <col min="1302" max="1302" width="35" style="143" customWidth="1"/>
    <col min="1303" max="1303" width="35.140625" style="143" customWidth="1"/>
    <col min="1304" max="1304" width="41.140625" style="143" customWidth="1"/>
    <col min="1305" max="1305" width="16.42578125" style="143" customWidth="1"/>
    <col min="1306" max="1306" width="21.42578125" style="143" customWidth="1"/>
    <col min="1307" max="1307" width="31.42578125" style="143" customWidth="1"/>
    <col min="1308" max="1308" width="18.140625" style="143" customWidth="1"/>
    <col min="1309" max="1536" width="9.140625" style="143"/>
    <col min="1537" max="1537" width="9.28515625" style="143" customWidth="1"/>
    <col min="1538" max="1538" width="12.85546875" style="143" customWidth="1"/>
    <col min="1539" max="1539" width="167.42578125" style="143" customWidth="1"/>
    <col min="1540" max="1540" width="27.85546875" style="143" customWidth="1"/>
    <col min="1541" max="1541" width="26.140625" style="143" customWidth="1"/>
    <col min="1542" max="1542" width="26.85546875" style="143" customWidth="1"/>
    <col min="1543" max="1543" width="34.5703125" style="143" customWidth="1"/>
    <col min="1544" max="1544" width="23.28515625" style="143" customWidth="1"/>
    <col min="1545" max="1545" width="25.140625" style="143" customWidth="1"/>
    <col min="1546" max="1546" width="24.85546875" style="143" customWidth="1"/>
    <col min="1547" max="1547" width="22" style="143" customWidth="1"/>
    <col min="1548" max="1548" width="25.7109375" style="143" customWidth="1"/>
    <col min="1549" max="1549" width="26.140625" style="143" customWidth="1"/>
    <col min="1550" max="1550" width="27.5703125" style="143" customWidth="1"/>
    <col min="1551" max="1551" width="27.140625" style="143" customWidth="1"/>
    <col min="1552" max="1552" width="32.85546875" style="143" customWidth="1"/>
    <col min="1553" max="1553" width="22.42578125" style="143" customWidth="1"/>
    <col min="1554" max="1554" width="28.140625" style="143" customWidth="1"/>
    <col min="1555" max="1555" width="52.42578125" style="143" customWidth="1"/>
    <col min="1556" max="1556" width="32.42578125" style="143" customWidth="1"/>
    <col min="1557" max="1557" width="24.5703125" style="143" customWidth="1"/>
    <col min="1558" max="1558" width="35" style="143" customWidth="1"/>
    <col min="1559" max="1559" width="35.140625" style="143" customWidth="1"/>
    <col min="1560" max="1560" width="41.140625" style="143" customWidth="1"/>
    <col min="1561" max="1561" width="16.42578125" style="143" customWidth="1"/>
    <col min="1562" max="1562" width="21.42578125" style="143" customWidth="1"/>
    <col min="1563" max="1563" width="31.42578125" style="143" customWidth="1"/>
    <col min="1564" max="1564" width="18.140625" style="143" customWidth="1"/>
    <col min="1565" max="1792" width="9.140625" style="143"/>
    <col min="1793" max="1793" width="9.28515625" style="143" customWidth="1"/>
    <col min="1794" max="1794" width="12.85546875" style="143" customWidth="1"/>
    <col min="1795" max="1795" width="167.42578125" style="143" customWidth="1"/>
    <col min="1796" max="1796" width="27.85546875" style="143" customWidth="1"/>
    <col min="1797" max="1797" width="26.140625" style="143" customWidth="1"/>
    <col min="1798" max="1798" width="26.85546875" style="143" customWidth="1"/>
    <col min="1799" max="1799" width="34.5703125" style="143" customWidth="1"/>
    <col min="1800" max="1800" width="23.28515625" style="143" customWidth="1"/>
    <col min="1801" max="1801" width="25.140625" style="143" customWidth="1"/>
    <col min="1802" max="1802" width="24.85546875" style="143" customWidth="1"/>
    <col min="1803" max="1803" width="22" style="143" customWidth="1"/>
    <col min="1804" max="1804" width="25.7109375" style="143" customWidth="1"/>
    <col min="1805" max="1805" width="26.140625" style="143" customWidth="1"/>
    <col min="1806" max="1806" width="27.5703125" style="143" customWidth="1"/>
    <col min="1807" max="1807" width="27.140625" style="143" customWidth="1"/>
    <col min="1808" max="1808" width="32.85546875" style="143" customWidth="1"/>
    <col min="1809" max="1809" width="22.42578125" style="143" customWidth="1"/>
    <col min="1810" max="1810" width="28.140625" style="143" customWidth="1"/>
    <col min="1811" max="1811" width="52.42578125" style="143" customWidth="1"/>
    <col min="1812" max="1812" width="32.42578125" style="143" customWidth="1"/>
    <col min="1813" max="1813" width="24.5703125" style="143" customWidth="1"/>
    <col min="1814" max="1814" width="35" style="143" customWidth="1"/>
    <col min="1815" max="1815" width="35.140625" style="143" customWidth="1"/>
    <col min="1816" max="1816" width="41.140625" style="143" customWidth="1"/>
    <col min="1817" max="1817" width="16.42578125" style="143" customWidth="1"/>
    <col min="1818" max="1818" width="21.42578125" style="143" customWidth="1"/>
    <col min="1819" max="1819" width="31.42578125" style="143" customWidth="1"/>
    <col min="1820" max="1820" width="18.140625" style="143" customWidth="1"/>
    <col min="1821" max="2048" width="9.140625" style="143"/>
    <col min="2049" max="2049" width="9.28515625" style="143" customWidth="1"/>
    <col min="2050" max="2050" width="12.85546875" style="143" customWidth="1"/>
    <col min="2051" max="2051" width="167.42578125" style="143" customWidth="1"/>
    <col min="2052" max="2052" width="27.85546875" style="143" customWidth="1"/>
    <col min="2053" max="2053" width="26.140625" style="143" customWidth="1"/>
    <col min="2054" max="2054" width="26.85546875" style="143" customWidth="1"/>
    <col min="2055" max="2055" width="34.5703125" style="143" customWidth="1"/>
    <col min="2056" max="2056" width="23.28515625" style="143" customWidth="1"/>
    <col min="2057" max="2057" width="25.140625" style="143" customWidth="1"/>
    <col min="2058" max="2058" width="24.85546875" style="143" customWidth="1"/>
    <col min="2059" max="2059" width="22" style="143" customWidth="1"/>
    <col min="2060" max="2060" width="25.7109375" style="143" customWidth="1"/>
    <col min="2061" max="2061" width="26.140625" style="143" customWidth="1"/>
    <col min="2062" max="2062" width="27.5703125" style="143" customWidth="1"/>
    <col min="2063" max="2063" width="27.140625" style="143" customWidth="1"/>
    <col min="2064" max="2064" width="32.85546875" style="143" customWidth="1"/>
    <col min="2065" max="2065" width="22.42578125" style="143" customWidth="1"/>
    <col min="2066" max="2066" width="28.140625" style="143" customWidth="1"/>
    <col min="2067" max="2067" width="52.42578125" style="143" customWidth="1"/>
    <col min="2068" max="2068" width="32.42578125" style="143" customWidth="1"/>
    <col min="2069" max="2069" width="24.5703125" style="143" customWidth="1"/>
    <col min="2070" max="2070" width="35" style="143" customWidth="1"/>
    <col min="2071" max="2071" width="35.140625" style="143" customWidth="1"/>
    <col min="2072" max="2072" width="41.140625" style="143" customWidth="1"/>
    <col min="2073" max="2073" width="16.42578125" style="143" customWidth="1"/>
    <col min="2074" max="2074" width="21.42578125" style="143" customWidth="1"/>
    <col min="2075" max="2075" width="31.42578125" style="143" customWidth="1"/>
    <col min="2076" max="2076" width="18.140625" style="143" customWidth="1"/>
    <col min="2077" max="2304" width="9.140625" style="143"/>
    <col min="2305" max="2305" width="9.28515625" style="143" customWidth="1"/>
    <col min="2306" max="2306" width="12.85546875" style="143" customWidth="1"/>
    <col min="2307" max="2307" width="167.42578125" style="143" customWidth="1"/>
    <col min="2308" max="2308" width="27.85546875" style="143" customWidth="1"/>
    <col min="2309" max="2309" width="26.140625" style="143" customWidth="1"/>
    <col min="2310" max="2310" width="26.85546875" style="143" customWidth="1"/>
    <col min="2311" max="2311" width="34.5703125" style="143" customWidth="1"/>
    <col min="2312" max="2312" width="23.28515625" style="143" customWidth="1"/>
    <col min="2313" max="2313" width="25.140625" style="143" customWidth="1"/>
    <col min="2314" max="2314" width="24.85546875" style="143" customWidth="1"/>
    <col min="2315" max="2315" width="22" style="143" customWidth="1"/>
    <col min="2316" max="2316" width="25.7109375" style="143" customWidth="1"/>
    <col min="2317" max="2317" width="26.140625" style="143" customWidth="1"/>
    <col min="2318" max="2318" width="27.5703125" style="143" customWidth="1"/>
    <col min="2319" max="2319" width="27.140625" style="143" customWidth="1"/>
    <col min="2320" max="2320" width="32.85546875" style="143" customWidth="1"/>
    <col min="2321" max="2321" width="22.42578125" style="143" customWidth="1"/>
    <col min="2322" max="2322" width="28.140625" style="143" customWidth="1"/>
    <col min="2323" max="2323" width="52.42578125" style="143" customWidth="1"/>
    <col min="2324" max="2324" width="32.42578125" style="143" customWidth="1"/>
    <col min="2325" max="2325" width="24.5703125" style="143" customWidth="1"/>
    <col min="2326" max="2326" width="35" style="143" customWidth="1"/>
    <col min="2327" max="2327" width="35.140625" style="143" customWidth="1"/>
    <col min="2328" max="2328" width="41.140625" style="143" customWidth="1"/>
    <col min="2329" max="2329" width="16.42578125" style="143" customWidth="1"/>
    <col min="2330" max="2330" width="21.42578125" style="143" customWidth="1"/>
    <col min="2331" max="2331" width="31.42578125" style="143" customWidth="1"/>
    <col min="2332" max="2332" width="18.140625" style="143" customWidth="1"/>
    <col min="2333" max="2560" width="9.140625" style="143"/>
    <col min="2561" max="2561" width="9.28515625" style="143" customWidth="1"/>
    <col min="2562" max="2562" width="12.85546875" style="143" customWidth="1"/>
    <col min="2563" max="2563" width="167.42578125" style="143" customWidth="1"/>
    <col min="2564" max="2564" width="27.85546875" style="143" customWidth="1"/>
    <col min="2565" max="2565" width="26.140625" style="143" customWidth="1"/>
    <col min="2566" max="2566" width="26.85546875" style="143" customWidth="1"/>
    <col min="2567" max="2567" width="34.5703125" style="143" customWidth="1"/>
    <col min="2568" max="2568" width="23.28515625" style="143" customWidth="1"/>
    <col min="2569" max="2569" width="25.140625" style="143" customWidth="1"/>
    <col min="2570" max="2570" width="24.85546875" style="143" customWidth="1"/>
    <col min="2571" max="2571" width="22" style="143" customWidth="1"/>
    <col min="2572" max="2572" width="25.7109375" style="143" customWidth="1"/>
    <col min="2573" max="2573" width="26.140625" style="143" customWidth="1"/>
    <col min="2574" max="2574" width="27.5703125" style="143" customWidth="1"/>
    <col min="2575" max="2575" width="27.140625" style="143" customWidth="1"/>
    <col min="2576" max="2576" width="32.85546875" style="143" customWidth="1"/>
    <col min="2577" max="2577" width="22.42578125" style="143" customWidth="1"/>
    <col min="2578" max="2578" width="28.140625" style="143" customWidth="1"/>
    <col min="2579" max="2579" width="52.42578125" style="143" customWidth="1"/>
    <col min="2580" max="2580" width="32.42578125" style="143" customWidth="1"/>
    <col min="2581" max="2581" width="24.5703125" style="143" customWidth="1"/>
    <col min="2582" max="2582" width="35" style="143" customWidth="1"/>
    <col min="2583" max="2583" width="35.140625" style="143" customWidth="1"/>
    <col min="2584" max="2584" width="41.140625" style="143" customWidth="1"/>
    <col min="2585" max="2585" width="16.42578125" style="143" customWidth="1"/>
    <col min="2586" max="2586" width="21.42578125" style="143" customWidth="1"/>
    <col min="2587" max="2587" width="31.42578125" style="143" customWidth="1"/>
    <col min="2588" max="2588" width="18.140625" style="143" customWidth="1"/>
    <col min="2589" max="2816" width="9.140625" style="143"/>
    <col min="2817" max="2817" width="9.28515625" style="143" customWidth="1"/>
    <col min="2818" max="2818" width="12.85546875" style="143" customWidth="1"/>
    <col min="2819" max="2819" width="167.42578125" style="143" customWidth="1"/>
    <col min="2820" max="2820" width="27.85546875" style="143" customWidth="1"/>
    <col min="2821" max="2821" width="26.140625" style="143" customWidth="1"/>
    <col min="2822" max="2822" width="26.85546875" style="143" customWidth="1"/>
    <col min="2823" max="2823" width="34.5703125" style="143" customWidth="1"/>
    <col min="2824" max="2824" width="23.28515625" style="143" customWidth="1"/>
    <col min="2825" max="2825" width="25.140625" style="143" customWidth="1"/>
    <col min="2826" max="2826" width="24.85546875" style="143" customWidth="1"/>
    <col min="2827" max="2827" width="22" style="143" customWidth="1"/>
    <col min="2828" max="2828" width="25.7109375" style="143" customWidth="1"/>
    <col min="2829" max="2829" width="26.140625" style="143" customWidth="1"/>
    <col min="2830" max="2830" width="27.5703125" style="143" customWidth="1"/>
    <col min="2831" max="2831" width="27.140625" style="143" customWidth="1"/>
    <col min="2832" max="2832" width="32.85546875" style="143" customWidth="1"/>
    <col min="2833" max="2833" width="22.42578125" style="143" customWidth="1"/>
    <col min="2834" max="2834" width="28.140625" style="143" customWidth="1"/>
    <col min="2835" max="2835" width="52.42578125" style="143" customWidth="1"/>
    <col min="2836" max="2836" width="32.42578125" style="143" customWidth="1"/>
    <col min="2837" max="2837" width="24.5703125" style="143" customWidth="1"/>
    <col min="2838" max="2838" width="35" style="143" customWidth="1"/>
    <col min="2839" max="2839" width="35.140625" style="143" customWidth="1"/>
    <col min="2840" max="2840" width="41.140625" style="143" customWidth="1"/>
    <col min="2841" max="2841" width="16.42578125" style="143" customWidth="1"/>
    <col min="2842" max="2842" width="21.42578125" style="143" customWidth="1"/>
    <col min="2843" max="2843" width="31.42578125" style="143" customWidth="1"/>
    <col min="2844" max="2844" width="18.140625" style="143" customWidth="1"/>
    <col min="2845" max="3072" width="9.140625" style="143"/>
    <col min="3073" max="3073" width="9.28515625" style="143" customWidth="1"/>
    <col min="3074" max="3074" width="12.85546875" style="143" customWidth="1"/>
    <col min="3075" max="3075" width="167.42578125" style="143" customWidth="1"/>
    <col min="3076" max="3076" width="27.85546875" style="143" customWidth="1"/>
    <col min="3077" max="3077" width="26.140625" style="143" customWidth="1"/>
    <col min="3078" max="3078" width="26.85546875" style="143" customWidth="1"/>
    <col min="3079" max="3079" width="34.5703125" style="143" customWidth="1"/>
    <col min="3080" max="3080" width="23.28515625" style="143" customWidth="1"/>
    <col min="3081" max="3081" width="25.140625" style="143" customWidth="1"/>
    <col min="3082" max="3082" width="24.85546875" style="143" customWidth="1"/>
    <col min="3083" max="3083" width="22" style="143" customWidth="1"/>
    <col min="3084" max="3084" width="25.7109375" style="143" customWidth="1"/>
    <col min="3085" max="3085" width="26.140625" style="143" customWidth="1"/>
    <col min="3086" max="3086" width="27.5703125" style="143" customWidth="1"/>
    <col min="3087" max="3087" width="27.140625" style="143" customWidth="1"/>
    <col min="3088" max="3088" width="32.85546875" style="143" customWidth="1"/>
    <col min="3089" max="3089" width="22.42578125" style="143" customWidth="1"/>
    <col min="3090" max="3090" width="28.140625" style="143" customWidth="1"/>
    <col min="3091" max="3091" width="52.42578125" style="143" customWidth="1"/>
    <col min="3092" max="3092" width="32.42578125" style="143" customWidth="1"/>
    <col min="3093" max="3093" width="24.5703125" style="143" customWidth="1"/>
    <col min="3094" max="3094" width="35" style="143" customWidth="1"/>
    <col min="3095" max="3095" width="35.140625" style="143" customWidth="1"/>
    <col min="3096" max="3096" width="41.140625" style="143" customWidth="1"/>
    <col min="3097" max="3097" width="16.42578125" style="143" customWidth="1"/>
    <col min="3098" max="3098" width="21.42578125" style="143" customWidth="1"/>
    <col min="3099" max="3099" width="31.42578125" style="143" customWidth="1"/>
    <col min="3100" max="3100" width="18.140625" style="143" customWidth="1"/>
    <col min="3101" max="3328" width="9.140625" style="143"/>
    <col min="3329" max="3329" width="9.28515625" style="143" customWidth="1"/>
    <col min="3330" max="3330" width="12.85546875" style="143" customWidth="1"/>
    <col min="3331" max="3331" width="167.42578125" style="143" customWidth="1"/>
    <col min="3332" max="3332" width="27.85546875" style="143" customWidth="1"/>
    <col min="3333" max="3333" width="26.140625" style="143" customWidth="1"/>
    <col min="3334" max="3334" width="26.85546875" style="143" customWidth="1"/>
    <col min="3335" max="3335" width="34.5703125" style="143" customWidth="1"/>
    <col min="3336" max="3336" width="23.28515625" style="143" customWidth="1"/>
    <col min="3337" max="3337" width="25.140625" style="143" customWidth="1"/>
    <col min="3338" max="3338" width="24.85546875" style="143" customWidth="1"/>
    <col min="3339" max="3339" width="22" style="143" customWidth="1"/>
    <col min="3340" max="3340" width="25.7109375" style="143" customWidth="1"/>
    <col min="3341" max="3341" width="26.140625" style="143" customWidth="1"/>
    <col min="3342" max="3342" width="27.5703125" style="143" customWidth="1"/>
    <col min="3343" max="3343" width="27.140625" style="143" customWidth="1"/>
    <col min="3344" max="3344" width="32.85546875" style="143" customWidth="1"/>
    <col min="3345" max="3345" width="22.42578125" style="143" customWidth="1"/>
    <col min="3346" max="3346" width="28.140625" style="143" customWidth="1"/>
    <col min="3347" max="3347" width="52.42578125" style="143" customWidth="1"/>
    <col min="3348" max="3348" width="32.42578125" style="143" customWidth="1"/>
    <col min="3349" max="3349" width="24.5703125" style="143" customWidth="1"/>
    <col min="3350" max="3350" width="35" style="143" customWidth="1"/>
    <col min="3351" max="3351" width="35.140625" style="143" customWidth="1"/>
    <col min="3352" max="3352" width="41.140625" style="143" customWidth="1"/>
    <col min="3353" max="3353" width="16.42578125" style="143" customWidth="1"/>
    <col min="3354" max="3354" width="21.42578125" style="143" customWidth="1"/>
    <col min="3355" max="3355" width="31.42578125" style="143" customWidth="1"/>
    <col min="3356" max="3356" width="18.140625" style="143" customWidth="1"/>
    <col min="3357" max="3584" width="9.140625" style="143"/>
    <col min="3585" max="3585" width="9.28515625" style="143" customWidth="1"/>
    <col min="3586" max="3586" width="12.85546875" style="143" customWidth="1"/>
    <col min="3587" max="3587" width="167.42578125" style="143" customWidth="1"/>
    <col min="3588" max="3588" width="27.85546875" style="143" customWidth="1"/>
    <col min="3589" max="3589" width="26.140625" style="143" customWidth="1"/>
    <col min="3590" max="3590" width="26.85546875" style="143" customWidth="1"/>
    <col min="3591" max="3591" width="34.5703125" style="143" customWidth="1"/>
    <col min="3592" max="3592" width="23.28515625" style="143" customWidth="1"/>
    <col min="3593" max="3593" width="25.140625" style="143" customWidth="1"/>
    <col min="3594" max="3594" width="24.85546875" style="143" customWidth="1"/>
    <col min="3595" max="3595" width="22" style="143" customWidth="1"/>
    <col min="3596" max="3596" width="25.7109375" style="143" customWidth="1"/>
    <col min="3597" max="3597" width="26.140625" style="143" customWidth="1"/>
    <col min="3598" max="3598" width="27.5703125" style="143" customWidth="1"/>
    <col min="3599" max="3599" width="27.140625" style="143" customWidth="1"/>
    <col min="3600" max="3600" width="32.85546875" style="143" customWidth="1"/>
    <col min="3601" max="3601" width="22.42578125" style="143" customWidth="1"/>
    <col min="3602" max="3602" width="28.140625" style="143" customWidth="1"/>
    <col min="3603" max="3603" width="52.42578125" style="143" customWidth="1"/>
    <col min="3604" max="3604" width="32.42578125" style="143" customWidth="1"/>
    <col min="3605" max="3605" width="24.5703125" style="143" customWidth="1"/>
    <col min="3606" max="3606" width="35" style="143" customWidth="1"/>
    <col min="3607" max="3607" width="35.140625" style="143" customWidth="1"/>
    <col min="3608" max="3608" width="41.140625" style="143" customWidth="1"/>
    <col min="3609" max="3609" width="16.42578125" style="143" customWidth="1"/>
    <col min="3610" max="3610" width="21.42578125" style="143" customWidth="1"/>
    <col min="3611" max="3611" width="31.42578125" style="143" customWidth="1"/>
    <col min="3612" max="3612" width="18.140625" style="143" customWidth="1"/>
    <col min="3613" max="3840" width="9.140625" style="143"/>
    <col min="3841" max="3841" width="9.28515625" style="143" customWidth="1"/>
    <col min="3842" max="3842" width="12.85546875" style="143" customWidth="1"/>
    <col min="3843" max="3843" width="167.42578125" style="143" customWidth="1"/>
    <col min="3844" max="3844" width="27.85546875" style="143" customWidth="1"/>
    <col min="3845" max="3845" width="26.140625" style="143" customWidth="1"/>
    <col min="3846" max="3846" width="26.85546875" style="143" customWidth="1"/>
    <col min="3847" max="3847" width="34.5703125" style="143" customWidth="1"/>
    <col min="3848" max="3848" width="23.28515625" style="143" customWidth="1"/>
    <col min="3849" max="3849" width="25.140625" style="143" customWidth="1"/>
    <col min="3850" max="3850" width="24.85546875" style="143" customWidth="1"/>
    <col min="3851" max="3851" width="22" style="143" customWidth="1"/>
    <col min="3852" max="3852" width="25.7109375" style="143" customWidth="1"/>
    <col min="3853" max="3853" width="26.140625" style="143" customWidth="1"/>
    <col min="3854" max="3854" width="27.5703125" style="143" customWidth="1"/>
    <col min="3855" max="3855" width="27.140625" style="143" customWidth="1"/>
    <col min="3856" max="3856" width="32.85546875" style="143" customWidth="1"/>
    <col min="3857" max="3857" width="22.42578125" style="143" customWidth="1"/>
    <col min="3858" max="3858" width="28.140625" style="143" customWidth="1"/>
    <col min="3859" max="3859" width="52.42578125" style="143" customWidth="1"/>
    <col min="3860" max="3860" width="32.42578125" style="143" customWidth="1"/>
    <col min="3861" max="3861" width="24.5703125" style="143" customWidth="1"/>
    <col min="3862" max="3862" width="35" style="143" customWidth="1"/>
    <col min="3863" max="3863" width="35.140625" style="143" customWidth="1"/>
    <col min="3864" max="3864" width="41.140625" style="143" customWidth="1"/>
    <col min="3865" max="3865" width="16.42578125" style="143" customWidth="1"/>
    <col min="3866" max="3866" width="21.42578125" style="143" customWidth="1"/>
    <col min="3867" max="3867" width="31.42578125" style="143" customWidth="1"/>
    <col min="3868" max="3868" width="18.140625" style="143" customWidth="1"/>
    <col min="3869" max="4096" width="9.140625" style="143"/>
    <col min="4097" max="4097" width="9.28515625" style="143" customWidth="1"/>
    <col min="4098" max="4098" width="12.85546875" style="143" customWidth="1"/>
    <col min="4099" max="4099" width="167.42578125" style="143" customWidth="1"/>
    <col min="4100" max="4100" width="27.85546875" style="143" customWidth="1"/>
    <col min="4101" max="4101" width="26.140625" style="143" customWidth="1"/>
    <col min="4102" max="4102" width="26.85546875" style="143" customWidth="1"/>
    <col min="4103" max="4103" width="34.5703125" style="143" customWidth="1"/>
    <col min="4104" max="4104" width="23.28515625" style="143" customWidth="1"/>
    <col min="4105" max="4105" width="25.140625" style="143" customWidth="1"/>
    <col min="4106" max="4106" width="24.85546875" style="143" customWidth="1"/>
    <col min="4107" max="4107" width="22" style="143" customWidth="1"/>
    <col min="4108" max="4108" width="25.7109375" style="143" customWidth="1"/>
    <col min="4109" max="4109" width="26.140625" style="143" customWidth="1"/>
    <col min="4110" max="4110" width="27.5703125" style="143" customWidth="1"/>
    <col min="4111" max="4111" width="27.140625" style="143" customWidth="1"/>
    <col min="4112" max="4112" width="32.85546875" style="143" customWidth="1"/>
    <col min="4113" max="4113" width="22.42578125" style="143" customWidth="1"/>
    <col min="4114" max="4114" width="28.140625" style="143" customWidth="1"/>
    <col min="4115" max="4115" width="52.42578125" style="143" customWidth="1"/>
    <col min="4116" max="4116" width="32.42578125" style="143" customWidth="1"/>
    <col min="4117" max="4117" width="24.5703125" style="143" customWidth="1"/>
    <col min="4118" max="4118" width="35" style="143" customWidth="1"/>
    <col min="4119" max="4119" width="35.140625" style="143" customWidth="1"/>
    <col min="4120" max="4120" width="41.140625" style="143" customWidth="1"/>
    <col min="4121" max="4121" width="16.42578125" style="143" customWidth="1"/>
    <col min="4122" max="4122" width="21.42578125" style="143" customWidth="1"/>
    <col min="4123" max="4123" width="31.42578125" style="143" customWidth="1"/>
    <col min="4124" max="4124" width="18.140625" style="143" customWidth="1"/>
    <col min="4125" max="4352" width="9.140625" style="143"/>
    <col min="4353" max="4353" width="9.28515625" style="143" customWidth="1"/>
    <col min="4354" max="4354" width="12.85546875" style="143" customWidth="1"/>
    <col min="4355" max="4355" width="167.42578125" style="143" customWidth="1"/>
    <col min="4356" max="4356" width="27.85546875" style="143" customWidth="1"/>
    <col min="4357" max="4357" width="26.140625" style="143" customWidth="1"/>
    <col min="4358" max="4358" width="26.85546875" style="143" customWidth="1"/>
    <col min="4359" max="4359" width="34.5703125" style="143" customWidth="1"/>
    <col min="4360" max="4360" width="23.28515625" style="143" customWidth="1"/>
    <col min="4361" max="4361" width="25.140625" style="143" customWidth="1"/>
    <col min="4362" max="4362" width="24.85546875" style="143" customWidth="1"/>
    <col min="4363" max="4363" width="22" style="143" customWidth="1"/>
    <col min="4364" max="4364" width="25.7109375" style="143" customWidth="1"/>
    <col min="4365" max="4365" width="26.140625" style="143" customWidth="1"/>
    <col min="4366" max="4366" width="27.5703125" style="143" customWidth="1"/>
    <col min="4367" max="4367" width="27.140625" style="143" customWidth="1"/>
    <col min="4368" max="4368" width="32.85546875" style="143" customWidth="1"/>
    <col min="4369" max="4369" width="22.42578125" style="143" customWidth="1"/>
    <col min="4370" max="4370" width="28.140625" style="143" customWidth="1"/>
    <col min="4371" max="4371" width="52.42578125" style="143" customWidth="1"/>
    <col min="4372" max="4372" width="32.42578125" style="143" customWidth="1"/>
    <col min="4373" max="4373" width="24.5703125" style="143" customWidth="1"/>
    <col min="4374" max="4374" width="35" style="143" customWidth="1"/>
    <col min="4375" max="4375" width="35.140625" style="143" customWidth="1"/>
    <col min="4376" max="4376" width="41.140625" style="143" customWidth="1"/>
    <col min="4377" max="4377" width="16.42578125" style="143" customWidth="1"/>
    <col min="4378" max="4378" width="21.42578125" style="143" customWidth="1"/>
    <col min="4379" max="4379" width="31.42578125" style="143" customWidth="1"/>
    <col min="4380" max="4380" width="18.140625" style="143" customWidth="1"/>
    <col min="4381" max="4608" width="9.140625" style="143"/>
    <col min="4609" max="4609" width="9.28515625" style="143" customWidth="1"/>
    <col min="4610" max="4610" width="12.85546875" style="143" customWidth="1"/>
    <col min="4611" max="4611" width="167.42578125" style="143" customWidth="1"/>
    <col min="4612" max="4612" width="27.85546875" style="143" customWidth="1"/>
    <col min="4613" max="4613" width="26.140625" style="143" customWidth="1"/>
    <col min="4614" max="4614" width="26.85546875" style="143" customWidth="1"/>
    <col min="4615" max="4615" width="34.5703125" style="143" customWidth="1"/>
    <col min="4616" max="4616" width="23.28515625" style="143" customWidth="1"/>
    <col min="4617" max="4617" width="25.140625" style="143" customWidth="1"/>
    <col min="4618" max="4618" width="24.85546875" style="143" customWidth="1"/>
    <col min="4619" max="4619" width="22" style="143" customWidth="1"/>
    <col min="4620" max="4620" width="25.7109375" style="143" customWidth="1"/>
    <col min="4621" max="4621" width="26.140625" style="143" customWidth="1"/>
    <col min="4622" max="4622" width="27.5703125" style="143" customWidth="1"/>
    <col min="4623" max="4623" width="27.140625" style="143" customWidth="1"/>
    <col min="4624" max="4624" width="32.85546875" style="143" customWidth="1"/>
    <col min="4625" max="4625" width="22.42578125" style="143" customWidth="1"/>
    <col min="4626" max="4626" width="28.140625" style="143" customWidth="1"/>
    <col min="4627" max="4627" width="52.42578125" style="143" customWidth="1"/>
    <col min="4628" max="4628" width="32.42578125" style="143" customWidth="1"/>
    <col min="4629" max="4629" width="24.5703125" style="143" customWidth="1"/>
    <col min="4630" max="4630" width="35" style="143" customWidth="1"/>
    <col min="4631" max="4631" width="35.140625" style="143" customWidth="1"/>
    <col min="4632" max="4632" width="41.140625" style="143" customWidth="1"/>
    <col min="4633" max="4633" width="16.42578125" style="143" customWidth="1"/>
    <col min="4634" max="4634" width="21.42578125" style="143" customWidth="1"/>
    <col min="4635" max="4635" width="31.42578125" style="143" customWidth="1"/>
    <col min="4636" max="4636" width="18.140625" style="143" customWidth="1"/>
    <col min="4637" max="4864" width="9.140625" style="143"/>
    <col min="4865" max="4865" width="9.28515625" style="143" customWidth="1"/>
    <col min="4866" max="4866" width="12.85546875" style="143" customWidth="1"/>
    <col min="4867" max="4867" width="167.42578125" style="143" customWidth="1"/>
    <col min="4868" max="4868" width="27.85546875" style="143" customWidth="1"/>
    <col min="4869" max="4869" width="26.140625" style="143" customWidth="1"/>
    <col min="4870" max="4870" width="26.85546875" style="143" customWidth="1"/>
    <col min="4871" max="4871" width="34.5703125" style="143" customWidth="1"/>
    <col min="4872" max="4872" width="23.28515625" style="143" customWidth="1"/>
    <col min="4873" max="4873" width="25.140625" style="143" customWidth="1"/>
    <col min="4874" max="4874" width="24.85546875" style="143" customWidth="1"/>
    <col min="4875" max="4875" width="22" style="143" customWidth="1"/>
    <col min="4876" max="4876" width="25.7109375" style="143" customWidth="1"/>
    <col min="4877" max="4877" width="26.140625" style="143" customWidth="1"/>
    <col min="4878" max="4878" width="27.5703125" style="143" customWidth="1"/>
    <col min="4879" max="4879" width="27.140625" style="143" customWidth="1"/>
    <col min="4880" max="4880" width="32.85546875" style="143" customWidth="1"/>
    <col min="4881" max="4881" width="22.42578125" style="143" customWidth="1"/>
    <col min="4882" max="4882" width="28.140625" style="143" customWidth="1"/>
    <col min="4883" max="4883" width="52.42578125" style="143" customWidth="1"/>
    <col min="4884" max="4884" width="32.42578125" style="143" customWidth="1"/>
    <col min="4885" max="4885" width="24.5703125" style="143" customWidth="1"/>
    <col min="4886" max="4886" width="35" style="143" customWidth="1"/>
    <col min="4887" max="4887" width="35.140625" style="143" customWidth="1"/>
    <col min="4888" max="4888" width="41.140625" style="143" customWidth="1"/>
    <col min="4889" max="4889" width="16.42578125" style="143" customWidth="1"/>
    <col min="4890" max="4890" width="21.42578125" style="143" customWidth="1"/>
    <col min="4891" max="4891" width="31.42578125" style="143" customWidth="1"/>
    <col min="4892" max="4892" width="18.140625" style="143" customWidth="1"/>
    <col min="4893" max="5120" width="9.140625" style="143"/>
    <col min="5121" max="5121" width="9.28515625" style="143" customWidth="1"/>
    <col min="5122" max="5122" width="12.85546875" style="143" customWidth="1"/>
    <col min="5123" max="5123" width="167.42578125" style="143" customWidth="1"/>
    <col min="5124" max="5124" width="27.85546875" style="143" customWidth="1"/>
    <col min="5125" max="5125" width="26.140625" style="143" customWidth="1"/>
    <col min="5126" max="5126" width="26.85546875" style="143" customWidth="1"/>
    <col min="5127" max="5127" width="34.5703125" style="143" customWidth="1"/>
    <col min="5128" max="5128" width="23.28515625" style="143" customWidth="1"/>
    <col min="5129" max="5129" width="25.140625" style="143" customWidth="1"/>
    <col min="5130" max="5130" width="24.85546875" style="143" customWidth="1"/>
    <col min="5131" max="5131" width="22" style="143" customWidth="1"/>
    <col min="5132" max="5132" width="25.7109375" style="143" customWidth="1"/>
    <col min="5133" max="5133" width="26.140625" style="143" customWidth="1"/>
    <col min="5134" max="5134" width="27.5703125" style="143" customWidth="1"/>
    <col min="5135" max="5135" width="27.140625" style="143" customWidth="1"/>
    <col min="5136" max="5136" width="32.85546875" style="143" customWidth="1"/>
    <col min="5137" max="5137" width="22.42578125" style="143" customWidth="1"/>
    <col min="5138" max="5138" width="28.140625" style="143" customWidth="1"/>
    <col min="5139" max="5139" width="52.42578125" style="143" customWidth="1"/>
    <col min="5140" max="5140" width="32.42578125" style="143" customWidth="1"/>
    <col min="5141" max="5141" width="24.5703125" style="143" customWidth="1"/>
    <col min="5142" max="5142" width="35" style="143" customWidth="1"/>
    <col min="5143" max="5143" width="35.140625" style="143" customWidth="1"/>
    <col min="5144" max="5144" width="41.140625" style="143" customWidth="1"/>
    <col min="5145" max="5145" width="16.42578125" style="143" customWidth="1"/>
    <col min="5146" max="5146" width="21.42578125" style="143" customWidth="1"/>
    <col min="5147" max="5147" width="31.42578125" style="143" customWidth="1"/>
    <col min="5148" max="5148" width="18.140625" style="143" customWidth="1"/>
    <col min="5149" max="5376" width="9.140625" style="143"/>
    <col min="5377" max="5377" width="9.28515625" style="143" customWidth="1"/>
    <col min="5378" max="5378" width="12.85546875" style="143" customWidth="1"/>
    <col min="5379" max="5379" width="167.42578125" style="143" customWidth="1"/>
    <col min="5380" max="5380" width="27.85546875" style="143" customWidth="1"/>
    <col min="5381" max="5381" width="26.140625" style="143" customWidth="1"/>
    <col min="5382" max="5382" width="26.85546875" style="143" customWidth="1"/>
    <col min="5383" max="5383" width="34.5703125" style="143" customWidth="1"/>
    <col min="5384" max="5384" width="23.28515625" style="143" customWidth="1"/>
    <col min="5385" max="5385" width="25.140625" style="143" customWidth="1"/>
    <col min="5386" max="5386" width="24.85546875" style="143" customWidth="1"/>
    <col min="5387" max="5387" width="22" style="143" customWidth="1"/>
    <col min="5388" max="5388" width="25.7109375" style="143" customWidth="1"/>
    <col min="5389" max="5389" width="26.140625" style="143" customWidth="1"/>
    <col min="5390" max="5390" width="27.5703125" style="143" customWidth="1"/>
    <col min="5391" max="5391" width="27.140625" style="143" customWidth="1"/>
    <col min="5392" max="5392" width="32.85546875" style="143" customWidth="1"/>
    <col min="5393" max="5393" width="22.42578125" style="143" customWidth="1"/>
    <col min="5394" max="5394" width="28.140625" style="143" customWidth="1"/>
    <col min="5395" max="5395" width="52.42578125" style="143" customWidth="1"/>
    <col min="5396" max="5396" width="32.42578125" style="143" customWidth="1"/>
    <col min="5397" max="5397" width="24.5703125" style="143" customWidth="1"/>
    <col min="5398" max="5398" width="35" style="143" customWidth="1"/>
    <col min="5399" max="5399" width="35.140625" style="143" customWidth="1"/>
    <col min="5400" max="5400" width="41.140625" style="143" customWidth="1"/>
    <col min="5401" max="5401" width="16.42578125" style="143" customWidth="1"/>
    <col min="5402" max="5402" width="21.42578125" style="143" customWidth="1"/>
    <col min="5403" max="5403" width="31.42578125" style="143" customWidth="1"/>
    <col min="5404" max="5404" width="18.140625" style="143" customWidth="1"/>
    <col min="5405" max="5632" width="9.140625" style="143"/>
    <col min="5633" max="5633" width="9.28515625" style="143" customWidth="1"/>
    <col min="5634" max="5634" width="12.85546875" style="143" customWidth="1"/>
    <col min="5635" max="5635" width="167.42578125" style="143" customWidth="1"/>
    <col min="5636" max="5636" width="27.85546875" style="143" customWidth="1"/>
    <col min="5637" max="5637" width="26.140625" style="143" customWidth="1"/>
    <col min="5638" max="5638" width="26.85546875" style="143" customWidth="1"/>
    <col min="5639" max="5639" width="34.5703125" style="143" customWidth="1"/>
    <col min="5640" max="5640" width="23.28515625" style="143" customWidth="1"/>
    <col min="5641" max="5641" width="25.140625" style="143" customWidth="1"/>
    <col min="5642" max="5642" width="24.85546875" style="143" customWidth="1"/>
    <col min="5643" max="5643" width="22" style="143" customWidth="1"/>
    <col min="5644" max="5644" width="25.7109375" style="143" customWidth="1"/>
    <col min="5645" max="5645" width="26.140625" style="143" customWidth="1"/>
    <col min="5646" max="5646" width="27.5703125" style="143" customWidth="1"/>
    <col min="5647" max="5647" width="27.140625" style="143" customWidth="1"/>
    <col min="5648" max="5648" width="32.85546875" style="143" customWidth="1"/>
    <col min="5649" max="5649" width="22.42578125" style="143" customWidth="1"/>
    <col min="5650" max="5650" width="28.140625" style="143" customWidth="1"/>
    <col min="5651" max="5651" width="52.42578125" style="143" customWidth="1"/>
    <col min="5652" max="5652" width="32.42578125" style="143" customWidth="1"/>
    <col min="5653" max="5653" width="24.5703125" style="143" customWidth="1"/>
    <col min="5654" max="5654" width="35" style="143" customWidth="1"/>
    <col min="5655" max="5655" width="35.140625" style="143" customWidth="1"/>
    <col min="5656" max="5656" width="41.140625" style="143" customWidth="1"/>
    <col min="5657" max="5657" width="16.42578125" style="143" customWidth="1"/>
    <col min="5658" max="5658" width="21.42578125" style="143" customWidth="1"/>
    <col min="5659" max="5659" width="31.42578125" style="143" customWidth="1"/>
    <col min="5660" max="5660" width="18.140625" style="143" customWidth="1"/>
    <col min="5661" max="5888" width="9.140625" style="143"/>
    <col min="5889" max="5889" width="9.28515625" style="143" customWidth="1"/>
    <col min="5890" max="5890" width="12.85546875" style="143" customWidth="1"/>
    <col min="5891" max="5891" width="167.42578125" style="143" customWidth="1"/>
    <col min="5892" max="5892" width="27.85546875" style="143" customWidth="1"/>
    <col min="5893" max="5893" width="26.140625" style="143" customWidth="1"/>
    <col min="5894" max="5894" width="26.85546875" style="143" customWidth="1"/>
    <col min="5895" max="5895" width="34.5703125" style="143" customWidth="1"/>
    <col min="5896" max="5896" width="23.28515625" style="143" customWidth="1"/>
    <col min="5897" max="5897" width="25.140625" style="143" customWidth="1"/>
    <col min="5898" max="5898" width="24.85546875" style="143" customWidth="1"/>
    <col min="5899" max="5899" width="22" style="143" customWidth="1"/>
    <col min="5900" max="5900" width="25.7109375" style="143" customWidth="1"/>
    <col min="5901" max="5901" width="26.140625" style="143" customWidth="1"/>
    <col min="5902" max="5902" width="27.5703125" style="143" customWidth="1"/>
    <col min="5903" max="5903" width="27.140625" style="143" customWidth="1"/>
    <col min="5904" max="5904" width="32.85546875" style="143" customWidth="1"/>
    <col min="5905" max="5905" width="22.42578125" style="143" customWidth="1"/>
    <col min="5906" max="5906" width="28.140625" style="143" customWidth="1"/>
    <col min="5907" max="5907" width="52.42578125" style="143" customWidth="1"/>
    <col min="5908" max="5908" width="32.42578125" style="143" customWidth="1"/>
    <col min="5909" max="5909" width="24.5703125" style="143" customWidth="1"/>
    <col min="5910" max="5910" width="35" style="143" customWidth="1"/>
    <col min="5911" max="5911" width="35.140625" style="143" customWidth="1"/>
    <col min="5912" max="5912" width="41.140625" style="143" customWidth="1"/>
    <col min="5913" max="5913" width="16.42578125" style="143" customWidth="1"/>
    <col min="5914" max="5914" width="21.42578125" style="143" customWidth="1"/>
    <col min="5915" max="5915" width="31.42578125" style="143" customWidth="1"/>
    <col min="5916" max="5916" width="18.140625" style="143" customWidth="1"/>
    <col min="5917" max="6144" width="9.140625" style="143"/>
    <col min="6145" max="6145" width="9.28515625" style="143" customWidth="1"/>
    <col min="6146" max="6146" width="12.85546875" style="143" customWidth="1"/>
    <col min="6147" max="6147" width="167.42578125" style="143" customWidth="1"/>
    <col min="6148" max="6148" width="27.85546875" style="143" customWidth="1"/>
    <col min="6149" max="6149" width="26.140625" style="143" customWidth="1"/>
    <col min="6150" max="6150" width="26.85546875" style="143" customWidth="1"/>
    <col min="6151" max="6151" width="34.5703125" style="143" customWidth="1"/>
    <col min="6152" max="6152" width="23.28515625" style="143" customWidth="1"/>
    <col min="6153" max="6153" width="25.140625" style="143" customWidth="1"/>
    <col min="6154" max="6154" width="24.85546875" style="143" customWidth="1"/>
    <col min="6155" max="6155" width="22" style="143" customWidth="1"/>
    <col min="6156" max="6156" width="25.7109375" style="143" customWidth="1"/>
    <col min="6157" max="6157" width="26.140625" style="143" customWidth="1"/>
    <col min="6158" max="6158" width="27.5703125" style="143" customWidth="1"/>
    <col min="6159" max="6159" width="27.140625" style="143" customWidth="1"/>
    <col min="6160" max="6160" width="32.85546875" style="143" customWidth="1"/>
    <col min="6161" max="6161" width="22.42578125" style="143" customWidth="1"/>
    <col min="6162" max="6162" width="28.140625" style="143" customWidth="1"/>
    <col min="6163" max="6163" width="52.42578125" style="143" customWidth="1"/>
    <col min="6164" max="6164" width="32.42578125" style="143" customWidth="1"/>
    <col min="6165" max="6165" width="24.5703125" style="143" customWidth="1"/>
    <col min="6166" max="6166" width="35" style="143" customWidth="1"/>
    <col min="6167" max="6167" width="35.140625" style="143" customWidth="1"/>
    <col min="6168" max="6168" width="41.140625" style="143" customWidth="1"/>
    <col min="6169" max="6169" width="16.42578125" style="143" customWidth="1"/>
    <col min="6170" max="6170" width="21.42578125" style="143" customWidth="1"/>
    <col min="6171" max="6171" width="31.42578125" style="143" customWidth="1"/>
    <col min="6172" max="6172" width="18.140625" style="143" customWidth="1"/>
    <col min="6173" max="6400" width="9.140625" style="143"/>
    <col min="6401" max="6401" width="9.28515625" style="143" customWidth="1"/>
    <col min="6402" max="6402" width="12.85546875" style="143" customWidth="1"/>
    <col min="6403" max="6403" width="167.42578125" style="143" customWidth="1"/>
    <col min="6404" max="6404" width="27.85546875" style="143" customWidth="1"/>
    <col min="6405" max="6405" width="26.140625" style="143" customWidth="1"/>
    <col min="6406" max="6406" width="26.85546875" style="143" customWidth="1"/>
    <col min="6407" max="6407" width="34.5703125" style="143" customWidth="1"/>
    <col min="6408" max="6408" width="23.28515625" style="143" customWidth="1"/>
    <col min="6409" max="6409" width="25.140625" style="143" customWidth="1"/>
    <col min="6410" max="6410" width="24.85546875" style="143" customWidth="1"/>
    <col min="6411" max="6411" width="22" style="143" customWidth="1"/>
    <col min="6412" max="6412" width="25.7109375" style="143" customWidth="1"/>
    <col min="6413" max="6413" width="26.140625" style="143" customWidth="1"/>
    <col min="6414" max="6414" width="27.5703125" style="143" customWidth="1"/>
    <col min="6415" max="6415" width="27.140625" style="143" customWidth="1"/>
    <col min="6416" max="6416" width="32.85546875" style="143" customWidth="1"/>
    <col min="6417" max="6417" width="22.42578125" style="143" customWidth="1"/>
    <col min="6418" max="6418" width="28.140625" style="143" customWidth="1"/>
    <col min="6419" max="6419" width="52.42578125" style="143" customWidth="1"/>
    <col min="6420" max="6420" width="32.42578125" style="143" customWidth="1"/>
    <col min="6421" max="6421" width="24.5703125" style="143" customWidth="1"/>
    <col min="6422" max="6422" width="35" style="143" customWidth="1"/>
    <col min="6423" max="6423" width="35.140625" style="143" customWidth="1"/>
    <col min="6424" max="6424" width="41.140625" style="143" customWidth="1"/>
    <col min="6425" max="6425" width="16.42578125" style="143" customWidth="1"/>
    <col min="6426" max="6426" width="21.42578125" style="143" customWidth="1"/>
    <col min="6427" max="6427" width="31.42578125" style="143" customWidth="1"/>
    <col min="6428" max="6428" width="18.140625" style="143" customWidth="1"/>
    <col min="6429" max="6656" width="9.140625" style="143"/>
    <col min="6657" max="6657" width="9.28515625" style="143" customWidth="1"/>
    <col min="6658" max="6658" width="12.85546875" style="143" customWidth="1"/>
    <col min="6659" max="6659" width="167.42578125" style="143" customWidth="1"/>
    <col min="6660" max="6660" width="27.85546875" style="143" customWidth="1"/>
    <col min="6661" max="6661" width="26.140625" style="143" customWidth="1"/>
    <col min="6662" max="6662" width="26.85546875" style="143" customWidth="1"/>
    <col min="6663" max="6663" width="34.5703125" style="143" customWidth="1"/>
    <col min="6664" max="6664" width="23.28515625" style="143" customWidth="1"/>
    <col min="6665" max="6665" width="25.140625" style="143" customWidth="1"/>
    <col min="6666" max="6666" width="24.85546875" style="143" customWidth="1"/>
    <col min="6667" max="6667" width="22" style="143" customWidth="1"/>
    <col min="6668" max="6668" width="25.7109375" style="143" customWidth="1"/>
    <col min="6669" max="6669" width="26.140625" style="143" customWidth="1"/>
    <col min="6670" max="6670" width="27.5703125" style="143" customWidth="1"/>
    <col min="6671" max="6671" width="27.140625" style="143" customWidth="1"/>
    <col min="6672" max="6672" width="32.85546875" style="143" customWidth="1"/>
    <col min="6673" max="6673" width="22.42578125" style="143" customWidth="1"/>
    <col min="6674" max="6674" width="28.140625" style="143" customWidth="1"/>
    <col min="6675" max="6675" width="52.42578125" style="143" customWidth="1"/>
    <col min="6676" max="6676" width="32.42578125" style="143" customWidth="1"/>
    <col min="6677" max="6677" width="24.5703125" style="143" customWidth="1"/>
    <col min="6678" max="6678" width="35" style="143" customWidth="1"/>
    <col min="6679" max="6679" width="35.140625" style="143" customWidth="1"/>
    <col min="6680" max="6680" width="41.140625" style="143" customWidth="1"/>
    <col min="6681" max="6681" width="16.42578125" style="143" customWidth="1"/>
    <col min="6682" max="6682" width="21.42578125" style="143" customWidth="1"/>
    <col min="6683" max="6683" width="31.42578125" style="143" customWidth="1"/>
    <col min="6684" max="6684" width="18.140625" style="143" customWidth="1"/>
    <col min="6685" max="6912" width="9.140625" style="143"/>
    <col min="6913" max="6913" width="9.28515625" style="143" customWidth="1"/>
    <col min="6914" max="6914" width="12.85546875" style="143" customWidth="1"/>
    <col min="6915" max="6915" width="167.42578125" style="143" customWidth="1"/>
    <col min="6916" max="6916" width="27.85546875" style="143" customWidth="1"/>
    <col min="6917" max="6917" width="26.140625" style="143" customWidth="1"/>
    <col min="6918" max="6918" width="26.85546875" style="143" customWidth="1"/>
    <col min="6919" max="6919" width="34.5703125" style="143" customWidth="1"/>
    <col min="6920" max="6920" width="23.28515625" style="143" customWidth="1"/>
    <col min="6921" max="6921" width="25.140625" style="143" customWidth="1"/>
    <col min="6922" max="6922" width="24.85546875" style="143" customWidth="1"/>
    <col min="6923" max="6923" width="22" style="143" customWidth="1"/>
    <col min="6924" max="6924" width="25.7109375" style="143" customWidth="1"/>
    <col min="6925" max="6925" width="26.140625" style="143" customWidth="1"/>
    <col min="6926" max="6926" width="27.5703125" style="143" customWidth="1"/>
    <col min="6927" max="6927" width="27.140625" style="143" customWidth="1"/>
    <col min="6928" max="6928" width="32.85546875" style="143" customWidth="1"/>
    <col min="6929" max="6929" width="22.42578125" style="143" customWidth="1"/>
    <col min="6930" max="6930" width="28.140625" style="143" customWidth="1"/>
    <col min="6931" max="6931" width="52.42578125" style="143" customWidth="1"/>
    <col min="6932" max="6932" width="32.42578125" style="143" customWidth="1"/>
    <col min="6933" max="6933" width="24.5703125" style="143" customWidth="1"/>
    <col min="6934" max="6934" width="35" style="143" customWidth="1"/>
    <col min="6935" max="6935" width="35.140625" style="143" customWidth="1"/>
    <col min="6936" max="6936" width="41.140625" style="143" customWidth="1"/>
    <col min="6937" max="6937" width="16.42578125" style="143" customWidth="1"/>
    <col min="6938" max="6938" width="21.42578125" style="143" customWidth="1"/>
    <col min="6939" max="6939" width="31.42578125" style="143" customWidth="1"/>
    <col min="6940" max="6940" width="18.140625" style="143" customWidth="1"/>
    <col min="6941" max="7168" width="9.140625" style="143"/>
    <col min="7169" max="7169" width="9.28515625" style="143" customWidth="1"/>
    <col min="7170" max="7170" width="12.85546875" style="143" customWidth="1"/>
    <col min="7171" max="7171" width="167.42578125" style="143" customWidth="1"/>
    <col min="7172" max="7172" width="27.85546875" style="143" customWidth="1"/>
    <col min="7173" max="7173" width="26.140625" style="143" customWidth="1"/>
    <col min="7174" max="7174" width="26.85546875" style="143" customWidth="1"/>
    <col min="7175" max="7175" width="34.5703125" style="143" customWidth="1"/>
    <col min="7176" max="7176" width="23.28515625" style="143" customWidth="1"/>
    <col min="7177" max="7177" width="25.140625" style="143" customWidth="1"/>
    <col min="7178" max="7178" width="24.85546875" style="143" customWidth="1"/>
    <col min="7179" max="7179" width="22" style="143" customWidth="1"/>
    <col min="7180" max="7180" width="25.7109375" style="143" customWidth="1"/>
    <col min="7181" max="7181" width="26.140625" style="143" customWidth="1"/>
    <col min="7182" max="7182" width="27.5703125" style="143" customWidth="1"/>
    <col min="7183" max="7183" width="27.140625" style="143" customWidth="1"/>
    <col min="7184" max="7184" width="32.85546875" style="143" customWidth="1"/>
    <col min="7185" max="7185" width="22.42578125" style="143" customWidth="1"/>
    <col min="7186" max="7186" width="28.140625" style="143" customWidth="1"/>
    <col min="7187" max="7187" width="52.42578125" style="143" customWidth="1"/>
    <col min="7188" max="7188" width="32.42578125" style="143" customWidth="1"/>
    <col min="7189" max="7189" width="24.5703125" style="143" customWidth="1"/>
    <col min="7190" max="7190" width="35" style="143" customWidth="1"/>
    <col min="7191" max="7191" width="35.140625" style="143" customWidth="1"/>
    <col min="7192" max="7192" width="41.140625" style="143" customWidth="1"/>
    <col min="7193" max="7193" width="16.42578125" style="143" customWidth="1"/>
    <col min="7194" max="7194" width="21.42578125" style="143" customWidth="1"/>
    <col min="7195" max="7195" width="31.42578125" style="143" customWidth="1"/>
    <col min="7196" max="7196" width="18.140625" style="143" customWidth="1"/>
    <col min="7197" max="7424" width="9.140625" style="143"/>
    <col min="7425" max="7425" width="9.28515625" style="143" customWidth="1"/>
    <col min="7426" max="7426" width="12.85546875" style="143" customWidth="1"/>
    <col min="7427" max="7427" width="167.42578125" style="143" customWidth="1"/>
    <col min="7428" max="7428" width="27.85546875" style="143" customWidth="1"/>
    <col min="7429" max="7429" width="26.140625" style="143" customWidth="1"/>
    <col min="7430" max="7430" width="26.85546875" style="143" customWidth="1"/>
    <col min="7431" max="7431" width="34.5703125" style="143" customWidth="1"/>
    <col min="7432" max="7432" width="23.28515625" style="143" customWidth="1"/>
    <col min="7433" max="7433" width="25.140625" style="143" customWidth="1"/>
    <col min="7434" max="7434" width="24.85546875" style="143" customWidth="1"/>
    <col min="7435" max="7435" width="22" style="143" customWidth="1"/>
    <col min="7436" max="7436" width="25.7109375" style="143" customWidth="1"/>
    <col min="7437" max="7437" width="26.140625" style="143" customWidth="1"/>
    <col min="7438" max="7438" width="27.5703125" style="143" customWidth="1"/>
    <col min="7439" max="7439" width="27.140625" style="143" customWidth="1"/>
    <col min="7440" max="7440" width="32.85546875" style="143" customWidth="1"/>
    <col min="7441" max="7441" width="22.42578125" style="143" customWidth="1"/>
    <col min="7442" max="7442" width="28.140625" style="143" customWidth="1"/>
    <col min="7443" max="7443" width="52.42578125" style="143" customWidth="1"/>
    <col min="7444" max="7444" width="32.42578125" style="143" customWidth="1"/>
    <col min="7445" max="7445" width="24.5703125" style="143" customWidth="1"/>
    <col min="7446" max="7446" width="35" style="143" customWidth="1"/>
    <col min="7447" max="7447" width="35.140625" style="143" customWidth="1"/>
    <col min="7448" max="7448" width="41.140625" style="143" customWidth="1"/>
    <col min="7449" max="7449" width="16.42578125" style="143" customWidth="1"/>
    <col min="7450" max="7450" width="21.42578125" style="143" customWidth="1"/>
    <col min="7451" max="7451" width="31.42578125" style="143" customWidth="1"/>
    <col min="7452" max="7452" width="18.140625" style="143" customWidth="1"/>
    <col min="7453" max="7680" width="9.140625" style="143"/>
    <col min="7681" max="7681" width="9.28515625" style="143" customWidth="1"/>
    <col min="7682" max="7682" width="12.85546875" style="143" customWidth="1"/>
    <col min="7683" max="7683" width="167.42578125" style="143" customWidth="1"/>
    <col min="7684" max="7684" width="27.85546875" style="143" customWidth="1"/>
    <col min="7685" max="7685" width="26.140625" style="143" customWidth="1"/>
    <col min="7686" max="7686" width="26.85546875" style="143" customWidth="1"/>
    <col min="7687" max="7687" width="34.5703125" style="143" customWidth="1"/>
    <col min="7688" max="7688" width="23.28515625" style="143" customWidth="1"/>
    <col min="7689" max="7689" width="25.140625" style="143" customWidth="1"/>
    <col min="7690" max="7690" width="24.85546875" style="143" customWidth="1"/>
    <col min="7691" max="7691" width="22" style="143" customWidth="1"/>
    <col min="7692" max="7692" width="25.7109375" style="143" customWidth="1"/>
    <col min="7693" max="7693" width="26.140625" style="143" customWidth="1"/>
    <col min="7694" max="7694" width="27.5703125" style="143" customWidth="1"/>
    <col min="7695" max="7695" width="27.140625" style="143" customWidth="1"/>
    <col min="7696" max="7696" width="32.85546875" style="143" customWidth="1"/>
    <col min="7697" max="7697" width="22.42578125" style="143" customWidth="1"/>
    <col min="7698" max="7698" width="28.140625" style="143" customWidth="1"/>
    <col min="7699" max="7699" width="52.42578125" style="143" customWidth="1"/>
    <col min="7700" max="7700" width="32.42578125" style="143" customWidth="1"/>
    <col min="7701" max="7701" width="24.5703125" style="143" customWidth="1"/>
    <col min="7702" max="7702" width="35" style="143" customWidth="1"/>
    <col min="7703" max="7703" width="35.140625" style="143" customWidth="1"/>
    <col min="7704" max="7704" width="41.140625" style="143" customWidth="1"/>
    <col min="7705" max="7705" width="16.42578125" style="143" customWidth="1"/>
    <col min="7706" max="7706" width="21.42578125" style="143" customWidth="1"/>
    <col min="7707" max="7707" width="31.42578125" style="143" customWidth="1"/>
    <col min="7708" max="7708" width="18.140625" style="143" customWidth="1"/>
    <col min="7709" max="7936" width="9.140625" style="143"/>
    <col min="7937" max="7937" width="9.28515625" style="143" customWidth="1"/>
    <col min="7938" max="7938" width="12.85546875" style="143" customWidth="1"/>
    <col min="7939" max="7939" width="167.42578125" style="143" customWidth="1"/>
    <col min="7940" max="7940" width="27.85546875" style="143" customWidth="1"/>
    <col min="7941" max="7941" width="26.140625" style="143" customWidth="1"/>
    <col min="7942" max="7942" width="26.85546875" style="143" customWidth="1"/>
    <col min="7943" max="7943" width="34.5703125" style="143" customWidth="1"/>
    <col min="7944" max="7944" width="23.28515625" style="143" customWidth="1"/>
    <col min="7945" max="7945" width="25.140625" style="143" customWidth="1"/>
    <col min="7946" max="7946" width="24.85546875" style="143" customWidth="1"/>
    <col min="7947" max="7947" width="22" style="143" customWidth="1"/>
    <col min="7948" max="7948" width="25.7109375" style="143" customWidth="1"/>
    <col min="7949" max="7949" width="26.140625" style="143" customWidth="1"/>
    <col min="7950" max="7950" width="27.5703125" style="143" customWidth="1"/>
    <col min="7951" max="7951" width="27.140625" style="143" customWidth="1"/>
    <col min="7952" max="7952" width="32.85546875" style="143" customWidth="1"/>
    <col min="7953" max="7953" width="22.42578125" style="143" customWidth="1"/>
    <col min="7954" max="7954" width="28.140625" style="143" customWidth="1"/>
    <col min="7955" max="7955" width="52.42578125" style="143" customWidth="1"/>
    <col min="7956" max="7956" width="32.42578125" style="143" customWidth="1"/>
    <col min="7957" max="7957" width="24.5703125" style="143" customWidth="1"/>
    <col min="7958" max="7958" width="35" style="143" customWidth="1"/>
    <col min="7959" max="7959" width="35.140625" style="143" customWidth="1"/>
    <col min="7960" max="7960" width="41.140625" style="143" customWidth="1"/>
    <col min="7961" max="7961" width="16.42578125" style="143" customWidth="1"/>
    <col min="7962" max="7962" width="21.42578125" style="143" customWidth="1"/>
    <col min="7963" max="7963" width="31.42578125" style="143" customWidth="1"/>
    <col min="7964" max="7964" width="18.140625" style="143" customWidth="1"/>
    <col min="7965" max="8192" width="9.140625" style="143"/>
    <col min="8193" max="8193" width="9.28515625" style="143" customWidth="1"/>
    <col min="8194" max="8194" width="12.85546875" style="143" customWidth="1"/>
    <col min="8195" max="8195" width="167.42578125" style="143" customWidth="1"/>
    <col min="8196" max="8196" width="27.85546875" style="143" customWidth="1"/>
    <col min="8197" max="8197" width="26.140625" style="143" customWidth="1"/>
    <col min="8198" max="8198" width="26.85546875" style="143" customWidth="1"/>
    <col min="8199" max="8199" width="34.5703125" style="143" customWidth="1"/>
    <col min="8200" max="8200" width="23.28515625" style="143" customWidth="1"/>
    <col min="8201" max="8201" width="25.140625" style="143" customWidth="1"/>
    <col min="8202" max="8202" width="24.85546875" style="143" customWidth="1"/>
    <col min="8203" max="8203" width="22" style="143" customWidth="1"/>
    <col min="8204" max="8204" width="25.7109375" style="143" customWidth="1"/>
    <col min="8205" max="8205" width="26.140625" style="143" customWidth="1"/>
    <col min="8206" max="8206" width="27.5703125" style="143" customWidth="1"/>
    <col min="8207" max="8207" width="27.140625" style="143" customWidth="1"/>
    <col min="8208" max="8208" width="32.85546875" style="143" customWidth="1"/>
    <col min="8209" max="8209" width="22.42578125" style="143" customWidth="1"/>
    <col min="8210" max="8210" width="28.140625" style="143" customWidth="1"/>
    <col min="8211" max="8211" width="52.42578125" style="143" customWidth="1"/>
    <col min="8212" max="8212" width="32.42578125" style="143" customWidth="1"/>
    <col min="8213" max="8213" width="24.5703125" style="143" customWidth="1"/>
    <col min="8214" max="8214" width="35" style="143" customWidth="1"/>
    <col min="8215" max="8215" width="35.140625" style="143" customWidth="1"/>
    <col min="8216" max="8216" width="41.140625" style="143" customWidth="1"/>
    <col min="8217" max="8217" width="16.42578125" style="143" customWidth="1"/>
    <col min="8218" max="8218" width="21.42578125" style="143" customWidth="1"/>
    <col min="8219" max="8219" width="31.42578125" style="143" customWidth="1"/>
    <col min="8220" max="8220" width="18.140625" style="143" customWidth="1"/>
    <col min="8221" max="8448" width="9.140625" style="143"/>
    <col min="8449" max="8449" width="9.28515625" style="143" customWidth="1"/>
    <col min="8450" max="8450" width="12.85546875" style="143" customWidth="1"/>
    <col min="8451" max="8451" width="167.42578125" style="143" customWidth="1"/>
    <col min="8452" max="8452" width="27.85546875" style="143" customWidth="1"/>
    <col min="8453" max="8453" width="26.140625" style="143" customWidth="1"/>
    <col min="8454" max="8454" width="26.85546875" style="143" customWidth="1"/>
    <col min="8455" max="8455" width="34.5703125" style="143" customWidth="1"/>
    <col min="8456" max="8456" width="23.28515625" style="143" customWidth="1"/>
    <col min="8457" max="8457" width="25.140625" style="143" customWidth="1"/>
    <col min="8458" max="8458" width="24.85546875" style="143" customWidth="1"/>
    <col min="8459" max="8459" width="22" style="143" customWidth="1"/>
    <col min="8460" max="8460" width="25.7109375" style="143" customWidth="1"/>
    <col min="8461" max="8461" width="26.140625" style="143" customWidth="1"/>
    <col min="8462" max="8462" width="27.5703125" style="143" customWidth="1"/>
    <col min="8463" max="8463" width="27.140625" style="143" customWidth="1"/>
    <col min="8464" max="8464" width="32.85546875" style="143" customWidth="1"/>
    <col min="8465" max="8465" width="22.42578125" style="143" customWidth="1"/>
    <col min="8466" max="8466" width="28.140625" style="143" customWidth="1"/>
    <col min="8467" max="8467" width="52.42578125" style="143" customWidth="1"/>
    <col min="8468" max="8468" width="32.42578125" style="143" customWidth="1"/>
    <col min="8469" max="8469" width="24.5703125" style="143" customWidth="1"/>
    <col min="8470" max="8470" width="35" style="143" customWidth="1"/>
    <col min="8471" max="8471" width="35.140625" style="143" customWidth="1"/>
    <col min="8472" max="8472" width="41.140625" style="143" customWidth="1"/>
    <col min="8473" max="8473" width="16.42578125" style="143" customWidth="1"/>
    <col min="8474" max="8474" width="21.42578125" style="143" customWidth="1"/>
    <col min="8475" max="8475" width="31.42578125" style="143" customWidth="1"/>
    <col min="8476" max="8476" width="18.140625" style="143" customWidth="1"/>
    <col min="8477" max="8704" width="9.140625" style="143"/>
    <col min="8705" max="8705" width="9.28515625" style="143" customWidth="1"/>
    <col min="8706" max="8706" width="12.85546875" style="143" customWidth="1"/>
    <col min="8707" max="8707" width="167.42578125" style="143" customWidth="1"/>
    <col min="8708" max="8708" width="27.85546875" style="143" customWidth="1"/>
    <col min="8709" max="8709" width="26.140625" style="143" customWidth="1"/>
    <col min="8710" max="8710" width="26.85546875" style="143" customWidth="1"/>
    <col min="8711" max="8711" width="34.5703125" style="143" customWidth="1"/>
    <col min="8712" max="8712" width="23.28515625" style="143" customWidth="1"/>
    <col min="8713" max="8713" width="25.140625" style="143" customWidth="1"/>
    <col min="8714" max="8714" width="24.85546875" style="143" customWidth="1"/>
    <col min="8715" max="8715" width="22" style="143" customWidth="1"/>
    <col min="8716" max="8716" width="25.7109375" style="143" customWidth="1"/>
    <col min="8717" max="8717" width="26.140625" style="143" customWidth="1"/>
    <col min="8718" max="8718" width="27.5703125" style="143" customWidth="1"/>
    <col min="8719" max="8719" width="27.140625" style="143" customWidth="1"/>
    <col min="8720" max="8720" width="32.85546875" style="143" customWidth="1"/>
    <col min="8721" max="8721" width="22.42578125" style="143" customWidth="1"/>
    <col min="8722" max="8722" width="28.140625" style="143" customWidth="1"/>
    <col min="8723" max="8723" width="52.42578125" style="143" customWidth="1"/>
    <col min="8724" max="8724" width="32.42578125" style="143" customWidth="1"/>
    <col min="8725" max="8725" width="24.5703125" style="143" customWidth="1"/>
    <col min="8726" max="8726" width="35" style="143" customWidth="1"/>
    <col min="8727" max="8727" width="35.140625" style="143" customWidth="1"/>
    <col min="8728" max="8728" width="41.140625" style="143" customWidth="1"/>
    <col min="8729" max="8729" width="16.42578125" style="143" customWidth="1"/>
    <col min="8730" max="8730" width="21.42578125" style="143" customWidth="1"/>
    <col min="8731" max="8731" width="31.42578125" style="143" customWidth="1"/>
    <col min="8732" max="8732" width="18.140625" style="143" customWidth="1"/>
    <col min="8733" max="8960" width="9.140625" style="143"/>
    <col min="8961" max="8961" width="9.28515625" style="143" customWidth="1"/>
    <col min="8962" max="8962" width="12.85546875" style="143" customWidth="1"/>
    <col min="8963" max="8963" width="167.42578125" style="143" customWidth="1"/>
    <col min="8964" max="8964" width="27.85546875" style="143" customWidth="1"/>
    <col min="8965" max="8965" width="26.140625" style="143" customWidth="1"/>
    <col min="8966" max="8966" width="26.85546875" style="143" customWidth="1"/>
    <col min="8967" max="8967" width="34.5703125" style="143" customWidth="1"/>
    <col min="8968" max="8968" width="23.28515625" style="143" customWidth="1"/>
    <col min="8969" max="8969" width="25.140625" style="143" customWidth="1"/>
    <col min="8970" max="8970" width="24.85546875" style="143" customWidth="1"/>
    <col min="8971" max="8971" width="22" style="143" customWidth="1"/>
    <col min="8972" max="8972" width="25.7109375" style="143" customWidth="1"/>
    <col min="8973" max="8973" width="26.140625" style="143" customWidth="1"/>
    <col min="8974" max="8974" width="27.5703125" style="143" customWidth="1"/>
    <col min="8975" max="8975" width="27.140625" style="143" customWidth="1"/>
    <col min="8976" max="8976" width="32.85546875" style="143" customWidth="1"/>
    <col min="8977" max="8977" width="22.42578125" style="143" customWidth="1"/>
    <col min="8978" max="8978" width="28.140625" style="143" customWidth="1"/>
    <col min="8979" max="8979" width="52.42578125" style="143" customWidth="1"/>
    <col min="8980" max="8980" width="32.42578125" style="143" customWidth="1"/>
    <col min="8981" max="8981" width="24.5703125" style="143" customWidth="1"/>
    <col min="8982" max="8982" width="35" style="143" customWidth="1"/>
    <col min="8983" max="8983" width="35.140625" style="143" customWidth="1"/>
    <col min="8984" max="8984" width="41.140625" style="143" customWidth="1"/>
    <col min="8985" max="8985" width="16.42578125" style="143" customWidth="1"/>
    <col min="8986" max="8986" width="21.42578125" style="143" customWidth="1"/>
    <col min="8987" max="8987" width="31.42578125" style="143" customWidth="1"/>
    <col min="8988" max="8988" width="18.140625" style="143" customWidth="1"/>
    <col min="8989" max="9216" width="9.140625" style="143"/>
    <col min="9217" max="9217" width="9.28515625" style="143" customWidth="1"/>
    <col min="9218" max="9218" width="12.85546875" style="143" customWidth="1"/>
    <col min="9219" max="9219" width="167.42578125" style="143" customWidth="1"/>
    <col min="9220" max="9220" width="27.85546875" style="143" customWidth="1"/>
    <col min="9221" max="9221" width="26.140625" style="143" customWidth="1"/>
    <col min="9222" max="9222" width="26.85546875" style="143" customWidth="1"/>
    <col min="9223" max="9223" width="34.5703125" style="143" customWidth="1"/>
    <col min="9224" max="9224" width="23.28515625" style="143" customWidth="1"/>
    <col min="9225" max="9225" width="25.140625" style="143" customWidth="1"/>
    <col min="9226" max="9226" width="24.85546875" style="143" customWidth="1"/>
    <col min="9227" max="9227" width="22" style="143" customWidth="1"/>
    <col min="9228" max="9228" width="25.7109375" style="143" customWidth="1"/>
    <col min="9229" max="9229" width="26.140625" style="143" customWidth="1"/>
    <col min="9230" max="9230" width="27.5703125" style="143" customWidth="1"/>
    <col min="9231" max="9231" width="27.140625" style="143" customWidth="1"/>
    <col min="9232" max="9232" width="32.85546875" style="143" customWidth="1"/>
    <col min="9233" max="9233" width="22.42578125" style="143" customWidth="1"/>
    <col min="9234" max="9234" width="28.140625" style="143" customWidth="1"/>
    <col min="9235" max="9235" width="52.42578125" style="143" customWidth="1"/>
    <col min="9236" max="9236" width="32.42578125" style="143" customWidth="1"/>
    <col min="9237" max="9237" width="24.5703125" style="143" customWidth="1"/>
    <col min="9238" max="9238" width="35" style="143" customWidth="1"/>
    <col min="9239" max="9239" width="35.140625" style="143" customWidth="1"/>
    <col min="9240" max="9240" width="41.140625" style="143" customWidth="1"/>
    <col min="9241" max="9241" width="16.42578125" style="143" customWidth="1"/>
    <col min="9242" max="9242" width="21.42578125" style="143" customWidth="1"/>
    <col min="9243" max="9243" width="31.42578125" style="143" customWidth="1"/>
    <col min="9244" max="9244" width="18.140625" style="143" customWidth="1"/>
    <col min="9245" max="9472" width="9.140625" style="143"/>
    <col min="9473" max="9473" width="9.28515625" style="143" customWidth="1"/>
    <col min="9474" max="9474" width="12.85546875" style="143" customWidth="1"/>
    <col min="9475" max="9475" width="167.42578125" style="143" customWidth="1"/>
    <col min="9476" max="9476" width="27.85546875" style="143" customWidth="1"/>
    <col min="9477" max="9477" width="26.140625" style="143" customWidth="1"/>
    <col min="9478" max="9478" width="26.85546875" style="143" customWidth="1"/>
    <col min="9479" max="9479" width="34.5703125" style="143" customWidth="1"/>
    <col min="9480" max="9480" width="23.28515625" style="143" customWidth="1"/>
    <col min="9481" max="9481" width="25.140625" style="143" customWidth="1"/>
    <col min="9482" max="9482" width="24.85546875" style="143" customWidth="1"/>
    <col min="9483" max="9483" width="22" style="143" customWidth="1"/>
    <col min="9484" max="9484" width="25.7109375" style="143" customWidth="1"/>
    <col min="9485" max="9485" width="26.140625" style="143" customWidth="1"/>
    <col min="9486" max="9486" width="27.5703125" style="143" customWidth="1"/>
    <col min="9487" max="9487" width="27.140625" style="143" customWidth="1"/>
    <col min="9488" max="9488" width="32.85546875" style="143" customWidth="1"/>
    <col min="9489" max="9489" width="22.42578125" style="143" customWidth="1"/>
    <col min="9490" max="9490" width="28.140625" style="143" customWidth="1"/>
    <col min="9491" max="9491" width="52.42578125" style="143" customWidth="1"/>
    <col min="9492" max="9492" width="32.42578125" style="143" customWidth="1"/>
    <col min="9493" max="9493" width="24.5703125" style="143" customWidth="1"/>
    <col min="9494" max="9494" width="35" style="143" customWidth="1"/>
    <col min="9495" max="9495" width="35.140625" style="143" customWidth="1"/>
    <col min="9496" max="9496" width="41.140625" style="143" customWidth="1"/>
    <col min="9497" max="9497" width="16.42578125" style="143" customWidth="1"/>
    <col min="9498" max="9498" width="21.42578125" style="143" customWidth="1"/>
    <col min="9499" max="9499" width="31.42578125" style="143" customWidth="1"/>
    <col min="9500" max="9500" width="18.140625" style="143" customWidth="1"/>
    <col min="9501" max="9728" width="9.140625" style="143"/>
    <col min="9729" max="9729" width="9.28515625" style="143" customWidth="1"/>
    <col min="9730" max="9730" width="12.85546875" style="143" customWidth="1"/>
    <col min="9731" max="9731" width="167.42578125" style="143" customWidth="1"/>
    <col min="9732" max="9732" width="27.85546875" style="143" customWidth="1"/>
    <col min="9733" max="9733" width="26.140625" style="143" customWidth="1"/>
    <col min="9734" max="9734" width="26.85546875" style="143" customWidth="1"/>
    <col min="9735" max="9735" width="34.5703125" style="143" customWidth="1"/>
    <col min="9736" max="9736" width="23.28515625" style="143" customWidth="1"/>
    <col min="9737" max="9737" width="25.140625" style="143" customWidth="1"/>
    <col min="9738" max="9738" width="24.85546875" style="143" customWidth="1"/>
    <col min="9739" max="9739" width="22" style="143" customWidth="1"/>
    <col min="9740" max="9740" width="25.7109375" style="143" customWidth="1"/>
    <col min="9741" max="9741" width="26.140625" style="143" customWidth="1"/>
    <col min="9742" max="9742" width="27.5703125" style="143" customWidth="1"/>
    <col min="9743" max="9743" width="27.140625" style="143" customWidth="1"/>
    <col min="9744" max="9744" width="32.85546875" style="143" customWidth="1"/>
    <col min="9745" max="9745" width="22.42578125" style="143" customWidth="1"/>
    <col min="9746" max="9746" width="28.140625" style="143" customWidth="1"/>
    <col min="9747" max="9747" width="52.42578125" style="143" customWidth="1"/>
    <col min="9748" max="9748" width="32.42578125" style="143" customWidth="1"/>
    <col min="9749" max="9749" width="24.5703125" style="143" customWidth="1"/>
    <col min="9750" max="9750" width="35" style="143" customWidth="1"/>
    <col min="9751" max="9751" width="35.140625" style="143" customWidth="1"/>
    <col min="9752" max="9752" width="41.140625" style="143" customWidth="1"/>
    <col min="9753" max="9753" width="16.42578125" style="143" customWidth="1"/>
    <col min="9754" max="9754" width="21.42578125" style="143" customWidth="1"/>
    <col min="9755" max="9755" width="31.42578125" style="143" customWidth="1"/>
    <col min="9756" max="9756" width="18.140625" style="143" customWidth="1"/>
    <col min="9757" max="9984" width="9.140625" style="143"/>
    <col min="9985" max="9985" width="9.28515625" style="143" customWidth="1"/>
    <col min="9986" max="9986" width="12.85546875" style="143" customWidth="1"/>
    <col min="9987" max="9987" width="167.42578125" style="143" customWidth="1"/>
    <col min="9988" max="9988" width="27.85546875" style="143" customWidth="1"/>
    <col min="9989" max="9989" width="26.140625" style="143" customWidth="1"/>
    <col min="9990" max="9990" width="26.85546875" style="143" customWidth="1"/>
    <col min="9991" max="9991" width="34.5703125" style="143" customWidth="1"/>
    <col min="9992" max="9992" width="23.28515625" style="143" customWidth="1"/>
    <col min="9993" max="9993" width="25.140625" style="143" customWidth="1"/>
    <col min="9994" max="9994" width="24.85546875" style="143" customWidth="1"/>
    <col min="9995" max="9995" width="22" style="143" customWidth="1"/>
    <col min="9996" max="9996" width="25.7109375" style="143" customWidth="1"/>
    <col min="9997" max="9997" width="26.140625" style="143" customWidth="1"/>
    <col min="9998" max="9998" width="27.5703125" style="143" customWidth="1"/>
    <col min="9999" max="9999" width="27.140625" style="143" customWidth="1"/>
    <col min="10000" max="10000" width="32.85546875" style="143" customWidth="1"/>
    <col min="10001" max="10001" width="22.42578125" style="143" customWidth="1"/>
    <col min="10002" max="10002" width="28.140625" style="143" customWidth="1"/>
    <col min="10003" max="10003" width="52.42578125" style="143" customWidth="1"/>
    <col min="10004" max="10004" width="32.42578125" style="143" customWidth="1"/>
    <col min="10005" max="10005" width="24.5703125" style="143" customWidth="1"/>
    <col min="10006" max="10006" width="35" style="143" customWidth="1"/>
    <col min="10007" max="10007" width="35.140625" style="143" customWidth="1"/>
    <col min="10008" max="10008" width="41.140625" style="143" customWidth="1"/>
    <col min="10009" max="10009" width="16.42578125" style="143" customWidth="1"/>
    <col min="10010" max="10010" width="21.42578125" style="143" customWidth="1"/>
    <col min="10011" max="10011" width="31.42578125" style="143" customWidth="1"/>
    <col min="10012" max="10012" width="18.140625" style="143" customWidth="1"/>
    <col min="10013" max="10240" width="9.140625" style="143"/>
    <col min="10241" max="10241" width="9.28515625" style="143" customWidth="1"/>
    <col min="10242" max="10242" width="12.85546875" style="143" customWidth="1"/>
    <col min="10243" max="10243" width="167.42578125" style="143" customWidth="1"/>
    <col min="10244" max="10244" width="27.85546875" style="143" customWidth="1"/>
    <col min="10245" max="10245" width="26.140625" style="143" customWidth="1"/>
    <col min="10246" max="10246" width="26.85546875" style="143" customWidth="1"/>
    <col min="10247" max="10247" width="34.5703125" style="143" customWidth="1"/>
    <col min="10248" max="10248" width="23.28515625" style="143" customWidth="1"/>
    <col min="10249" max="10249" width="25.140625" style="143" customWidth="1"/>
    <col min="10250" max="10250" width="24.85546875" style="143" customWidth="1"/>
    <col min="10251" max="10251" width="22" style="143" customWidth="1"/>
    <col min="10252" max="10252" width="25.7109375" style="143" customWidth="1"/>
    <col min="10253" max="10253" width="26.140625" style="143" customWidth="1"/>
    <col min="10254" max="10254" width="27.5703125" style="143" customWidth="1"/>
    <col min="10255" max="10255" width="27.140625" style="143" customWidth="1"/>
    <col min="10256" max="10256" width="32.85546875" style="143" customWidth="1"/>
    <col min="10257" max="10257" width="22.42578125" style="143" customWidth="1"/>
    <col min="10258" max="10258" width="28.140625" style="143" customWidth="1"/>
    <col min="10259" max="10259" width="52.42578125" style="143" customWidth="1"/>
    <col min="10260" max="10260" width="32.42578125" style="143" customWidth="1"/>
    <col min="10261" max="10261" width="24.5703125" style="143" customWidth="1"/>
    <col min="10262" max="10262" width="35" style="143" customWidth="1"/>
    <col min="10263" max="10263" width="35.140625" style="143" customWidth="1"/>
    <col min="10264" max="10264" width="41.140625" style="143" customWidth="1"/>
    <col min="10265" max="10265" width="16.42578125" style="143" customWidth="1"/>
    <col min="10266" max="10266" width="21.42578125" style="143" customWidth="1"/>
    <col min="10267" max="10267" width="31.42578125" style="143" customWidth="1"/>
    <col min="10268" max="10268" width="18.140625" style="143" customWidth="1"/>
    <col min="10269" max="10496" width="9.140625" style="143"/>
    <col min="10497" max="10497" width="9.28515625" style="143" customWidth="1"/>
    <col min="10498" max="10498" width="12.85546875" style="143" customWidth="1"/>
    <col min="10499" max="10499" width="167.42578125" style="143" customWidth="1"/>
    <col min="10500" max="10500" width="27.85546875" style="143" customWidth="1"/>
    <col min="10501" max="10501" width="26.140625" style="143" customWidth="1"/>
    <col min="10502" max="10502" width="26.85546875" style="143" customWidth="1"/>
    <col min="10503" max="10503" width="34.5703125" style="143" customWidth="1"/>
    <col min="10504" max="10504" width="23.28515625" style="143" customWidth="1"/>
    <col min="10505" max="10505" width="25.140625" style="143" customWidth="1"/>
    <col min="10506" max="10506" width="24.85546875" style="143" customWidth="1"/>
    <col min="10507" max="10507" width="22" style="143" customWidth="1"/>
    <col min="10508" max="10508" width="25.7109375" style="143" customWidth="1"/>
    <col min="10509" max="10509" width="26.140625" style="143" customWidth="1"/>
    <col min="10510" max="10510" width="27.5703125" style="143" customWidth="1"/>
    <col min="10511" max="10511" width="27.140625" style="143" customWidth="1"/>
    <col min="10512" max="10512" width="32.85546875" style="143" customWidth="1"/>
    <col min="10513" max="10513" width="22.42578125" style="143" customWidth="1"/>
    <col min="10514" max="10514" width="28.140625" style="143" customWidth="1"/>
    <col min="10515" max="10515" width="52.42578125" style="143" customWidth="1"/>
    <col min="10516" max="10516" width="32.42578125" style="143" customWidth="1"/>
    <col min="10517" max="10517" width="24.5703125" style="143" customWidth="1"/>
    <col min="10518" max="10518" width="35" style="143" customWidth="1"/>
    <col min="10519" max="10519" width="35.140625" style="143" customWidth="1"/>
    <col min="10520" max="10520" width="41.140625" style="143" customWidth="1"/>
    <col min="10521" max="10521" width="16.42578125" style="143" customWidth="1"/>
    <col min="10522" max="10522" width="21.42578125" style="143" customWidth="1"/>
    <col min="10523" max="10523" width="31.42578125" style="143" customWidth="1"/>
    <col min="10524" max="10524" width="18.140625" style="143" customWidth="1"/>
    <col min="10525" max="10752" width="9.140625" style="143"/>
    <col min="10753" max="10753" width="9.28515625" style="143" customWidth="1"/>
    <col min="10754" max="10754" width="12.85546875" style="143" customWidth="1"/>
    <col min="10755" max="10755" width="167.42578125" style="143" customWidth="1"/>
    <col min="10756" max="10756" width="27.85546875" style="143" customWidth="1"/>
    <col min="10757" max="10757" width="26.140625" style="143" customWidth="1"/>
    <col min="10758" max="10758" width="26.85546875" style="143" customWidth="1"/>
    <col min="10759" max="10759" width="34.5703125" style="143" customWidth="1"/>
    <col min="10760" max="10760" width="23.28515625" style="143" customWidth="1"/>
    <col min="10761" max="10761" width="25.140625" style="143" customWidth="1"/>
    <col min="10762" max="10762" width="24.85546875" style="143" customWidth="1"/>
    <col min="10763" max="10763" width="22" style="143" customWidth="1"/>
    <col min="10764" max="10764" width="25.7109375" style="143" customWidth="1"/>
    <col min="10765" max="10765" width="26.140625" style="143" customWidth="1"/>
    <col min="10766" max="10766" width="27.5703125" style="143" customWidth="1"/>
    <col min="10767" max="10767" width="27.140625" style="143" customWidth="1"/>
    <col min="10768" max="10768" width="32.85546875" style="143" customWidth="1"/>
    <col min="10769" max="10769" width="22.42578125" style="143" customWidth="1"/>
    <col min="10770" max="10770" width="28.140625" style="143" customWidth="1"/>
    <col min="10771" max="10771" width="52.42578125" style="143" customWidth="1"/>
    <col min="10772" max="10772" width="32.42578125" style="143" customWidth="1"/>
    <col min="10773" max="10773" width="24.5703125" style="143" customWidth="1"/>
    <col min="10774" max="10774" width="35" style="143" customWidth="1"/>
    <col min="10775" max="10775" width="35.140625" style="143" customWidth="1"/>
    <col min="10776" max="10776" width="41.140625" style="143" customWidth="1"/>
    <col min="10777" max="10777" width="16.42578125" style="143" customWidth="1"/>
    <col min="10778" max="10778" width="21.42578125" style="143" customWidth="1"/>
    <col min="10779" max="10779" width="31.42578125" style="143" customWidth="1"/>
    <col min="10780" max="10780" width="18.140625" style="143" customWidth="1"/>
    <col min="10781" max="11008" width="9.140625" style="143"/>
    <col min="11009" max="11009" width="9.28515625" style="143" customWidth="1"/>
    <col min="11010" max="11010" width="12.85546875" style="143" customWidth="1"/>
    <col min="11011" max="11011" width="167.42578125" style="143" customWidth="1"/>
    <col min="11012" max="11012" width="27.85546875" style="143" customWidth="1"/>
    <col min="11013" max="11013" width="26.140625" style="143" customWidth="1"/>
    <col min="11014" max="11014" width="26.85546875" style="143" customWidth="1"/>
    <col min="11015" max="11015" width="34.5703125" style="143" customWidth="1"/>
    <col min="11016" max="11016" width="23.28515625" style="143" customWidth="1"/>
    <col min="11017" max="11017" width="25.140625" style="143" customWidth="1"/>
    <col min="11018" max="11018" width="24.85546875" style="143" customWidth="1"/>
    <col min="11019" max="11019" width="22" style="143" customWidth="1"/>
    <col min="11020" max="11020" width="25.7109375" style="143" customWidth="1"/>
    <col min="11021" max="11021" width="26.140625" style="143" customWidth="1"/>
    <col min="11022" max="11022" width="27.5703125" style="143" customWidth="1"/>
    <col min="11023" max="11023" width="27.140625" style="143" customWidth="1"/>
    <col min="11024" max="11024" width="32.85546875" style="143" customWidth="1"/>
    <col min="11025" max="11025" width="22.42578125" style="143" customWidth="1"/>
    <col min="11026" max="11026" width="28.140625" style="143" customWidth="1"/>
    <col min="11027" max="11027" width="52.42578125" style="143" customWidth="1"/>
    <col min="11028" max="11028" width="32.42578125" style="143" customWidth="1"/>
    <col min="11029" max="11029" width="24.5703125" style="143" customWidth="1"/>
    <col min="11030" max="11030" width="35" style="143" customWidth="1"/>
    <col min="11031" max="11031" width="35.140625" style="143" customWidth="1"/>
    <col min="11032" max="11032" width="41.140625" style="143" customWidth="1"/>
    <col min="11033" max="11033" width="16.42578125" style="143" customWidth="1"/>
    <col min="11034" max="11034" width="21.42578125" style="143" customWidth="1"/>
    <col min="11035" max="11035" width="31.42578125" style="143" customWidth="1"/>
    <col min="11036" max="11036" width="18.140625" style="143" customWidth="1"/>
    <col min="11037" max="11264" width="9.140625" style="143"/>
    <col min="11265" max="11265" width="9.28515625" style="143" customWidth="1"/>
    <col min="11266" max="11266" width="12.85546875" style="143" customWidth="1"/>
    <col min="11267" max="11267" width="167.42578125" style="143" customWidth="1"/>
    <col min="11268" max="11268" width="27.85546875" style="143" customWidth="1"/>
    <col min="11269" max="11269" width="26.140625" style="143" customWidth="1"/>
    <col min="11270" max="11270" width="26.85546875" style="143" customWidth="1"/>
    <col min="11271" max="11271" width="34.5703125" style="143" customWidth="1"/>
    <col min="11272" max="11272" width="23.28515625" style="143" customWidth="1"/>
    <col min="11273" max="11273" width="25.140625" style="143" customWidth="1"/>
    <col min="11274" max="11274" width="24.85546875" style="143" customWidth="1"/>
    <col min="11275" max="11275" width="22" style="143" customWidth="1"/>
    <col min="11276" max="11276" width="25.7109375" style="143" customWidth="1"/>
    <col min="11277" max="11277" width="26.140625" style="143" customWidth="1"/>
    <col min="11278" max="11278" width="27.5703125" style="143" customWidth="1"/>
    <col min="11279" max="11279" width="27.140625" style="143" customWidth="1"/>
    <col min="11280" max="11280" width="32.85546875" style="143" customWidth="1"/>
    <col min="11281" max="11281" width="22.42578125" style="143" customWidth="1"/>
    <col min="11282" max="11282" width="28.140625" style="143" customWidth="1"/>
    <col min="11283" max="11283" width="52.42578125" style="143" customWidth="1"/>
    <col min="11284" max="11284" width="32.42578125" style="143" customWidth="1"/>
    <col min="11285" max="11285" width="24.5703125" style="143" customWidth="1"/>
    <col min="11286" max="11286" width="35" style="143" customWidth="1"/>
    <col min="11287" max="11287" width="35.140625" style="143" customWidth="1"/>
    <col min="11288" max="11288" width="41.140625" style="143" customWidth="1"/>
    <col min="11289" max="11289" width="16.42578125" style="143" customWidth="1"/>
    <col min="11290" max="11290" width="21.42578125" style="143" customWidth="1"/>
    <col min="11291" max="11291" width="31.42578125" style="143" customWidth="1"/>
    <col min="11292" max="11292" width="18.140625" style="143" customWidth="1"/>
    <col min="11293" max="11520" width="9.140625" style="143"/>
    <col min="11521" max="11521" width="9.28515625" style="143" customWidth="1"/>
    <col min="11522" max="11522" width="12.85546875" style="143" customWidth="1"/>
    <col min="11523" max="11523" width="167.42578125" style="143" customWidth="1"/>
    <col min="11524" max="11524" width="27.85546875" style="143" customWidth="1"/>
    <col min="11525" max="11525" width="26.140625" style="143" customWidth="1"/>
    <col min="11526" max="11526" width="26.85546875" style="143" customWidth="1"/>
    <col min="11527" max="11527" width="34.5703125" style="143" customWidth="1"/>
    <col min="11528" max="11528" width="23.28515625" style="143" customWidth="1"/>
    <col min="11529" max="11529" width="25.140625" style="143" customWidth="1"/>
    <col min="11530" max="11530" width="24.85546875" style="143" customWidth="1"/>
    <col min="11531" max="11531" width="22" style="143" customWidth="1"/>
    <col min="11532" max="11532" width="25.7109375" style="143" customWidth="1"/>
    <col min="11533" max="11533" width="26.140625" style="143" customWidth="1"/>
    <col min="11534" max="11534" width="27.5703125" style="143" customWidth="1"/>
    <col min="11535" max="11535" width="27.140625" style="143" customWidth="1"/>
    <col min="11536" max="11536" width="32.85546875" style="143" customWidth="1"/>
    <col min="11537" max="11537" width="22.42578125" style="143" customWidth="1"/>
    <col min="11538" max="11538" width="28.140625" style="143" customWidth="1"/>
    <col min="11539" max="11539" width="52.42578125" style="143" customWidth="1"/>
    <col min="11540" max="11540" width="32.42578125" style="143" customWidth="1"/>
    <col min="11541" max="11541" width="24.5703125" style="143" customWidth="1"/>
    <col min="11542" max="11542" width="35" style="143" customWidth="1"/>
    <col min="11543" max="11543" width="35.140625" style="143" customWidth="1"/>
    <col min="11544" max="11544" width="41.140625" style="143" customWidth="1"/>
    <col min="11545" max="11545" width="16.42578125" style="143" customWidth="1"/>
    <col min="11546" max="11546" width="21.42578125" style="143" customWidth="1"/>
    <col min="11547" max="11547" width="31.42578125" style="143" customWidth="1"/>
    <col min="11548" max="11548" width="18.140625" style="143" customWidth="1"/>
    <col min="11549" max="11776" width="9.140625" style="143"/>
    <col min="11777" max="11777" width="9.28515625" style="143" customWidth="1"/>
    <col min="11778" max="11778" width="12.85546875" style="143" customWidth="1"/>
    <col min="11779" max="11779" width="167.42578125" style="143" customWidth="1"/>
    <col min="11780" max="11780" width="27.85546875" style="143" customWidth="1"/>
    <col min="11781" max="11781" width="26.140625" style="143" customWidth="1"/>
    <col min="11782" max="11782" width="26.85546875" style="143" customWidth="1"/>
    <col min="11783" max="11783" width="34.5703125" style="143" customWidth="1"/>
    <col min="11784" max="11784" width="23.28515625" style="143" customWidth="1"/>
    <col min="11785" max="11785" width="25.140625" style="143" customWidth="1"/>
    <col min="11786" max="11786" width="24.85546875" style="143" customWidth="1"/>
    <col min="11787" max="11787" width="22" style="143" customWidth="1"/>
    <col min="11788" max="11788" width="25.7109375" style="143" customWidth="1"/>
    <col min="11789" max="11789" width="26.140625" style="143" customWidth="1"/>
    <col min="11790" max="11790" width="27.5703125" style="143" customWidth="1"/>
    <col min="11791" max="11791" width="27.140625" style="143" customWidth="1"/>
    <col min="11792" max="11792" width="32.85546875" style="143" customWidth="1"/>
    <col min="11793" max="11793" width="22.42578125" style="143" customWidth="1"/>
    <col min="11794" max="11794" width="28.140625" style="143" customWidth="1"/>
    <col min="11795" max="11795" width="52.42578125" style="143" customWidth="1"/>
    <col min="11796" max="11796" width="32.42578125" style="143" customWidth="1"/>
    <col min="11797" max="11797" width="24.5703125" style="143" customWidth="1"/>
    <col min="11798" max="11798" width="35" style="143" customWidth="1"/>
    <col min="11799" max="11799" width="35.140625" style="143" customWidth="1"/>
    <col min="11800" max="11800" width="41.140625" style="143" customWidth="1"/>
    <col min="11801" max="11801" width="16.42578125" style="143" customWidth="1"/>
    <col min="11802" max="11802" width="21.42578125" style="143" customWidth="1"/>
    <col min="11803" max="11803" width="31.42578125" style="143" customWidth="1"/>
    <col min="11804" max="11804" width="18.140625" style="143" customWidth="1"/>
    <col min="11805" max="12032" width="9.140625" style="143"/>
    <col min="12033" max="12033" width="9.28515625" style="143" customWidth="1"/>
    <col min="12034" max="12034" width="12.85546875" style="143" customWidth="1"/>
    <col min="12035" max="12035" width="167.42578125" style="143" customWidth="1"/>
    <col min="12036" max="12036" width="27.85546875" style="143" customWidth="1"/>
    <col min="12037" max="12037" width="26.140625" style="143" customWidth="1"/>
    <col min="12038" max="12038" width="26.85546875" style="143" customWidth="1"/>
    <col min="12039" max="12039" width="34.5703125" style="143" customWidth="1"/>
    <col min="12040" max="12040" width="23.28515625" style="143" customWidth="1"/>
    <col min="12041" max="12041" width="25.140625" style="143" customWidth="1"/>
    <col min="12042" max="12042" width="24.85546875" style="143" customWidth="1"/>
    <col min="12043" max="12043" width="22" style="143" customWidth="1"/>
    <col min="12044" max="12044" width="25.7109375" style="143" customWidth="1"/>
    <col min="12045" max="12045" width="26.140625" style="143" customWidth="1"/>
    <col min="12046" max="12046" width="27.5703125" style="143" customWidth="1"/>
    <col min="12047" max="12047" width="27.140625" style="143" customWidth="1"/>
    <col min="12048" max="12048" width="32.85546875" style="143" customWidth="1"/>
    <col min="12049" max="12049" width="22.42578125" style="143" customWidth="1"/>
    <col min="12050" max="12050" width="28.140625" style="143" customWidth="1"/>
    <col min="12051" max="12051" width="52.42578125" style="143" customWidth="1"/>
    <col min="12052" max="12052" width="32.42578125" style="143" customWidth="1"/>
    <col min="12053" max="12053" width="24.5703125" style="143" customWidth="1"/>
    <col min="12054" max="12054" width="35" style="143" customWidth="1"/>
    <col min="12055" max="12055" width="35.140625" style="143" customWidth="1"/>
    <col min="12056" max="12056" width="41.140625" style="143" customWidth="1"/>
    <col min="12057" max="12057" width="16.42578125" style="143" customWidth="1"/>
    <col min="12058" max="12058" width="21.42578125" style="143" customWidth="1"/>
    <col min="12059" max="12059" width="31.42578125" style="143" customWidth="1"/>
    <col min="12060" max="12060" width="18.140625" style="143" customWidth="1"/>
    <col min="12061" max="12288" width="9.140625" style="143"/>
    <col min="12289" max="12289" width="9.28515625" style="143" customWidth="1"/>
    <col min="12290" max="12290" width="12.85546875" style="143" customWidth="1"/>
    <col min="12291" max="12291" width="167.42578125" style="143" customWidth="1"/>
    <col min="12292" max="12292" width="27.85546875" style="143" customWidth="1"/>
    <col min="12293" max="12293" width="26.140625" style="143" customWidth="1"/>
    <col min="12294" max="12294" width="26.85546875" style="143" customWidth="1"/>
    <col min="12295" max="12295" width="34.5703125" style="143" customWidth="1"/>
    <col min="12296" max="12296" width="23.28515625" style="143" customWidth="1"/>
    <col min="12297" max="12297" width="25.140625" style="143" customWidth="1"/>
    <col min="12298" max="12298" width="24.85546875" style="143" customWidth="1"/>
    <col min="12299" max="12299" width="22" style="143" customWidth="1"/>
    <col min="12300" max="12300" width="25.7109375" style="143" customWidth="1"/>
    <col min="12301" max="12301" width="26.140625" style="143" customWidth="1"/>
    <col min="12302" max="12302" width="27.5703125" style="143" customWidth="1"/>
    <col min="12303" max="12303" width="27.140625" style="143" customWidth="1"/>
    <col min="12304" max="12304" width="32.85546875" style="143" customWidth="1"/>
    <col min="12305" max="12305" width="22.42578125" style="143" customWidth="1"/>
    <col min="12306" max="12306" width="28.140625" style="143" customWidth="1"/>
    <col min="12307" max="12307" width="52.42578125" style="143" customWidth="1"/>
    <col min="12308" max="12308" width="32.42578125" style="143" customWidth="1"/>
    <col min="12309" max="12309" width="24.5703125" style="143" customWidth="1"/>
    <col min="12310" max="12310" width="35" style="143" customWidth="1"/>
    <col min="12311" max="12311" width="35.140625" style="143" customWidth="1"/>
    <col min="12312" max="12312" width="41.140625" style="143" customWidth="1"/>
    <col min="12313" max="12313" width="16.42578125" style="143" customWidth="1"/>
    <col min="12314" max="12314" width="21.42578125" style="143" customWidth="1"/>
    <col min="12315" max="12315" width="31.42578125" style="143" customWidth="1"/>
    <col min="12316" max="12316" width="18.140625" style="143" customWidth="1"/>
    <col min="12317" max="12544" width="9.140625" style="143"/>
    <col min="12545" max="12545" width="9.28515625" style="143" customWidth="1"/>
    <col min="12546" max="12546" width="12.85546875" style="143" customWidth="1"/>
    <col min="12547" max="12547" width="167.42578125" style="143" customWidth="1"/>
    <col min="12548" max="12548" width="27.85546875" style="143" customWidth="1"/>
    <col min="12549" max="12549" width="26.140625" style="143" customWidth="1"/>
    <col min="12550" max="12550" width="26.85546875" style="143" customWidth="1"/>
    <col min="12551" max="12551" width="34.5703125" style="143" customWidth="1"/>
    <col min="12552" max="12552" width="23.28515625" style="143" customWidth="1"/>
    <col min="12553" max="12553" width="25.140625" style="143" customWidth="1"/>
    <col min="12554" max="12554" width="24.85546875" style="143" customWidth="1"/>
    <col min="12555" max="12555" width="22" style="143" customWidth="1"/>
    <col min="12556" max="12556" width="25.7109375" style="143" customWidth="1"/>
    <col min="12557" max="12557" width="26.140625" style="143" customWidth="1"/>
    <col min="12558" max="12558" width="27.5703125" style="143" customWidth="1"/>
    <col min="12559" max="12559" width="27.140625" style="143" customWidth="1"/>
    <col min="12560" max="12560" width="32.85546875" style="143" customWidth="1"/>
    <col min="12561" max="12561" width="22.42578125" style="143" customWidth="1"/>
    <col min="12562" max="12562" width="28.140625" style="143" customWidth="1"/>
    <col min="12563" max="12563" width="52.42578125" style="143" customWidth="1"/>
    <col min="12564" max="12564" width="32.42578125" style="143" customWidth="1"/>
    <col min="12565" max="12565" width="24.5703125" style="143" customWidth="1"/>
    <col min="12566" max="12566" width="35" style="143" customWidth="1"/>
    <col min="12567" max="12567" width="35.140625" style="143" customWidth="1"/>
    <col min="12568" max="12568" width="41.140625" style="143" customWidth="1"/>
    <col min="12569" max="12569" width="16.42578125" style="143" customWidth="1"/>
    <col min="12570" max="12570" width="21.42578125" style="143" customWidth="1"/>
    <col min="12571" max="12571" width="31.42578125" style="143" customWidth="1"/>
    <col min="12572" max="12572" width="18.140625" style="143" customWidth="1"/>
    <col min="12573" max="12800" width="9.140625" style="143"/>
    <col min="12801" max="12801" width="9.28515625" style="143" customWidth="1"/>
    <col min="12802" max="12802" width="12.85546875" style="143" customWidth="1"/>
    <col min="12803" max="12803" width="167.42578125" style="143" customWidth="1"/>
    <col min="12804" max="12804" width="27.85546875" style="143" customWidth="1"/>
    <col min="12805" max="12805" width="26.140625" style="143" customWidth="1"/>
    <col min="12806" max="12806" width="26.85546875" style="143" customWidth="1"/>
    <col min="12807" max="12807" width="34.5703125" style="143" customWidth="1"/>
    <col min="12808" max="12808" width="23.28515625" style="143" customWidth="1"/>
    <col min="12809" max="12809" width="25.140625" style="143" customWidth="1"/>
    <col min="12810" max="12810" width="24.85546875" style="143" customWidth="1"/>
    <col min="12811" max="12811" width="22" style="143" customWidth="1"/>
    <col min="12812" max="12812" width="25.7109375" style="143" customWidth="1"/>
    <col min="12813" max="12813" width="26.140625" style="143" customWidth="1"/>
    <col min="12814" max="12814" width="27.5703125" style="143" customWidth="1"/>
    <col min="12815" max="12815" width="27.140625" style="143" customWidth="1"/>
    <col min="12816" max="12816" width="32.85546875" style="143" customWidth="1"/>
    <col min="12817" max="12817" width="22.42578125" style="143" customWidth="1"/>
    <col min="12818" max="12818" width="28.140625" style="143" customWidth="1"/>
    <col min="12819" max="12819" width="52.42578125" style="143" customWidth="1"/>
    <col min="12820" max="12820" width="32.42578125" style="143" customWidth="1"/>
    <col min="12821" max="12821" width="24.5703125" style="143" customWidth="1"/>
    <col min="12822" max="12822" width="35" style="143" customWidth="1"/>
    <col min="12823" max="12823" width="35.140625" style="143" customWidth="1"/>
    <col min="12824" max="12824" width="41.140625" style="143" customWidth="1"/>
    <col min="12825" max="12825" width="16.42578125" style="143" customWidth="1"/>
    <col min="12826" max="12826" width="21.42578125" style="143" customWidth="1"/>
    <col min="12827" max="12827" width="31.42578125" style="143" customWidth="1"/>
    <col min="12828" max="12828" width="18.140625" style="143" customWidth="1"/>
    <col min="12829" max="13056" width="9.140625" style="143"/>
    <col min="13057" max="13057" width="9.28515625" style="143" customWidth="1"/>
    <col min="13058" max="13058" width="12.85546875" style="143" customWidth="1"/>
    <col min="13059" max="13059" width="167.42578125" style="143" customWidth="1"/>
    <col min="13060" max="13060" width="27.85546875" style="143" customWidth="1"/>
    <col min="13061" max="13061" width="26.140625" style="143" customWidth="1"/>
    <col min="13062" max="13062" width="26.85546875" style="143" customWidth="1"/>
    <col min="13063" max="13063" width="34.5703125" style="143" customWidth="1"/>
    <col min="13064" max="13064" width="23.28515625" style="143" customWidth="1"/>
    <col min="13065" max="13065" width="25.140625" style="143" customWidth="1"/>
    <col min="13066" max="13066" width="24.85546875" style="143" customWidth="1"/>
    <col min="13067" max="13067" width="22" style="143" customWidth="1"/>
    <col min="13068" max="13068" width="25.7109375" style="143" customWidth="1"/>
    <col min="13069" max="13069" width="26.140625" style="143" customWidth="1"/>
    <col min="13070" max="13070" width="27.5703125" style="143" customWidth="1"/>
    <col min="13071" max="13071" width="27.140625" style="143" customWidth="1"/>
    <col min="13072" max="13072" width="32.85546875" style="143" customWidth="1"/>
    <col min="13073" max="13073" width="22.42578125" style="143" customWidth="1"/>
    <col min="13074" max="13074" width="28.140625" style="143" customWidth="1"/>
    <col min="13075" max="13075" width="52.42578125" style="143" customWidth="1"/>
    <col min="13076" max="13076" width="32.42578125" style="143" customWidth="1"/>
    <col min="13077" max="13077" width="24.5703125" style="143" customWidth="1"/>
    <col min="13078" max="13078" width="35" style="143" customWidth="1"/>
    <col min="13079" max="13079" width="35.140625" style="143" customWidth="1"/>
    <col min="13080" max="13080" width="41.140625" style="143" customWidth="1"/>
    <col min="13081" max="13081" width="16.42578125" style="143" customWidth="1"/>
    <col min="13082" max="13082" width="21.42578125" style="143" customWidth="1"/>
    <col min="13083" max="13083" width="31.42578125" style="143" customWidth="1"/>
    <col min="13084" max="13084" width="18.140625" style="143" customWidth="1"/>
    <col min="13085" max="13312" width="9.140625" style="143"/>
    <col min="13313" max="13313" width="9.28515625" style="143" customWidth="1"/>
    <col min="13314" max="13314" width="12.85546875" style="143" customWidth="1"/>
    <col min="13315" max="13315" width="167.42578125" style="143" customWidth="1"/>
    <col min="13316" max="13316" width="27.85546875" style="143" customWidth="1"/>
    <col min="13317" max="13317" width="26.140625" style="143" customWidth="1"/>
    <col min="13318" max="13318" width="26.85546875" style="143" customWidth="1"/>
    <col min="13319" max="13319" width="34.5703125" style="143" customWidth="1"/>
    <col min="13320" max="13320" width="23.28515625" style="143" customWidth="1"/>
    <col min="13321" max="13321" width="25.140625" style="143" customWidth="1"/>
    <col min="13322" max="13322" width="24.85546875" style="143" customWidth="1"/>
    <col min="13323" max="13323" width="22" style="143" customWidth="1"/>
    <col min="13324" max="13324" width="25.7109375" style="143" customWidth="1"/>
    <col min="13325" max="13325" width="26.140625" style="143" customWidth="1"/>
    <col min="13326" max="13326" width="27.5703125" style="143" customWidth="1"/>
    <col min="13327" max="13327" width="27.140625" style="143" customWidth="1"/>
    <col min="13328" max="13328" width="32.85546875" style="143" customWidth="1"/>
    <col min="13329" max="13329" width="22.42578125" style="143" customWidth="1"/>
    <col min="13330" max="13330" width="28.140625" style="143" customWidth="1"/>
    <col min="13331" max="13331" width="52.42578125" style="143" customWidth="1"/>
    <col min="13332" max="13332" width="32.42578125" style="143" customWidth="1"/>
    <col min="13333" max="13333" width="24.5703125" style="143" customWidth="1"/>
    <col min="13334" max="13334" width="35" style="143" customWidth="1"/>
    <col min="13335" max="13335" width="35.140625" style="143" customWidth="1"/>
    <col min="13336" max="13336" width="41.140625" style="143" customWidth="1"/>
    <col min="13337" max="13337" width="16.42578125" style="143" customWidth="1"/>
    <col min="13338" max="13338" width="21.42578125" style="143" customWidth="1"/>
    <col min="13339" max="13339" width="31.42578125" style="143" customWidth="1"/>
    <col min="13340" max="13340" width="18.140625" style="143" customWidth="1"/>
    <col min="13341" max="13568" width="9.140625" style="143"/>
    <col min="13569" max="13569" width="9.28515625" style="143" customWidth="1"/>
    <col min="13570" max="13570" width="12.85546875" style="143" customWidth="1"/>
    <col min="13571" max="13571" width="167.42578125" style="143" customWidth="1"/>
    <col min="13572" max="13572" width="27.85546875" style="143" customWidth="1"/>
    <col min="13573" max="13573" width="26.140625" style="143" customWidth="1"/>
    <col min="13574" max="13574" width="26.85546875" style="143" customWidth="1"/>
    <col min="13575" max="13575" width="34.5703125" style="143" customWidth="1"/>
    <col min="13576" max="13576" width="23.28515625" style="143" customWidth="1"/>
    <col min="13577" max="13577" width="25.140625" style="143" customWidth="1"/>
    <col min="13578" max="13578" width="24.85546875" style="143" customWidth="1"/>
    <col min="13579" max="13579" width="22" style="143" customWidth="1"/>
    <col min="13580" max="13580" width="25.7109375" style="143" customWidth="1"/>
    <col min="13581" max="13581" width="26.140625" style="143" customWidth="1"/>
    <col min="13582" max="13582" width="27.5703125" style="143" customWidth="1"/>
    <col min="13583" max="13583" width="27.140625" style="143" customWidth="1"/>
    <col min="13584" max="13584" width="32.85546875" style="143" customWidth="1"/>
    <col min="13585" max="13585" width="22.42578125" style="143" customWidth="1"/>
    <col min="13586" max="13586" width="28.140625" style="143" customWidth="1"/>
    <col min="13587" max="13587" width="52.42578125" style="143" customWidth="1"/>
    <col min="13588" max="13588" width="32.42578125" style="143" customWidth="1"/>
    <col min="13589" max="13589" width="24.5703125" style="143" customWidth="1"/>
    <col min="13590" max="13590" width="35" style="143" customWidth="1"/>
    <col min="13591" max="13591" width="35.140625" style="143" customWidth="1"/>
    <col min="13592" max="13592" width="41.140625" style="143" customWidth="1"/>
    <col min="13593" max="13593" width="16.42578125" style="143" customWidth="1"/>
    <col min="13594" max="13594" width="21.42578125" style="143" customWidth="1"/>
    <col min="13595" max="13595" width="31.42578125" style="143" customWidth="1"/>
    <col min="13596" max="13596" width="18.140625" style="143" customWidth="1"/>
    <col min="13597" max="13824" width="9.140625" style="143"/>
    <col min="13825" max="13825" width="9.28515625" style="143" customWidth="1"/>
    <col min="13826" max="13826" width="12.85546875" style="143" customWidth="1"/>
    <col min="13827" max="13827" width="167.42578125" style="143" customWidth="1"/>
    <col min="13828" max="13828" width="27.85546875" style="143" customWidth="1"/>
    <col min="13829" max="13829" width="26.140625" style="143" customWidth="1"/>
    <col min="13830" max="13830" width="26.85546875" style="143" customWidth="1"/>
    <col min="13831" max="13831" width="34.5703125" style="143" customWidth="1"/>
    <col min="13832" max="13832" width="23.28515625" style="143" customWidth="1"/>
    <col min="13833" max="13833" width="25.140625" style="143" customWidth="1"/>
    <col min="13834" max="13834" width="24.85546875" style="143" customWidth="1"/>
    <col min="13835" max="13835" width="22" style="143" customWidth="1"/>
    <col min="13836" max="13836" width="25.7109375" style="143" customWidth="1"/>
    <col min="13837" max="13837" width="26.140625" style="143" customWidth="1"/>
    <col min="13838" max="13838" width="27.5703125" style="143" customWidth="1"/>
    <col min="13839" max="13839" width="27.140625" style="143" customWidth="1"/>
    <col min="13840" max="13840" width="32.85546875" style="143" customWidth="1"/>
    <col min="13841" max="13841" width="22.42578125" style="143" customWidth="1"/>
    <col min="13842" max="13842" width="28.140625" style="143" customWidth="1"/>
    <col min="13843" max="13843" width="52.42578125" style="143" customWidth="1"/>
    <col min="13844" max="13844" width="32.42578125" style="143" customWidth="1"/>
    <col min="13845" max="13845" width="24.5703125" style="143" customWidth="1"/>
    <col min="13846" max="13846" width="35" style="143" customWidth="1"/>
    <col min="13847" max="13847" width="35.140625" style="143" customWidth="1"/>
    <col min="13848" max="13848" width="41.140625" style="143" customWidth="1"/>
    <col min="13849" max="13849" width="16.42578125" style="143" customWidth="1"/>
    <col min="13850" max="13850" width="21.42578125" style="143" customWidth="1"/>
    <col min="13851" max="13851" width="31.42578125" style="143" customWidth="1"/>
    <col min="13852" max="13852" width="18.140625" style="143" customWidth="1"/>
    <col min="13853" max="14080" width="9.140625" style="143"/>
    <col min="14081" max="14081" width="9.28515625" style="143" customWidth="1"/>
    <col min="14082" max="14082" width="12.85546875" style="143" customWidth="1"/>
    <col min="14083" max="14083" width="167.42578125" style="143" customWidth="1"/>
    <col min="14084" max="14084" width="27.85546875" style="143" customWidth="1"/>
    <col min="14085" max="14085" width="26.140625" style="143" customWidth="1"/>
    <col min="14086" max="14086" width="26.85546875" style="143" customWidth="1"/>
    <col min="14087" max="14087" width="34.5703125" style="143" customWidth="1"/>
    <col min="14088" max="14088" width="23.28515625" style="143" customWidth="1"/>
    <col min="14089" max="14089" width="25.140625" style="143" customWidth="1"/>
    <col min="14090" max="14090" width="24.85546875" style="143" customWidth="1"/>
    <col min="14091" max="14091" width="22" style="143" customWidth="1"/>
    <col min="14092" max="14092" width="25.7109375" style="143" customWidth="1"/>
    <col min="14093" max="14093" width="26.140625" style="143" customWidth="1"/>
    <col min="14094" max="14094" width="27.5703125" style="143" customWidth="1"/>
    <col min="14095" max="14095" width="27.140625" style="143" customWidth="1"/>
    <col min="14096" max="14096" width="32.85546875" style="143" customWidth="1"/>
    <col min="14097" max="14097" width="22.42578125" style="143" customWidth="1"/>
    <col min="14098" max="14098" width="28.140625" style="143" customWidth="1"/>
    <col min="14099" max="14099" width="52.42578125" style="143" customWidth="1"/>
    <col min="14100" max="14100" width="32.42578125" style="143" customWidth="1"/>
    <col min="14101" max="14101" width="24.5703125" style="143" customWidth="1"/>
    <col min="14102" max="14102" width="35" style="143" customWidth="1"/>
    <col min="14103" max="14103" width="35.140625" style="143" customWidth="1"/>
    <col min="14104" max="14104" width="41.140625" style="143" customWidth="1"/>
    <col min="14105" max="14105" width="16.42578125" style="143" customWidth="1"/>
    <col min="14106" max="14106" width="21.42578125" style="143" customWidth="1"/>
    <col min="14107" max="14107" width="31.42578125" style="143" customWidth="1"/>
    <col min="14108" max="14108" width="18.140625" style="143" customWidth="1"/>
    <col min="14109" max="14336" width="9.140625" style="143"/>
    <col min="14337" max="14337" width="9.28515625" style="143" customWidth="1"/>
    <col min="14338" max="14338" width="12.85546875" style="143" customWidth="1"/>
    <col min="14339" max="14339" width="167.42578125" style="143" customWidth="1"/>
    <col min="14340" max="14340" width="27.85546875" style="143" customWidth="1"/>
    <col min="14341" max="14341" width="26.140625" style="143" customWidth="1"/>
    <col min="14342" max="14342" width="26.85546875" style="143" customWidth="1"/>
    <col min="14343" max="14343" width="34.5703125" style="143" customWidth="1"/>
    <col min="14344" max="14344" width="23.28515625" style="143" customWidth="1"/>
    <col min="14345" max="14345" width="25.140625" style="143" customWidth="1"/>
    <col min="14346" max="14346" width="24.85546875" style="143" customWidth="1"/>
    <col min="14347" max="14347" width="22" style="143" customWidth="1"/>
    <col min="14348" max="14348" width="25.7109375" style="143" customWidth="1"/>
    <col min="14349" max="14349" width="26.140625" style="143" customWidth="1"/>
    <col min="14350" max="14350" width="27.5703125" style="143" customWidth="1"/>
    <col min="14351" max="14351" width="27.140625" style="143" customWidth="1"/>
    <col min="14352" max="14352" width="32.85546875" style="143" customWidth="1"/>
    <col min="14353" max="14353" width="22.42578125" style="143" customWidth="1"/>
    <col min="14354" max="14354" width="28.140625" style="143" customWidth="1"/>
    <col min="14355" max="14355" width="52.42578125" style="143" customWidth="1"/>
    <col min="14356" max="14356" width="32.42578125" style="143" customWidth="1"/>
    <col min="14357" max="14357" width="24.5703125" style="143" customWidth="1"/>
    <col min="14358" max="14358" width="35" style="143" customWidth="1"/>
    <col min="14359" max="14359" width="35.140625" style="143" customWidth="1"/>
    <col min="14360" max="14360" width="41.140625" style="143" customWidth="1"/>
    <col min="14361" max="14361" width="16.42578125" style="143" customWidth="1"/>
    <col min="14362" max="14362" width="21.42578125" style="143" customWidth="1"/>
    <col min="14363" max="14363" width="31.42578125" style="143" customWidth="1"/>
    <col min="14364" max="14364" width="18.140625" style="143" customWidth="1"/>
    <col min="14365" max="14592" width="9.140625" style="143"/>
    <col min="14593" max="14593" width="9.28515625" style="143" customWidth="1"/>
    <col min="14594" max="14594" width="12.85546875" style="143" customWidth="1"/>
    <col min="14595" max="14595" width="167.42578125" style="143" customWidth="1"/>
    <col min="14596" max="14596" width="27.85546875" style="143" customWidth="1"/>
    <col min="14597" max="14597" width="26.140625" style="143" customWidth="1"/>
    <col min="14598" max="14598" width="26.85546875" style="143" customWidth="1"/>
    <col min="14599" max="14599" width="34.5703125" style="143" customWidth="1"/>
    <col min="14600" max="14600" width="23.28515625" style="143" customWidth="1"/>
    <col min="14601" max="14601" width="25.140625" style="143" customWidth="1"/>
    <col min="14602" max="14602" width="24.85546875" style="143" customWidth="1"/>
    <col min="14603" max="14603" width="22" style="143" customWidth="1"/>
    <col min="14604" max="14604" width="25.7109375" style="143" customWidth="1"/>
    <col min="14605" max="14605" width="26.140625" style="143" customWidth="1"/>
    <col min="14606" max="14606" width="27.5703125" style="143" customWidth="1"/>
    <col min="14607" max="14607" width="27.140625" style="143" customWidth="1"/>
    <col min="14608" max="14608" width="32.85546875" style="143" customWidth="1"/>
    <col min="14609" max="14609" width="22.42578125" style="143" customWidth="1"/>
    <col min="14610" max="14610" width="28.140625" style="143" customWidth="1"/>
    <col min="14611" max="14611" width="52.42578125" style="143" customWidth="1"/>
    <col min="14612" max="14612" width="32.42578125" style="143" customWidth="1"/>
    <col min="14613" max="14613" width="24.5703125" style="143" customWidth="1"/>
    <col min="14614" max="14614" width="35" style="143" customWidth="1"/>
    <col min="14615" max="14615" width="35.140625" style="143" customWidth="1"/>
    <col min="14616" max="14616" width="41.140625" style="143" customWidth="1"/>
    <col min="14617" max="14617" width="16.42578125" style="143" customWidth="1"/>
    <col min="14618" max="14618" width="21.42578125" style="143" customWidth="1"/>
    <col min="14619" max="14619" width="31.42578125" style="143" customWidth="1"/>
    <col min="14620" max="14620" width="18.140625" style="143" customWidth="1"/>
    <col min="14621" max="14848" width="9.140625" style="143"/>
    <col min="14849" max="14849" width="9.28515625" style="143" customWidth="1"/>
    <col min="14850" max="14850" width="12.85546875" style="143" customWidth="1"/>
    <col min="14851" max="14851" width="167.42578125" style="143" customWidth="1"/>
    <col min="14852" max="14852" width="27.85546875" style="143" customWidth="1"/>
    <col min="14853" max="14853" width="26.140625" style="143" customWidth="1"/>
    <col min="14854" max="14854" width="26.85546875" style="143" customWidth="1"/>
    <col min="14855" max="14855" width="34.5703125" style="143" customWidth="1"/>
    <col min="14856" max="14856" width="23.28515625" style="143" customWidth="1"/>
    <col min="14857" max="14857" width="25.140625" style="143" customWidth="1"/>
    <col min="14858" max="14858" width="24.85546875" style="143" customWidth="1"/>
    <col min="14859" max="14859" width="22" style="143" customWidth="1"/>
    <col min="14860" max="14860" width="25.7109375" style="143" customWidth="1"/>
    <col min="14861" max="14861" width="26.140625" style="143" customWidth="1"/>
    <col min="14862" max="14862" width="27.5703125" style="143" customWidth="1"/>
    <col min="14863" max="14863" width="27.140625" style="143" customWidth="1"/>
    <col min="14864" max="14864" width="32.85546875" style="143" customWidth="1"/>
    <col min="14865" max="14865" width="22.42578125" style="143" customWidth="1"/>
    <col min="14866" max="14866" width="28.140625" style="143" customWidth="1"/>
    <col min="14867" max="14867" width="52.42578125" style="143" customWidth="1"/>
    <col min="14868" max="14868" width="32.42578125" style="143" customWidth="1"/>
    <col min="14869" max="14869" width="24.5703125" style="143" customWidth="1"/>
    <col min="14870" max="14870" width="35" style="143" customWidth="1"/>
    <col min="14871" max="14871" width="35.140625" style="143" customWidth="1"/>
    <col min="14872" max="14872" width="41.140625" style="143" customWidth="1"/>
    <col min="14873" max="14873" width="16.42578125" style="143" customWidth="1"/>
    <col min="14874" max="14874" width="21.42578125" style="143" customWidth="1"/>
    <col min="14875" max="14875" width="31.42578125" style="143" customWidth="1"/>
    <col min="14876" max="14876" width="18.140625" style="143" customWidth="1"/>
    <col min="14877" max="15104" width="9.140625" style="143"/>
    <col min="15105" max="15105" width="9.28515625" style="143" customWidth="1"/>
    <col min="15106" max="15106" width="12.85546875" style="143" customWidth="1"/>
    <col min="15107" max="15107" width="167.42578125" style="143" customWidth="1"/>
    <col min="15108" max="15108" width="27.85546875" style="143" customWidth="1"/>
    <col min="15109" max="15109" width="26.140625" style="143" customWidth="1"/>
    <col min="15110" max="15110" width="26.85546875" style="143" customWidth="1"/>
    <col min="15111" max="15111" width="34.5703125" style="143" customWidth="1"/>
    <col min="15112" max="15112" width="23.28515625" style="143" customWidth="1"/>
    <col min="15113" max="15113" width="25.140625" style="143" customWidth="1"/>
    <col min="15114" max="15114" width="24.85546875" style="143" customWidth="1"/>
    <col min="15115" max="15115" width="22" style="143" customWidth="1"/>
    <col min="15116" max="15116" width="25.7109375" style="143" customWidth="1"/>
    <col min="15117" max="15117" width="26.140625" style="143" customWidth="1"/>
    <col min="15118" max="15118" width="27.5703125" style="143" customWidth="1"/>
    <col min="15119" max="15119" width="27.140625" style="143" customWidth="1"/>
    <col min="15120" max="15120" width="32.85546875" style="143" customWidth="1"/>
    <col min="15121" max="15121" width="22.42578125" style="143" customWidth="1"/>
    <col min="15122" max="15122" width="28.140625" style="143" customWidth="1"/>
    <col min="15123" max="15123" width="52.42578125" style="143" customWidth="1"/>
    <col min="15124" max="15124" width="32.42578125" style="143" customWidth="1"/>
    <col min="15125" max="15125" width="24.5703125" style="143" customWidth="1"/>
    <col min="15126" max="15126" width="35" style="143" customWidth="1"/>
    <col min="15127" max="15127" width="35.140625" style="143" customWidth="1"/>
    <col min="15128" max="15128" width="41.140625" style="143" customWidth="1"/>
    <col min="15129" max="15129" width="16.42578125" style="143" customWidth="1"/>
    <col min="15130" max="15130" width="21.42578125" style="143" customWidth="1"/>
    <col min="15131" max="15131" width="31.42578125" style="143" customWidth="1"/>
    <col min="15132" max="15132" width="18.140625" style="143" customWidth="1"/>
    <col min="15133" max="15360" width="9.140625" style="143"/>
    <col min="15361" max="15361" width="9.28515625" style="143" customWidth="1"/>
    <col min="15362" max="15362" width="12.85546875" style="143" customWidth="1"/>
    <col min="15363" max="15363" width="167.42578125" style="143" customWidth="1"/>
    <col min="15364" max="15364" width="27.85546875" style="143" customWidth="1"/>
    <col min="15365" max="15365" width="26.140625" style="143" customWidth="1"/>
    <col min="15366" max="15366" width="26.85546875" style="143" customWidth="1"/>
    <col min="15367" max="15367" width="34.5703125" style="143" customWidth="1"/>
    <col min="15368" max="15368" width="23.28515625" style="143" customWidth="1"/>
    <col min="15369" max="15369" width="25.140625" style="143" customWidth="1"/>
    <col min="15370" max="15370" width="24.85546875" style="143" customWidth="1"/>
    <col min="15371" max="15371" width="22" style="143" customWidth="1"/>
    <col min="15372" max="15372" width="25.7109375" style="143" customWidth="1"/>
    <col min="15373" max="15373" width="26.140625" style="143" customWidth="1"/>
    <col min="15374" max="15374" width="27.5703125" style="143" customWidth="1"/>
    <col min="15375" max="15375" width="27.140625" style="143" customWidth="1"/>
    <col min="15376" max="15376" width="32.85546875" style="143" customWidth="1"/>
    <col min="15377" max="15377" width="22.42578125" style="143" customWidth="1"/>
    <col min="15378" max="15378" width="28.140625" style="143" customWidth="1"/>
    <col min="15379" max="15379" width="52.42578125" style="143" customWidth="1"/>
    <col min="15380" max="15380" width="32.42578125" style="143" customWidth="1"/>
    <col min="15381" max="15381" width="24.5703125" style="143" customWidth="1"/>
    <col min="15382" max="15382" width="35" style="143" customWidth="1"/>
    <col min="15383" max="15383" width="35.140625" style="143" customWidth="1"/>
    <col min="15384" max="15384" width="41.140625" style="143" customWidth="1"/>
    <col min="15385" max="15385" width="16.42578125" style="143" customWidth="1"/>
    <col min="15386" max="15386" width="21.42578125" style="143" customWidth="1"/>
    <col min="15387" max="15387" width="31.42578125" style="143" customWidth="1"/>
    <col min="15388" max="15388" width="18.140625" style="143" customWidth="1"/>
    <col min="15389" max="15616" width="9.140625" style="143"/>
    <col min="15617" max="15617" width="9.28515625" style="143" customWidth="1"/>
    <col min="15618" max="15618" width="12.85546875" style="143" customWidth="1"/>
    <col min="15619" max="15619" width="167.42578125" style="143" customWidth="1"/>
    <col min="15620" max="15620" width="27.85546875" style="143" customWidth="1"/>
    <col min="15621" max="15621" width="26.140625" style="143" customWidth="1"/>
    <col min="15622" max="15622" width="26.85546875" style="143" customWidth="1"/>
    <col min="15623" max="15623" width="34.5703125" style="143" customWidth="1"/>
    <col min="15624" max="15624" width="23.28515625" style="143" customWidth="1"/>
    <col min="15625" max="15625" width="25.140625" style="143" customWidth="1"/>
    <col min="15626" max="15626" width="24.85546875" style="143" customWidth="1"/>
    <col min="15627" max="15627" width="22" style="143" customWidth="1"/>
    <col min="15628" max="15628" width="25.7109375" style="143" customWidth="1"/>
    <col min="15629" max="15629" width="26.140625" style="143" customWidth="1"/>
    <col min="15630" max="15630" width="27.5703125" style="143" customWidth="1"/>
    <col min="15631" max="15631" width="27.140625" style="143" customWidth="1"/>
    <col min="15632" max="15632" width="32.85546875" style="143" customWidth="1"/>
    <col min="15633" max="15633" width="22.42578125" style="143" customWidth="1"/>
    <col min="15634" max="15634" width="28.140625" style="143" customWidth="1"/>
    <col min="15635" max="15635" width="52.42578125" style="143" customWidth="1"/>
    <col min="15636" max="15636" width="32.42578125" style="143" customWidth="1"/>
    <col min="15637" max="15637" width="24.5703125" style="143" customWidth="1"/>
    <col min="15638" max="15638" width="35" style="143" customWidth="1"/>
    <col min="15639" max="15639" width="35.140625" style="143" customWidth="1"/>
    <col min="15640" max="15640" width="41.140625" style="143" customWidth="1"/>
    <col min="15641" max="15641" width="16.42578125" style="143" customWidth="1"/>
    <col min="15642" max="15642" width="21.42578125" style="143" customWidth="1"/>
    <col min="15643" max="15643" width="31.42578125" style="143" customWidth="1"/>
    <col min="15644" max="15644" width="18.140625" style="143" customWidth="1"/>
    <col min="15645" max="15872" width="9.140625" style="143"/>
    <col min="15873" max="15873" width="9.28515625" style="143" customWidth="1"/>
    <col min="15874" max="15874" width="12.85546875" style="143" customWidth="1"/>
    <col min="15875" max="15875" width="167.42578125" style="143" customWidth="1"/>
    <col min="15876" max="15876" width="27.85546875" style="143" customWidth="1"/>
    <col min="15877" max="15877" width="26.140625" style="143" customWidth="1"/>
    <col min="15878" max="15878" width="26.85546875" style="143" customWidth="1"/>
    <col min="15879" max="15879" width="34.5703125" style="143" customWidth="1"/>
    <col min="15880" max="15880" width="23.28515625" style="143" customWidth="1"/>
    <col min="15881" max="15881" width="25.140625" style="143" customWidth="1"/>
    <col min="15882" max="15882" width="24.85546875" style="143" customWidth="1"/>
    <col min="15883" max="15883" width="22" style="143" customWidth="1"/>
    <col min="15884" max="15884" width="25.7109375" style="143" customWidth="1"/>
    <col min="15885" max="15885" width="26.140625" style="143" customWidth="1"/>
    <col min="15886" max="15886" width="27.5703125" style="143" customWidth="1"/>
    <col min="15887" max="15887" width="27.140625" style="143" customWidth="1"/>
    <col min="15888" max="15888" width="32.85546875" style="143" customWidth="1"/>
    <col min="15889" max="15889" width="22.42578125" style="143" customWidth="1"/>
    <col min="15890" max="15890" width="28.140625" style="143" customWidth="1"/>
    <col min="15891" max="15891" width="52.42578125" style="143" customWidth="1"/>
    <col min="15892" max="15892" width="32.42578125" style="143" customWidth="1"/>
    <col min="15893" max="15893" width="24.5703125" style="143" customWidth="1"/>
    <col min="15894" max="15894" width="35" style="143" customWidth="1"/>
    <col min="15895" max="15895" width="35.140625" style="143" customWidth="1"/>
    <col min="15896" max="15896" width="41.140625" style="143" customWidth="1"/>
    <col min="15897" max="15897" width="16.42578125" style="143" customWidth="1"/>
    <col min="15898" max="15898" width="21.42578125" style="143" customWidth="1"/>
    <col min="15899" max="15899" width="31.42578125" style="143" customWidth="1"/>
    <col min="15900" max="15900" width="18.140625" style="143" customWidth="1"/>
    <col min="15901" max="16128" width="9.140625" style="143"/>
    <col min="16129" max="16129" width="9.28515625" style="143" customWidth="1"/>
    <col min="16130" max="16130" width="12.85546875" style="143" customWidth="1"/>
    <col min="16131" max="16131" width="167.42578125" style="143" customWidth="1"/>
    <col min="16132" max="16132" width="27.85546875" style="143" customWidth="1"/>
    <col min="16133" max="16133" width="26.140625" style="143" customWidth="1"/>
    <col min="16134" max="16134" width="26.85546875" style="143" customWidth="1"/>
    <col min="16135" max="16135" width="34.5703125" style="143" customWidth="1"/>
    <col min="16136" max="16136" width="23.28515625" style="143" customWidth="1"/>
    <col min="16137" max="16137" width="25.140625" style="143" customWidth="1"/>
    <col min="16138" max="16138" width="24.85546875" style="143" customWidth="1"/>
    <col min="16139" max="16139" width="22" style="143" customWidth="1"/>
    <col min="16140" max="16140" width="25.7109375" style="143" customWidth="1"/>
    <col min="16141" max="16141" width="26.140625" style="143" customWidth="1"/>
    <col min="16142" max="16142" width="27.5703125" style="143" customWidth="1"/>
    <col min="16143" max="16143" width="27.140625" style="143" customWidth="1"/>
    <col min="16144" max="16144" width="32.85546875" style="143" customWidth="1"/>
    <col min="16145" max="16145" width="22.42578125" style="143" customWidth="1"/>
    <col min="16146" max="16146" width="28.140625" style="143" customWidth="1"/>
    <col min="16147" max="16147" width="52.42578125" style="143" customWidth="1"/>
    <col min="16148" max="16148" width="32.42578125" style="143" customWidth="1"/>
    <col min="16149" max="16149" width="24.5703125" style="143" customWidth="1"/>
    <col min="16150" max="16150" width="35" style="143" customWidth="1"/>
    <col min="16151" max="16151" width="35.140625" style="143" customWidth="1"/>
    <col min="16152" max="16152" width="41.140625" style="143" customWidth="1"/>
    <col min="16153" max="16153" width="16.42578125" style="143" customWidth="1"/>
    <col min="16154" max="16154" width="21.42578125" style="143" customWidth="1"/>
    <col min="16155" max="16155" width="31.42578125" style="143" customWidth="1"/>
    <col min="16156" max="16156" width="18.140625" style="143" customWidth="1"/>
    <col min="16157" max="16384" width="9.140625" style="143"/>
  </cols>
  <sheetData>
    <row r="1" spans="1:28" s="136" customFormat="1" ht="186.75" customHeight="1" x14ac:dyDescent="0.25">
      <c r="A1" s="373" t="s">
        <v>1870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</row>
    <row r="2" spans="1:28" s="137" customFormat="1" ht="63.75" customHeight="1" x14ac:dyDescent="0.4">
      <c r="B2" s="374" t="s">
        <v>6</v>
      </c>
      <c r="C2" s="374" t="s">
        <v>7</v>
      </c>
      <c r="D2" s="375" t="s">
        <v>8</v>
      </c>
      <c r="E2" s="374" t="s">
        <v>984</v>
      </c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8" t="s">
        <v>9</v>
      </c>
      <c r="R2" s="379"/>
      <c r="S2" s="379"/>
      <c r="T2" s="379"/>
      <c r="U2" s="379"/>
      <c r="V2" s="379"/>
      <c r="W2" s="379"/>
      <c r="X2" s="379"/>
      <c r="Y2" s="379"/>
      <c r="Z2" s="379"/>
      <c r="AA2" s="380"/>
      <c r="AB2" s="381" t="s">
        <v>1719</v>
      </c>
    </row>
    <row r="3" spans="1:28" s="137" customFormat="1" ht="40.5" customHeight="1" x14ac:dyDescent="0.4">
      <c r="B3" s="374"/>
      <c r="C3" s="374"/>
      <c r="D3" s="376"/>
      <c r="E3" s="374" t="s">
        <v>13</v>
      </c>
      <c r="F3" s="374"/>
      <c r="G3" s="374"/>
      <c r="H3" s="374"/>
      <c r="I3" s="374"/>
      <c r="J3" s="374"/>
      <c r="K3" s="382" t="s">
        <v>14</v>
      </c>
      <c r="L3" s="382"/>
      <c r="M3" s="382" t="s">
        <v>15</v>
      </c>
      <c r="N3" s="382" t="s">
        <v>16</v>
      </c>
      <c r="O3" s="382" t="s">
        <v>17</v>
      </c>
      <c r="P3" s="382" t="s">
        <v>18</v>
      </c>
      <c r="Q3" s="372" t="s">
        <v>1720</v>
      </c>
      <c r="R3" s="372" t="s">
        <v>20</v>
      </c>
      <c r="S3" s="372" t="s">
        <v>1721</v>
      </c>
      <c r="T3" s="372" t="s">
        <v>22</v>
      </c>
      <c r="U3" s="372" t="s">
        <v>23</v>
      </c>
      <c r="V3" s="372" t="s">
        <v>24</v>
      </c>
      <c r="W3" s="372" t="s">
        <v>1722</v>
      </c>
      <c r="X3" s="372" t="s">
        <v>1723</v>
      </c>
      <c r="Y3" s="372" t="s">
        <v>27</v>
      </c>
      <c r="Z3" s="372" t="s">
        <v>28</v>
      </c>
      <c r="AA3" s="372" t="s">
        <v>1724</v>
      </c>
      <c r="AB3" s="381"/>
    </row>
    <row r="4" spans="1:28" s="137" customFormat="1" ht="409.6" customHeight="1" x14ac:dyDescent="0.4">
      <c r="B4" s="374"/>
      <c r="C4" s="374"/>
      <c r="D4" s="377"/>
      <c r="E4" s="138" t="s">
        <v>30</v>
      </c>
      <c r="F4" s="138" t="s">
        <v>31</v>
      </c>
      <c r="G4" s="138" t="s">
        <v>32</v>
      </c>
      <c r="H4" s="138" t="s">
        <v>33</v>
      </c>
      <c r="I4" s="138" t="s">
        <v>34</v>
      </c>
      <c r="J4" s="138" t="s">
        <v>35</v>
      </c>
      <c r="K4" s="382"/>
      <c r="L4" s="382"/>
      <c r="M4" s="382"/>
      <c r="N4" s="382"/>
      <c r="O4" s="382"/>
      <c r="P4" s="38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81"/>
    </row>
    <row r="5" spans="1:28" s="139" customFormat="1" ht="39.75" customHeight="1" x14ac:dyDescent="0.25">
      <c r="B5" s="374"/>
      <c r="C5" s="374"/>
      <c r="D5" s="140" t="s">
        <v>36</v>
      </c>
      <c r="E5" s="188" t="s">
        <v>36</v>
      </c>
      <c r="F5" s="188" t="s">
        <v>36</v>
      </c>
      <c r="G5" s="188" t="s">
        <v>36</v>
      </c>
      <c r="H5" s="188" t="s">
        <v>36</v>
      </c>
      <c r="I5" s="188" t="s">
        <v>36</v>
      </c>
      <c r="J5" s="188" t="s">
        <v>36</v>
      </c>
      <c r="K5" s="188" t="s">
        <v>37</v>
      </c>
      <c r="L5" s="188" t="s">
        <v>36</v>
      </c>
      <c r="M5" s="188" t="s">
        <v>36</v>
      </c>
      <c r="N5" s="188" t="s">
        <v>36</v>
      </c>
      <c r="O5" s="188" t="s">
        <v>36</v>
      </c>
      <c r="P5" s="188" t="s">
        <v>36</v>
      </c>
      <c r="Q5" s="188" t="s">
        <v>36</v>
      </c>
      <c r="R5" s="188" t="s">
        <v>36</v>
      </c>
      <c r="S5" s="188" t="s">
        <v>36</v>
      </c>
      <c r="T5" s="188" t="s">
        <v>36</v>
      </c>
      <c r="U5" s="188" t="s">
        <v>36</v>
      </c>
      <c r="V5" s="188" t="s">
        <v>36</v>
      </c>
      <c r="W5" s="188" t="s">
        <v>36</v>
      </c>
      <c r="X5" s="188" t="s">
        <v>36</v>
      </c>
      <c r="Y5" s="188" t="s">
        <v>36</v>
      </c>
      <c r="Z5" s="188" t="s">
        <v>36</v>
      </c>
      <c r="AA5" s="188" t="s">
        <v>36</v>
      </c>
      <c r="AB5" s="381"/>
    </row>
    <row r="6" spans="1:28" s="137" customFormat="1" ht="26.25" x14ac:dyDescent="0.4">
      <c r="B6" s="141">
        <v>1</v>
      </c>
      <c r="C6" s="141">
        <v>2</v>
      </c>
      <c r="D6" s="141">
        <f>C6+1</f>
        <v>3</v>
      </c>
      <c r="E6" s="141">
        <f>D6+1</f>
        <v>4</v>
      </c>
      <c r="F6" s="141">
        <v>5</v>
      </c>
      <c r="G6" s="141">
        <v>6</v>
      </c>
      <c r="H6" s="141">
        <v>7</v>
      </c>
      <c r="I6" s="141">
        <v>8</v>
      </c>
      <c r="J6" s="141">
        <v>9</v>
      </c>
      <c r="K6" s="141">
        <v>10</v>
      </c>
      <c r="L6" s="141">
        <v>11</v>
      </c>
      <c r="M6" s="141">
        <v>12</v>
      </c>
      <c r="N6" s="141">
        <v>13</v>
      </c>
      <c r="O6" s="141">
        <v>14</v>
      </c>
      <c r="P6" s="141">
        <v>15</v>
      </c>
      <c r="Q6" s="141">
        <v>16</v>
      </c>
      <c r="R6" s="141">
        <v>17</v>
      </c>
      <c r="S6" s="141">
        <v>18</v>
      </c>
      <c r="T6" s="141">
        <v>19</v>
      </c>
      <c r="U6" s="141">
        <v>20</v>
      </c>
      <c r="V6" s="141">
        <v>21</v>
      </c>
      <c r="W6" s="141">
        <v>22</v>
      </c>
      <c r="X6" s="141">
        <v>23</v>
      </c>
      <c r="Y6" s="141">
        <v>24</v>
      </c>
      <c r="Z6" s="141">
        <v>25</v>
      </c>
      <c r="AA6" s="141">
        <v>26</v>
      </c>
      <c r="AB6" s="142">
        <v>27</v>
      </c>
    </row>
    <row r="7" spans="1:28" s="6" customFormat="1" ht="35.25" x14ac:dyDescent="0.5">
      <c r="B7" s="253" t="s">
        <v>1714</v>
      </c>
      <c r="C7" s="254"/>
      <c r="D7" s="255">
        <f t="shared" ref="D7:AA7" si="0">D8+D225+D241+D263+D380+D387+D389+D437+D499+D501+D503+D506+D518+D526+D534+D538+D385+D541+D543+D545+D549+D557+D561+D566+D574+D578+D582+D588</f>
        <v>432285276.43000001</v>
      </c>
      <c r="E7" s="255">
        <f t="shared" si="0"/>
        <v>7616920.0200000005</v>
      </c>
      <c r="F7" s="255">
        <f t="shared" si="0"/>
        <v>14907001.949999999</v>
      </c>
      <c r="G7" s="255">
        <f t="shared" si="0"/>
        <v>30429027.839999996</v>
      </c>
      <c r="H7" s="255">
        <f t="shared" si="0"/>
        <v>2811516.11</v>
      </c>
      <c r="I7" s="255">
        <f t="shared" si="0"/>
        <v>12385708.530000001</v>
      </c>
      <c r="J7" s="255">
        <f t="shared" si="0"/>
        <v>88420.66</v>
      </c>
      <c r="K7" s="255">
        <f t="shared" si="0"/>
        <v>64</v>
      </c>
      <c r="L7" s="255">
        <f t="shared" si="0"/>
        <v>75076300.299999997</v>
      </c>
      <c r="M7" s="255">
        <f t="shared" si="0"/>
        <v>135755996.97</v>
      </c>
      <c r="N7" s="255">
        <f t="shared" si="0"/>
        <v>8757059.5</v>
      </c>
      <c r="O7" s="255">
        <f t="shared" si="0"/>
        <v>99100795.840000004</v>
      </c>
      <c r="P7" s="255">
        <f t="shared" si="0"/>
        <v>5872190.6400000006</v>
      </c>
      <c r="Q7" s="255">
        <f t="shared" si="0"/>
        <v>0</v>
      </c>
      <c r="R7" s="255">
        <f t="shared" si="0"/>
        <v>0</v>
      </c>
      <c r="S7" s="255">
        <f t="shared" si="0"/>
        <v>0</v>
      </c>
      <c r="T7" s="255">
        <f t="shared" si="0"/>
        <v>0</v>
      </c>
      <c r="U7" s="255">
        <f t="shared" si="0"/>
        <v>0</v>
      </c>
      <c r="V7" s="255">
        <f t="shared" si="0"/>
        <v>0</v>
      </c>
      <c r="W7" s="255">
        <f t="shared" si="0"/>
        <v>0</v>
      </c>
      <c r="X7" s="255">
        <f t="shared" si="0"/>
        <v>0</v>
      </c>
      <c r="Y7" s="255">
        <f t="shared" si="0"/>
        <v>0</v>
      </c>
      <c r="Z7" s="255">
        <f t="shared" si="0"/>
        <v>139000</v>
      </c>
      <c r="AA7" s="255">
        <f t="shared" si="0"/>
        <v>0</v>
      </c>
      <c r="AB7" s="256" t="s">
        <v>890</v>
      </c>
    </row>
    <row r="8" spans="1:28" s="6" customFormat="1" ht="35.25" customHeight="1" x14ac:dyDescent="0.5">
      <c r="B8" s="253" t="s">
        <v>1044</v>
      </c>
      <c r="C8" s="254"/>
      <c r="D8" s="255">
        <f>SUM(D9:D224)</f>
        <v>177716686.43999994</v>
      </c>
      <c r="E8" s="255">
        <f t="shared" ref="E8:AA8" si="1">SUM(E9:E188)</f>
        <v>4864865.59</v>
      </c>
      <c r="F8" s="255">
        <f t="shared" si="1"/>
        <v>8477050.1899999995</v>
      </c>
      <c r="G8" s="255">
        <f t="shared" si="1"/>
        <v>7863306.7300000004</v>
      </c>
      <c r="H8" s="255">
        <f t="shared" si="1"/>
        <v>763423.15</v>
      </c>
      <c r="I8" s="255">
        <f t="shared" si="1"/>
        <v>5929752.5700000003</v>
      </c>
      <c r="J8" s="255">
        <f t="shared" si="1"/>
        <v>0</v>
      </c>
      <c r="K8" s="257">
        <f t="shared" si="1"/>
        <v>35</v>
      </c>
      <c r="L8" s="255">
        <f t="shared" si="1"/>
        <v>21751037.299999997</v>
      </c>
      <c r="M8" s="255">
        <f t="shared" si="1"/>
        <v>54109416.969999999</v>
      </c>
      <c r="N8" s="255">
        <f t="shared" si="1"/>
        <v>3710598.79</v>
      </c>
      <c r="O8" s="255">
        <f t="shared" si="1"/>
        <v>28608951.460000001</v>
      </c>
      <c r="P8" s="255">
        <f t="shared" si="1"/>
        <v>2153945.62</v>
      </c>
      <c r="Q8" s="255">
        <f t="shared" si="1"/>
        <v>0</v>
      </c>
      <c r="R8" s="255">
        <f t="shared" si="1"/>
        <v>0</v>
      </c>
      <c r="S8" s="255">
        <f t="shared" si="1"/>
        <v>0</v>
      </c>
      <c r="T8" s="255">
        <f t="shared" si="1"/>
        <v>0</v>
      </c>
      <c r="U8" s="255">
        <f t="shared" si="1"/>
        <v>0</v>
      </c>
      <c r="V8" s="255">
        <f t="shared" si="1"/>
        <v>0</v>
      </c>
      <c r="W8" s="255">
        <f t="shared" si="1"/>
        <v>0</v>
      </c>
      <c r="X8" s="255">
        <f t="shared" si="1"/>
        <v>0</v>
      </c>
      <c r="Y8" s="255">
        <f t="shared" si="1"/>
        <v>0</v>
      </c>
      <c r="Z8" s="255">
        <f t="shared" si="1"/>
        <v>139000</v>
      </c>
      <c r="AA8" s="255">
        <f t="shared" si="1"/>
        <v>0</v>
      </c>
      <c r="AB8" s="256" t="s">
        <v>890</v>
      </c>
    </row>
    <row r="9" spans="1:28" s="6" customFormat="1" ht="35.25" customHeight="1" x14ac:dyDescent="0.5">
      <c r="A9" s="6">
        <v>1</v>
      </c>
      <c r="B9" s="225">
        <f>SUBTOTAL(103,$A$7:A9)</f>
        <v>1</v>
      </c>
      <c r="C9" s="254" t="s">
        <v>1726</v>
      </c>
      <c r="D9" s="255">
        <f t="shared" ref="D9:D28" si="2">E9+F9+G9+H9+I9+J9+L9+M9+N9+O9+P9+Q9+R9+S9+T9+U9+V9+W9+X9+Y9+Z9+AA9</f>
        <v>259217</v>
      </c>
      <c r="E9" s="258">
        <v>0</v>
      </c>
      <c r="F9" s="258">
        <v>0</v>
      </c>
      <c r="G9" s="258">
        <v>259217</v>
      </c>
      <c r="H9" s="258">
        <v>0</v>
      </c>
      <c r="I9" s="258">
        <v>0</v>
      </c>
      <c r="J9" s="258">
        <v>0</v>
      </c>
      <c r="K9" s="259">
        <v>0</v>
      </c>
      <c r="L9" s="258">
        <v>0</v>
      </c>
      <c r="M9" s="258">
        <v>0</v>
      </c>
      <c r="N9" s="258">
        <v>0</v>
      </c>
      <c r="O9" s="258">
        <v>0</v>
      </c>
      <c r="P9" s="258">
        <v>0</v>
      </c>
      <c r="Q9" s="258">
        <v>0</v>
      </c>
      <c r="R9" s="258">
        <v>0</v>
      </c>
      <c r="S9" s="258">
        <v>0</v>
      </c>
      <c r="T9" s="258">
        <v>0</v>
      </c>
      <c r="U9" s="258">
        <v>0</v>
      </c>
      <c r="V9" s="258">
        <v>0</v>
      </c>
      <c r="W9" s="258">
        <v>0</v>
      </c>
      <c r="X9" s="258">
        <v>0</v>
      </c>
      <c r="Y9" s="258">
        <v>0</v>
      </c>
      <c r="Z9" s="258">
        <v>0</v>
      </c>
      <c r="AA9" s="258">
        <v>0</v>
      </c>
      <c r="AB9" s="260">
        <v>2020</v>
      </c>
    </row>
    <row r="10" spans="1:28" s="6" customFormat="1" ht="35.25" customHeight="1" x14ac:dyDescent="0.5">
      <c r="A10" s="6">
        <v>1</v>
      </c>
      <c r="B10" s="225">
        <f>SUBTOTAL(103,$A$7:A10)</f>
        <v>2</v>
      </c>
      <c r="C10" s="254" t="s">
        <v>1727</v>
      </c>
      <c r="D10" s="255">
        <f t="shared" si="2"/>
        <v>389342</v>
      </c>
      <c r="E10" s="261">
        <v>0</v>
      </c>
      <c r="F10" s="261">
        <v>0</v>
      </c>
      <c r="G10" s="261">
        <v>0</v>
      </c>
      <c r="H10" s="261">
        <v>0</v>
      </c>
      <c r="I10" s="261">
        <v>0</v>
      </c>
      <c r="J10" s="261">
        <v>0</v>
      </c>
      <c r="K10" s="262">
        <v>0</v>
      </c>
      <c r="L10" s="261">
        <v>0</v>
      </c>
      <c r="M10" s="261">
        <v>0</v>
      </c>
      <c r="N10" s="261">
        <v>0</v>
      </c>
      <c r="O10" s="261">
        <f>116802.6+272539.4</f>
        <v>389342</v>
      </c>
      <c r="P10" s="261">
        <v>0</v>
      </c>
      <c r="Q10" s="261">
        <v>0</v>
      </c>
      <c r="R10" s="261">
        <v>0</v>
      </c>
      <c r="S10" s="261">
        <v>0</v>
      </c>
      <c r="T10" s="261">
        <v>0</v>
      </c>
      <c r="U10" s="261">
        <v>0</v>
      </c>
      <c r="V10" s="261">
        <v>0</v>
      </c>
      <c r="W10" s="261">
        <v>0</v>
      </c>
      <c r="X10" s="261">
        <v>0</v>
      </c>
      <c r="Y10" s="261">
        <v>0</v>
      </c>
      <c r="Z10" s="261">
        <v>0</v>
      </c>
      <c r="AA10" s="261">
        <v>0</v>
      </c>
      <c r="AB10" s="260">
        <v>2020</v>
      </c>
    </row>
    <row r="11" spans="1:28" s="6" customFormat="1" ht="35.25" customHeight="1" x14ac:dyDescent="0.5">
      <c r="A11" s="6">
        <v>1</v>
      </c>
      <c r="B11" s="225">
        <f>SUBTOTAL(103,$A$7:A11)</f>
        <v>3</v>
      </c>
      <c r="C11" s="254" t="s">
        <v>1728</v>
      </c>
      <c r="D11" s="255">
        <f t="shared" si="2"/>
        <v>611403</v>
      </c>
      <c r="E11" s="258">
        <v>0</v>
      </c>
      <c r="F11" s="258">
        <v>0</v>
      </c>
      <c r="G11" s="258">
        <v>0</v>
      </c>
      <c r="H11" s="258">
        <v>0</v>
      </c>
      <c r="I11" s="258">
        <v>0</v>
      </c>
      <c r="J11" s="258">
        <v>0</v>
      </c>
      <c r="K11" s="259">
        <v>0</v>
      </c>
      <c r="L11" s="258">
        <v>0</v>
      </c>
      <c r="M11" s="258">
        <v>0</v>
      </c>
      <c r="N11" s="258">
        <v>0</v>
      </c>
      <c r="O11" s="258">
        <f>90148+521255</f>
        <v>611403</v>
      </c>
      <c r="P11" s="258">
        <v>0</v>
      </c>
      <c r="Q11" s="258">
        <v>0</v>
      </c>
      <c r="R11" s="258">
        <v>0</v>
      </c>
      <c r="S11" s="258">
        <v>0</v>
      </c>
      <c r="T11" s="258">
        <v>0</v>
      </c>
      <c r="U11" s="258">
        <v>0</v>
      </c>
      <c r="V11" s="258">
        <v>0</v>
      </c>
      <c r="W11" s="258">
        <v>0</v>
      </c>
      <c r="X11" s="258">
        <v>0</v>
      </c>
      <c r="Y11" s="258">
        <v>0</v>
      </c>
      <c r="Z11" s="258">
        <v>0</v>
      </c>
      <c r="AA11" s="258">
        <v>0</v>
      </c>
      <c r="AB11" s="260">
        <v>2020</v>
      </c>
    </row>
    <row r="12" spans="1:28" s="6" customFormat="1" ht="35.25" customHeight="1" x14ac:dyDescent="0.5">
      <c r="A12" s="6">
        <v>1</v>
      </c>
      <c r="B12" s="225">
        <f>SUBTOTAL(103,$A$7:A12)</f>
        <v>4</v>
      </c>
      <c r="C12" s="254" t="s">
        <v>1729</v>
      </c>
      <c r="D12" s="255">
        <f t="shared" si="2"/>
        <v>238788.19999999998</v>
      </c>
      <c r="E12" s="258">
        <v>0</v>
      </c>
      <c r="F12" s="258">
        <v>0</v>
      </c>
      <c r="G12" s="258">
        <v>0</v>
      </c>
      <c r="H12" s="258">
        <v>0</v>
      </c>
      <c r="I12" s="258">
        <v>0</v>
      </c>
      <c r="J12" s="258">
        <v>0</v>
      </c>
      <c r="K12" s="259">
        <v>0</v>
      </c>
      <c r="L12" s="258">
        <v>0</v>
      </c>
      <c r="M12" s="258">
        <v>0</v>
      </c>
      <c r="N12" s="258">
        <v>150788.79999999999</v>
      </c>
      <c r="O12" s="258">
        <v>87999.4</v>
      </c>
      <c r="P12" s="258">
        <v>0</v>
      </c>
      <c r="Q12" s="258">
        <v>0</v>
      </c>
      <c r="R12" s="258">
        <v>0</v>
      </c>
      <c r="S12" s="258">
        <v>0</v>
      </c>
      <c r="T12" s="258">
        <v>0</v>
      </c>
      <c r="U12" s="258">
        <v>0</v>
      </c>
      <c r="V12" s="258">
        <v>0</v>
      </c>
      <c r="W12" s="258">
        <v>0</v>
      </c>
      <c r="X12" s="258">
        <v>0</v>
      </c>
      <c r="Y12" s="258">
        <v>0</v>
      </c>
      <c r="Z12" s="258">
        <v>0</v>
      </c>
      <c r="AA12" s="258">
        <v>0</v>
      </c>
      <c r="AB12" s="260">
        <v>2020</v>
      </c>
    </row>
    <row r="13" spans="1:28" s="6" customFormat="1" ht="35.25" customHeight="1" x14ac:dyDescent="0.5">
      <c r="A13" s="6">
        <v>1</v>
      </c>
      <c r="B13" s="225">
        <f>SUBTOTAL(103,$A$7:A13)</f>
        <v>5</v>
      </c>
      <c r="C13" s="254" t="s">
        <v>1730</v>
      </c>
      <c r="D13" s="255">
        <f t="shared" si="2"/>
        <v>620000</v>
      </c>
      <c r="E13" s="258">
        <v>0</v>
      </c>
      <c r="F13" s="258">
        <v>0</v>
      </c>
      <c r="G13" s="258">
        <v>0</v>
      </c>
      <c r="H13" s="258">
        <v>0</v>
      </c>
      <c r="I13" s="258">
        <f>210000+410000</f>
        <v>620000</v>
      </c>
      <c r="J13" s="258">
        <v>0</v>
      </c>
      <c r="K13" s="259">
        <v>0</v>
      </c>
      <c r="L13" s="258">
        <v>0</v>
      </c>
      <c r="M13" s="258">
        <v>0</v>
      </c>
      <c r="N13" s="258">
        <v>0</v>
      </c>
      <c r="O13" s="258">
        <v>0</v>
      </c>
      <c r="P13" s="258">
        <v>0</v>
      </c>
      <c r="Q13" s="258">
        <v>0</v>
      </c>
      <c r="R13" s="258">
        <v>0</v>
      </c>
      <c r="S13" s="258">
        <v>0</v>
      </c>
      <c r="T13" s="258">
        <v>0</v>
      </c>
      <c r="U13" s="258">
        <v>0</v>
      </c>
      <c r="V13" s="258">
        <v>0</v>
      </c>
      <c r="W13" s="258">
        <v>0</v>
      </c>
      <c r="X13" s="258">
        <v>0</v>
      </c>
      <c r="Y13" s="258">
        <v>0</v>
      </c>
      <c r="Z13" s="258">
        <v>0</v>
      </c>
      <c r="AA13" s="258">
        <v>0</v>
      </c>
      <c r="AB13" s="260">
        <v>2020</v>
      </c>
    </row>
    <row r="14" spans="1:28" s="6" customFormat="1" ht="35.25" customHeight="1" x14ac:dyDescent="0.5">
      <c r="A14" s="6">
        <v>1</v>
      </c>
      <c r="B14" s="225">
        <f>SUBTOTAL(103,$A$7:A14)</f>
        <v>6</v>
      </c>
      <c r="C14" s="254" t="s">
        <v>1731</v>
      </c>
      <c r="D14" s="255">
        <f t="shared" si="2"/>
        <v>120500</v>
      </c>
      <c r="E14" s="258">
        <v>0</v>
      </c>
      <c r="F14" s="258">
        <v>0</v>
      </c>
      <c r="G14" s="258">
        <v>0</v>
      </c>
      <c r="H14" s="258">
        <v>0</v>
      </c>
      <c r="I14" s="258">
        <v>0</v>
      </c>
      <c r="J14" s="258">
        <v>0</v>
      </c>
      <c r="K14" s="259">
        <v>0</v>
      </c>
      <c r="L14" s="258">
        <v>0</v>
      </c>
      <c r="M14" s="258">
        <f>31500+89000</f>
        <v>120500</v>
      </c>
      <c r="N14" s="258">
        <v>0</v>
      </c>
      <c r="O14" s="258">
        <v>0</v>
      </c>
      <c r="P14" s="258">
        <v>0</v>
      </c>
      <c r="Q14" s="258">
        <v>0</v>
      </c>
      <c r="R14" s="258">
        <v>0</v>
      </c>
      <c r="S14" s="258">
        <v>0</v>
      </c>
      <c r="T14" s="258">
        <v>0</v>
      </c>
      <c r="U14" s="258">
        <v>0</v>
      </c>
      <c r="V14" s="258">
        <v>0</v>
      </c>
      <c r="W14" s="258">
        <v>0</v>
      </c>
      <c r="X14" s="258">
        <v>0</v>
      </c>
      <c r="Y14" s="258">
        <v>0</v>
      </c>
      <c r="Z14" s="258">
        <v>0</v>
      </c>
      <c r="AA14" s="258">
        <v>0</v>
      </c>
      <c r="AB14" s="260">
        <v>2020</v>
      </c>
    </row>
    <row r="15" spans="1:28" s="6" customFormat="1" ht="35.25" customHeight="1" x14ac:dyDescent="0.5">
      <c r="A15" s="6">
        <v>1</v>
      </c>
      <c r="B15" s="225">
        <f>SUBTOTAL(103,$A$7:A15)</f>
        <v>7</v>
      </c>
      <c r="C15" s="254" t="s">
        <v>1732</v>
      </c>
      <c r="D15" s="255">
        <f t="shared" si="2"/>
        <v>102980</v>
      </c>
      <c r="E15" s="258">
        <v>0</v>
      </c>
      <c r="F15" s="258">
        <v>0</v>
      </c>
      <c r="G15" s="258">
        <v>0</v>
      </c>
      <c r="H15" s="258">
        <v>0</v>
      </c>
      <c r="I15" s="258">
        <v>0</v>
      </c>
      <c r="J15" s="258">
        <v>0</v>
      </c>
      <c r="K15" s="259">
        <v>0</v>
      </c>
      <c r="L15" s="258">
        <v>0</v>
      </c>
      <c r="M15" s="258">
        <v>0</v>
      </c>
      <c r="N15" s="258">
        <v>0</v>
      </c>
      <c r="O15" s="258">
        <v>102980</v>
      </c>
      <c r="P15" s="258">
        <v>0</v>
      </c>
      <c r="Q15" s="258">
        <v>0</v>
      </c>
      <c r="R15" s="258">
        <v>0</v>
      </c>
      <c r="S15" s="258">
        <v>0</v>
      </c>
      <c r="T15" s="258">
        <v>0</v>
      </c>
      <c r="U15" s="258">
        <v>0</v>
      </c>
      <c r="V15" s="258">
        <v>0</v>
      </c>
      <c r="W15" s="258">
        <v>0</v>
      </c>
      <c r="X15" s="258">
        <v>0</v>
      </c>
      <c r="Y15" s="258">
        <v>0</v>
      </c>
      <c r="Z15" s="258">
        <v>0</v>
      </c>
      <c r="AA15" s="258">
        <v>0</v>
      </c>
      <c r="AB15" s="260">
        <v>2020</v>
      </c>
    </row>
    <row r="16" spans="1:28" s="6" customFormat="1" ht="35.25" customHeight="1" x14ac:dyDescent="0.5">
      <c r="A16" s="6">
        <v>1</v>
      </c>
      <c r="B16" s="225">
        <f>SUBTOTAL(103,$A$7:A16)</f>
        <v>8</v>
      </c>
      <c r="C16" s="254" t="s">
        <v>1733</v>
      </c>
      <c r="D16" s="255">
        <f t="shared" si="2"/>
        <v>548443</v>
      </c>
      <c r="E16" s="258">
        <v>0</v>
      </c>
      <c r="F16" s="258">
        <v>0</v>
      </c>
      <c r="G16" s="258">
        <v>0</v>
      </c>
      <c r="H16" s="258">
        <v>0</v>
      </c>
      <c r="I16" s="258">
        <v>0</v>
      </c>
      <c r="J16" s="258">
        <v>0</v>
      </c>
      <c r="K16" s="259">
        <v>0</v>
      </c>
      <c r="L16" s="258">
        <v>0</v>
      </c>
      <c r="M16" s="258">
        <v>0</v>
      </c>
      <c r="N16" s="258">
        <v>0</v>
      </c>
      <c r="O16" s="258">
        <v>548443</v>
      </c>
      <c r="P16" s="258">
        <v>0</v>
      </c>
      <c r="Q16" s="258">
        <v>0</v>
      </c>
      <c r="R16" s="258">
        <v>0</v>
      </c>
      <c r="S16" s="258">
        <v>0</v>
      </c>
      <c r="T16" s="258">
        <v>0</v>
      </c>
      <c r="U16" s="258">
        <v>0</v>
      </c>
      <c r="V16" s="258">
        <v>0</v>
      </c>
      <c r="W16" s="258">
        <v>0</v>
      </c>
      <c r="X16" s="258">
        <v>0</v>
      </c>
      <c r="Y16" s="258">
        <v>0</v>
      </c>
      <c r="Z16" s="258">
        <v>0</v>
      </c>
      <c r="AA16" s="258">
        <v>0</v>
      </c>
      <c r="AB16" s="260">
        <v>2020</v>
      </c>
    </row>
    <row r="17" spans="1:28" s="6" customFormat="1" ht="35.25" customHeight="1" x14ac:dyDescent="0.5">
      <c r="A17" s="6">
        <v>1</v>
      </c>
      <c r="B17" s="225">
        <f>SUBTOTAL(103,$A$7:A17)</f>
        <v>9</v>
      </c>
      <c r="C17" s="254" t="s">
        <v>1734</v>
      </c>
      <c r="D17" s="255">
        <f t="shared" si="2"/>
        <v>302478.55</v>
      </c>
      <c r="E17" s="258">
        <v>0</v>
      </c>
      <c r="F17" s="258">
        <v>0</v>
      </c>
      <c r="G17" s="258">
        <v>0</v>
      </c>
      <c r="H17" s="258">
        <v>0</v>
      </c>
      <c r="I17" s="258">
        <v>0</v>
      </c>
      <c r="J17" s="258">
        <v>0</v>
      </c>
      <c r="K17" s="259">
        <v>0</v>
      </c>
      <c r="L17" s="258">
        <v>0</v>
      </c>
      <c r="M17" s="258">
        <v>0</v>
      </c>
      <c r="N17" s="258">
        <v>106078.31</v>
      </c>
      <c r="O17" s="258">
        <f>81255.24+34543.5</f>
        <v>115798.74</v>
      </c>
      <c r="P17" s="258">
        <v>80601.5</v>
      </c>
      <c r="Q17" s="258">
        <v>0</v>
      </c>
      <c r="R17" s="258">
        <v>0</v>
      </c>
      <c r="S17" s="258">
        <v>0</v>
      </c>
      <c r="T17" s="258">
        <v>0</v>
      </c>
      <c r="U17" s="258">
        <v>0</v>
      </c>
      <c r="V17" s="258">
        <v>0</v>
      </c>
      <c r="W17" s="258">
        <v>0</v>
      </c>
      <c r="X17" s="258">
        <v>0</v>
      </c>
      <c r="Y17" s="258">
        <v>0</v>
      </c>
      <c r="Z17" s="258">
        <v>0</v>
      </c>
      <c r="AA17" s="258">
        <v>0</v>
      </c>
      <c r="AB17" s="260">
        <v>2020</v>
      </c>
    </row>
    <row r="18" spans="1:28" s="6" customFormat="1" ht="35.25" customHeight="1" x14ac:dyDescent="0.5">
      <c r="A18" s="6">
        <v>1</v>
      </c>
      <c r="B18" s="225">
        <f>SUBTOTAL(103,$A$7:A18)</f>
        <v>10</v>
      </c>
      <c r="C18" s="254" t="s">
        <v>1735</v>
      </c>
      <c r="D18" s="255">
        <f t="shared" si="2"/>
        <v>302059.34000000003</v>
      </c>
      <c r="E18" s="258">
        <v>0</v>
      </c>
      <c r="F18" s="258">
        <v>0</v>
      </c>
      <c r="G18" s="258">
        <f>75345.7+175806.64</f>
        <v>251152.34000000003</v>
      </c>
      <c r="H18" s="258">
        <v>0</v>
      </c>
      <c r="I18" s="258">
        <v>0</v>
      </c>
      <c r="J18" s="258">
        <v>0</v>
      </c>
      <c r="K18" s="259">
        <v>1</v>
      </c>
      <c r="L18" s="258">
        <v>50907</v>
      </c>
      <c r="M18" s="258">
        <v>0</v>
      </c>
      <c r="N18" s="258">
        <v>0</v>
      </c>
      <c r="O18" s="258">
        <v>0</v>
      </c>
      <c r="P18" s="258">
        <v>0</v>
      </c>
      <c r="Q18" s="258">
        <v>0</v>
      </c>
      <c r="R18" s="258">
        <v>0</v>
      </c>
      <c r="S18" s="258">
        <v>0</v>
      </c>
      <c r="T18" s="258">
        <v>0</v>
      </c>
      <c r="U18" s="258">
        <v>0</v>
      </c>
      <c r="V18" s="258">
        <v>0</v>
      </c>
      <c r="W18" s="258">
        <v>0</v>
      </c>
      <c r="X18" s="258">
        <v>0</v>
      </c>
      <c r="Y18" s="258">
        <v>0</v>
      </c>
      <c r="Z18" s="258">
        <v>0</v>
      </c>
      <c r="AA18" s="258">
        <v>0</v>
      </c>
      <c r="AB18" s="260">
        <v>2020</v>
      </c>
    </row>
    <row r="19" spans="1:28" s="6" customFormat="1" ht="35.25" customHeight="1" x14ac:dyDescent="0.5">
      <c r="A19" s="6">
        <v>1</v>
      </c>
      <c r="B19" s="225">
        <f>SUBTOTAL(103,$A$7:A19)</f>
        <v>11</v>
      </c>
      <c r="C19" s="254" t="s">
        <v>1737</v>
      </c>
      <c r="D19" s="255">
        <f t="shared" si="2"/>
        <v>1208460</v>
      </c>
      <c r="E19" s="258">
        <v>0</v>
      </c>
      <c r="F19" s="258">
        <v>0</v>
      </c>
      <c r="G19" s="258">
        <v>0</v>
      </c>
      <c r="H19" s="258">
        <v>0</v>
      </c>
      <c r="I19" s="258">
        <v>0</v>
      </c>
      <c r="J19" s="258">
        <v>0</v>
      </c>
      <c r="K19" s="259">
        <v>0</v>
      </c>
      <c r="L19" s="258">
        <v>0</v>
      </c>
      <c r="M19" s="258">
        <v>0</v>
      </c>
      <c r="N19" s="258">
        <v>0</v>
      </c>
      <c r="O19" s="258">
        <v>1208460</v>
      </c>
      <c r="P19" s="258">
        <v>0</v>
      </c>
      <c r="Q19" s="258">
        <v>0</v>
      </c>
      <c r="R19" s="258">
        <v>0</v>
      </c>
      <c r="S19" s="258">
        <v>0</v>
      </c>
      <c r="T19" s="258">
        <v>0</v>
      </c>
      <c r="U19" s="258">
        <v>0</v>
      </c>
      <c r="V19" s="258">
        <v>0</v>
      </c>
      <c r="W19" s="258">
        <v>0</v>
      </c>
      <c r="X19" s="258">
        <v>0</v>
      </c>
      <c r="Y19" s="258">
        <v>0</v>
      </c>
      <c r="Z19" s="258">
        <v>0</v>
      </c>
      <c r="AA19" s="258">
        <v>0</v>
      </c>
      <c r="AB19" s="260">
        <v>2020</v>
      </c>
    </row>
    <row r="20" spans="1:28" s="6" customFormat="1" ht="35.25" customHeight="1" x14ac:dyDescent="0.5">
      <c r="A20" s="6">
        <v>1</v>
      </c>
      <c r="B20" s="225">
        <f>SUBTOTAL(103,$A$7:A20)</f>
        <v>12</v>
      </c>
      <c r="C20" s="254" t="s">
        <v>1738</v>
      </c>
      <c r="D20" s="255">
        <f t="shared" si="2"/>
        <v>120351</v>
      </c>
      <c r="E20" s="258">
        <v>0</v>
      </c>
      <c r="F20" s="258">
        <v>0</v>
      </c>
      <c r="G20" s="258">
        <v>0</v>
      </c>
      <c r="H20" s="258">
        <v>0</v>
      </c>
      <c r="I20" s="258">
        <v>0</v>
      </c>
      <c r="J20" s="258">
        <v>0</v>
      </c>
      <c r="K20" s="259">
        <v>1</v>
      </c>
      <c r="L20" s="258">
        <f>36105.3+84245.7</f>
        <v>120351</v>
      </c>
      <c r="M20" s="258">
        <v>0</v>
      </c>
      <c r="N20" s="258">
        <v>0</v>
      </c>
      <c r="O20" s="258">
        <v>0</v>
      </c>
      <c r="P20" s="258">
        <v>0</v>
      </c>
      <c r="Q20" s="258">
        <v>0</v>
      </c>
      <c r="R20" s="258">
        <v>0</v>
      </c>
      <c r="S20" s="258">
        <v>0</v>
      </c>
      <c r="T20" s="258">
        <v>0</v>
      </c>
      <c r="U20" s="258">
        <v>0</v>
      </c>
      <c r="V20" s="258">
        <v>0</v>
      </c>
      <c r="W20" s="258">
        <v>0</v>
      </c>
      <c r="X20" s="258">
        <v>0</v>
      </c>
      <c r="Y20" s="258">
        <v>0</v>
      </c>
      <c r="Z20" s="258">
        <v>0</v>
      </c>
      <c r="AA20" s="258">
        <v>0</v>
      </c>
      <c r="AB20" s="260">
        <v>2020</v>
      </c>
    </row>
    <row r="21" spans="1:28" s="6" customFormat="1" ht="35.25" customHeight="1" x14ac:dyDescent="0.5">
      <c r="A21" s="6">
        <v>1</v>
      </c>
      <c r="B21" s="225">
        <f>SUBTOTAL(103,$A$7:A21)</f>
        <v>13</v>
      </c>
      <c r="C21" s="254" t="s">
        <v>1739</v>
      </c>
      <c r="D21" s="255">
        <f t="shared" si="2"/>
        <v>224568</v>
      </c>
      <c r="E21" s="258">
        <v>0</v>
      </c>
      <c r="F21" s="258">
        <v>0</v>
      </c>
      <c r="G21" s="258">
        <v>224568</v>
      </c>
      <c r="H21" s="258">
        <v>0</v>
      </c>
      <c r="I21" s="258">
        <v>0</v>
      </c>
      <c r="J21" s="258">
        <v>0</v>
      </c>
      <c r="K21" s="259">
        <v>0</v>
      </c>
      <c r="L21" s="258">
        <v>0</v>
      </c>
      <c r="M21" s="258">
        <v>0</v>
      </c>
      <c r="N21" s="258">
        <v>0</v>
      </c>
      <c r="O21" s="258">
        <v>0</v>
      </c>
      <c r="P21" s="258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258">
        <v>0</v>
      </c>
      <c r="AA21" s="258">
        <v>0</v>
      </c>
      <c r="AB21" s="260">
        <v>2020</v>
      </c>
    </row>
    <row r="22" spans="1:28" s="6" customFormat="1" ht="35.25" customHeight="1" x14ac:dyDescent="0.5">
      <c r="A22" s="6">
        <v>1</v>
      </c>
      <c r="B22" s="225">
        <f>SUBTOTAL(103,$A$7:A22)</f>
        <v>14</v>
      </c>
      <c r="C22" s="254" t="s">
        <v>1740</v>
      </c>
      <c r="D22" s="255">
        <f>E22+F22+G22+H22+I22+J22+L22+M22+N22+O22+P22+Q22+R22+S22+T22+U22+V22+W22+X22+Y22+Z22+AA22</f>
        <v>107933</v>
      </c>
      <c r="E22" s="258">
        <v>0</v>
      </c>
      <c r="F22" s="258">
        <v>0</v>
      </c>
      <c r="G22" s="258">
        <v>0</v>
      </c>
      <c r="H22" s="258">
        <v>0</v>
      </c>
      <c r="I22" s="258">
        <v>0</v>
      </c>
      <c r="J22" s="258">
        <v>0</v>
      </c>
      <c r="K22" s="259">
        <v>1</v>
      </c>
      <c r="L22" s="258">
        <v>107933</v>
      </c>
      <c r="M22" s="258">
        <v>0</v>
      </c>
      <c r="N22" s="258">
        <v>0</v>
      </c>
      <c r="O22" s="258">
        <v>0</v>
      </c>
      <c r="P22" s="258">
        <v>0</v>
      </c>
      <c r="Q22" s="258">
        <v>0</v>
      </c>
      <c r="R22" s="258">
        <v>0</v>
      </c>
      <c r="S22" s="258">
        <v>0</v>
      </c>
      <c r="T22" s="258">
        <v>0</v>
      </c>
      <c r="U22" s="258">
        <v>0</v>
      </c>
      <c r="V22" s="258">
        <v>0</v>
      </c>
      <c r="W22" s="258">
        <v>0</v>
      </c>
      <c r="X22" s="258">
        <v>0</v>
      </c>
      <c r="Y22" s="258">
        <v>0</v>
      </c>
      <c r="Z22" s="258">
        <v>0</v>
      </c>
      <c r="AA22" s="258">
        <v>0</v>
      </c>
      <c r="AB22" s="260">
        <v>2020</v>
      </c>
    </row>
    <row r="23" spans="1:28" s="6" customFormat="1" ht="35.25" customHeight="1" x14ac:dyDescent="0.5">
      <c r="A23" s="6">
        <v>1</v>
      </c>
      <c r="B23" s="225">
        <f>SUBTOTAL(103,$A$7:A23)</f>
        <v>15</v>
      </c>
      <c r="C23" s="254" t="s">
        <v>1741</v>
      </c>
      <c r="D23" s="255">
        <f t="shared" si="2"/>
        <v>869766.7</v>
      </c>
      <c r="E23" s="258">
        <v>0</v>
      </c>
      <c r="F23" s="258">
        <v>677767</v>
      </c>
      <c r="G23" s="258">
        <v>0</v>
      </c>
      <c r="H23" s="258">
        <v>0</v>
      </c>
      <c r="I23" s="258">
        <v>0</v>
      </c>
      <c r="J23" s="258">
        <v>0</v>
      </c>
      <c r="K23" s="259">
        <v>0</v>
      </c>
      <c r="L23" s="258">
        <v>0</v>
      </c>
      <c r="M23" s="258">
        <v>0</v>
      </c>
      <c r="N23" s="258">
        <v>0</v>
      </c>
      <c r="O23" s="258">
        <v>0</v>
      </c>
      <c r="P23" s="258">
        <v>191999.7</v>
      </c>
      <c r="Q23" s="258">
        <v>0</v>
      </c>
      <c r="R23" s="258">
        <v>0</v>
      </c>
      <c r="S23" s="258">
        <v>0</v>
      </c>
      <c r="T23" s="258">
        <v>0</v>
      </c>
      <c r="U23" s="258">
        <v>0</v>
      </c>
      <c r="V23" s="258">
        <v>0</v>
      </c>
      <c r="W23" s="258">
        <v>0</v>
      </c>
      <c r="X23" s="258">
        <v>0</v>
      </c>
      <c r="Y23" s="258">
        <v>0</v>
      </c>
      <c r="Z23" s="258">
        <v>0</v>
      </c>
      <c r="AA23" s="258">
        <v>0</v>
      </c>
      <c r="AB23" s="260">
        <v>2020</v>
      </c>
    </row>
    <row r="24" spans="1:28" s="6" customFormat="1" ht="35.25" customHeight="1" x14ac:dyDescent="0.5">
      <c r="A24" s="6">
        <v>1</v>
      </c>
      <c r="B24" s="225">
        <f>SUBTOTAL(103,$A$7:A24)</f>
        <v>16</v>
      </c>
      <c r="C24" s="254" t="s">
        <v>1742</v>
      </c>
      <c r="D24" s="255">
        <f t="shared" si="2"/>
        <v>54271</v>
      </c>
      <c r="E24" s="258">
        <v>0</v>
      </c>
      <c r="F24" s="258">
        <v>0</v>
      </c>
      <c r="G24" s="258">
        <v>0</v>
      </c>
      <c r="H24" s="258">
        <v>0</v>
      </c>
      <c r="I24" s="258">
        <v>0</v>
      </c>
      <c r="J24" s="258">
        <v>0</v>
      </c>
      <c r="K24" s="259">
        <v>1</v>
      </c>
      <c r="L24" s="258">
        <f>11188+43083</f>
        <v>54271</v>
      </c>
      <c r="M24" s="258">
        <v>0</v>
      </c>
      <c r="N24" s="258">
        <v>0</v>
      </c>
      <c r="O24" s="258">
        <v>0</v>
      </c>
      <c r="P24" s="258">
        <v>0</v>
      </c>
      <c r="Q24" s="258">
        <v>0</v>
      </c>
      <c r="R24" s="258">
        <v>0</v>
      </c>
      <c r="S24" s="258">
        <v>0</v>
      </c>
      <c r="T24" s="258">
        <v>0</v>
      </c>
      <c r="U24" s="258">
        <v>0</v>
      </c>
      <c r="V24" s="258">
        <v>0</v>
      </c>
      <c r="W24" s="258">
        <v>0</v>
      </c>
      <c r="X24" s="258">
        <v>0</v>
      </c>
      <c r="Y24" s="258">
        <v>0</v>
      </c>
      <c r="Z24" s="258">
        <v>0</v>
      </c>
      <c r="AA24" s="258">
        <v>0</v>
      </c>
      <c r="AB24" s="260">
        <v>2020</v>
      </c>
    </row>
    <row r="25" spans="1:28" s="6" customFormat="1" ht="35.25" customHeight="1" x14ac:dyDescent="0.5">
      <c r="A25" s="6">
        <v>1</v>
      </c>
      <c r="B25" s="225">
        <f>SUBTOTAL(103,$A$7:A25)</f>
        <v>17</v>
      </c>
      <c r="C25" s="254" t="s">
        <v>1744</v>
      </c>
      <c r="D25" s="255">
        <f t="shared" si="2"/>
        <v>922851</v>
      </c>
      <c r="E25" s="258">
        <v>0</v>
      </c>
      <c r="F25" s="258">
        <v>0</v>
      </c>
      <c r="G25" s="258">
        <f>226595.6+581473</f>
        <v>808068.6</v>
      </c>
      <c r="H25" s="258">
        <v>0</v>
      </c>
      <c r="I25" s="258">
        <v>0</v>
      </c>
      <c r="J25" s="258">
        <v>0</v>
      </c>
      <c r="K25" s="259">
        <v>0</v>
      </c>
      <c r="L25" s="258">
        <v>0</v>
      </c>
      <c r="M25" s="258">
        <v>0</v>
      </c>
      <c r="N25" s="258">
        <v>0</v>
      </c>
      <c r="O25" s="258">
        <v>114782.39999999999</v>
      </c>
      <c r="P25" s="258">
        <v>0</v>
      </c>
      <c r="Q25" s="258">
        <v>0</v>
      </c>
      <c r="R25" s="258">
        <v>0</v>
      </c>
      <c r="S25" s="258">
        <v>0</v>
      </c>
      <c r="T25" s="258">
        <v>0</v>
      </c>
      <c r="U25" s="258">
        <v>0</v>
      </c>
      <c r="V25" s="258">
        <v>0</v>
      </c>
      <c r="W25" s="258">
        <v>0</v>
      </c>
      <c r="X25" s="258">
        <v>0</v>
      </c>
      <c r="Y25" s="258">
        <v>0</v>
      </c>
      <c r="Z25" s="258">
        <v>0</v>
      </c>
      <c r="AA25" s="258">
        <v>0</v>
      </c>
      <c r="AB25" s="260">
        <v>2020</v>
      </c>
    </row>
    <row r="26" spans="1:28" s="6" customFormat="1" ht="35.25" customHeight="1" x14ac:dyDescent="0.5">
      <c r="A26" s="6">
        <v>1</v>
      </c>
      <c r="B26" s="225">
        <f>SUBTOTAL(103,$A$7:A26)</f>
        <v>18</v>
      </c>
      <c r="C26" s="254" t="s">
        <v>1745</v>
      </c>
      <c r="D26" s="255">
        <f>E26+F26+G26+H26+I26+J26+L26+M26+N26+O26+P26+Q26+R26+S26+T26+U26+V26+W26+X26+Y26+Z26+AA26</f>
        <v>144000</v>
      </c>
      <c r="E26" s="258">
        <v>0</v>
      </c>
      <c r="F26" s="258">
        <v>0</v>
      </c>
      <c r="G26" s="258">
        <v>0</v>
      </c>
      <c r="H26" s="258">
        <v>0</v>
      </c>
      <c r="I26" s="258">
        <v>0</v>
      </c>
      <c r="J26" s="258">
        <v>0</v>
      </c>
      <c r="K26" s="259">
        <v>3</v>
      </c>
      <c r="L26" s="258">
        <f>43200+100800</f>
        <v>144000</v>
      </c>
      <c r="M26" s="258">
        <v>0</v>
      </c>
      <c r="N26" s="258">
        <v>0</v>
      </c>
      <c r="O26" s="258">
        <v>0</v>
      </c>
      <c r="P26" s="258">
        <v>0</v>
      </c>
      <c r="Q26" s="258">
        <v>0</v>
      </c>
      <c r="R26" s="258">
        <v>0</v>
      </c>
      <c r="S26" s="258">
        <v>0</v>
      </c>
      <c r="T26" s="258">
        <v>0</v>
      </c>
      <c r="U26" s="258">
        <v>0</v>
      </c>
      <c r="V26" s="258">
        <v>0</v>
      </c>
      <c r="W26" s="258">
        <v>0</v>
      </c>
      <c r="X26" s="258">
        <v>0</v>
      </c>
      <c r="Y26" s="258">
        <v>0</v>
      </c>
      <c r="Z26" s="258">
        <v>0</v>
      </c>
      <c r="AA26" s="258">
        <v>0</v>
      </c>
      <c r="AB26" s="260">
        <v>2020</v>
      </c>
    </row>
    <row r="27" spans="1:28" s="6" customFormat="1" ht="35.25" customHeight="1" x14ac:dyDescent="0.5">
      <c r="A27" s="6">
        <v>1</v>
      </c>
      <c r="B27" s="225">
        <f>SUBTOTAL(103,$A$7:A27)</f>
        <v>19</v>
      </c>
      <c r="C27" s="254" t="s">
        <v>1746</v>
      </c>
      <c r="D27" s="255">
        <f t="shared" si="2"/>
        <v>1488582.1</v>
      </c>
      <c r="E27" s="258">
        <v>0</v>
      </c>
      <c r="F27" s="258">
        <v>0</v>
      </c>
      <c r="G27" s="258">
        <v>394253</v>
      </c>
      <c r="H27" s="258">
        <v>0</v>
      </c>
      <c r="I27" s="258">
        <v>60029.1</v>
      </c>
      <c r="J27" s="258">
        <v>0</v>
      </c>
      <c r="K27" s="259">
        <v>1</v>
      </c>
      <c r="L27" s="258">
        <v>180000</v>
      </c>
      <c r="M27" s="258">
        <v>854300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  <c r="X27" s="258">
        <v>0</v>
      </c>
      <c r="Y27" s="258">
        <v>0</v>
      </c>
      <c r="Z27" s="258">
        <v>0</v>
      </c>
      <c r="AA27" s="258">
        <v>0</v>
      </c>
      <c r="AB27" s="260">
        <v>2020</v>
      </c>
    </row>
    <row r="28" spans="1:28" s="6" customFormat="1" ht="35.25" customHeight="1" x14ac:dyDescent="0.5">
      <c r="A28" s="6">
        <v>1</v>
      </c>
      <c r="B28" s="225">
        <f>SUBTOTAL(103,$A$7:A28)</f>
        <v>20</v>
      </c>
      <c r="C28" s="254" t="s">
        <v>1747</v>
      </c>
      <c r="D28" s="255">
        <f t="shared" si="2"/>
        <v>939723.6</v>
      </c>
      <c r="E28" s="258">
        <v>0</v>
      </c>
      <c r="F28" s="258">
        <v>0</v>
      </c>
      <c r="G28" s="258">
        <v>0</v>
      </c>
      <c r="H28" s="258">
        <v>0</v>
      </c>
      <c r="I28" s="258">
        <v>0</v>
      </c>
      <c r="J28" s="258">
        <v>0</v>
      </c>
      <c r="K28" s="259">
        <v>1</v>
      </c>
      <c r="L28" s="258">
        <v>357151.2</v>
      </c>
      <c r="M28" s="258">
        <v>0</v>
      </c>
      <c r="N28" s="258">
        <v>240306</v>
      </c>
      <c r="O28" s="258">
        <v>342266.4</v>
      </c>
      <c r="P28" s="258">
        <v>0</v>
      </c>
      <c r="Q28" s="258">
        <v>0</v>
      </c>
      <c r="R28" s="258">
        <v>0</v>
      </c>
      <c r="S28" s="258">
        <v>0</v>
      </c>
      <c r="T28" s="258">
        <v>0</v>
      </c>
      <c r="U28" s="258">
        <v>0</v>
      </c>
      <c r="V28" s="258">
        <v>0</v>
      </c>
      <c r="W28" s="258">
        <v>0</v>
      </c>
      <c r="X28" s="258">
        <v>0</v>
      </c>
      <c r="Y28" s="258">
        <v>0</v>
      </c>
      <c r="Z28" s="258">
        <v>0</v>
      </c>
      <c r="AA28" s="258">
        <v>0</v>
      </c>
      <c r="AB28" s="260">
        <v>2020</v>
      </c>
    </row>
    <row r="29" spans="1:28" s="6" customFormat="1" ht="35.25" customHeight="1" x14ac:dyDescent="0.5">
      <c r="A29" s="6">
        <v>1</v>
      </c>
      <c r="B29" s="225">
        <f>SUBTOTAL(103,$A$7:A29)</f>
        <v>21</v>
      </c>
      <c r="C29" s="254" t="s">
        <v>1748</v>
      </c>
      <c r="D29" s="255">
        <f>E29+F29+G29+H29+I29+J29+L29+M29+N29+O29+P29+Q29+R29+S29+T29+U29+V29+W29+X29+Y29+Z29+AA29</f>
        <v>5100000</v>
      </c>
      <c r="E29" s="258">
        <v>0</v>
      </c>
      <c r="F29" s="258">
        <v>0</v>
      </c>
      <c r="G29" s="258">
        <v>0</v>
      </c>
      <c r="H29" s="258">
        <v>0</v>
      </c>
      <c r="I29" s="258">
        <v>0</v>
      </c>
      <c r="J29" s="258">
        <v>0</v>
      </c>
      <c r="K29" s="259">
        <v>3</v>
      </c>
      <c r="L29" s="258">
        <v>5100000</v>
      </c>
      <c r="M29" s="258">
        <v>0</v>
      </c>
      <c r="N29" s="258">
        <v>0</v>
      </c>
      <c r="O29" s="258">
        <v>0</v>
      </c>
      <c r="P29" s="258">
        <v>0</v>
      </c>
      <c r="Q29" s="258">
        <v>0</v>
      </c>
      <c r="R29" s="258">
        <v>0</v>
      </c>
      <c r="S29" s="258">
        <v>0</v>
      </c>
      <c r="T29" s="258">
        <v>0</v>
      </c>
      <c r="U29" s="258">
        <v>0</v>
      </c>
      <c r="V29" s="258">
        <v>0</v>
      </c>
      <c r="W29" s="258">
        <v>0</v>
      </c>
      <c r="X29" s="258">
        <v>0</v>
      </c>
      <c r="Y29" s="258">
        <v>0</v>
      </c>
      <c r="Z29" s="258">
        <v>0</v>
      </c>
      <c r="AA29" s="258">
        <v>0</v>
      </c>
      <c r="AB29" s="260">
        <v>2020</v>
      </c>
    </row>
    <row r="30" spans="1:28" s="6" customFormat="1" ht="35.25" customHeight="1" x14ac:dyDescent="0.5">
      <c r="A30" s="6">
        <v>1</v>
      </c>
      <c r="B30" s="225">
        <f>SUBTOTAL(103,$A$7:A30)</f>
        <v>22</v>
      </c>
      <c r="C30" s="254" t="s">
        <v>1749</v>
      </c>
      <c r="D30" s="255">
        <f t="shared" ref="D30:D74" si="3">E30+F30+G30+H30+I30+J30+L30+M30+N30+O30+P30+Q30+R30+S30+T30+U30+V30+W30+X30+Y30+Z30+AA30</f>
        <v>333729</v>
      </c>
      <c r="E30" s="258">
        <v>0</v>
      </c>
      <c r="F30" s="258">
        <v>0</v>
      </c>
      <c r="G30" s="258">
        <v>333729</v>
      </c>
      <c r="H30" s="258">
        <v>0</v>
      </c>
      <c r="I30" s="258">
        <v>0</v>
      </c>
      <c r="J30" s="258">
        <v>0</v>
      </c>
      <c r="K30" s="259">
        <v>0</v>
      </c>
      <c r="L30" s="258">
        <v>0</v>
      </c>
      <c r="M30" s="258">
        <v>0</v>
      </c>
      <c r="N30" s="258">
        <v>0</v>
      </c>
      <c r="O30" s="258">
        <v>0</v>
      </c>
      <c r="P30" s="258">
        <v>0</v>
      </c>
      <c r="Q30" s="258">
        <v>0</v>
      </c>
      <c r="R30" s="258">
        <v>0</v>
      </c>
      <c r="S30" s="258">
        <v>0</v>
      </c>
      <c r="T30" s="258">
        <v>0</v>
      </c>
      <c r="U30" s="258">
        <v>0</v>
      </c>
      <c r="V30" s="258">
        <v>0</v>
      </c>
      <c r="W30" s="258">
        <v>0</v>
      </c>
      <c r="X30" s="258">
        <v>0</v>
      </c>
      <c r="Y30" s="258">
        <v>0</v>
      </c>
      <c r="Z30" s="258">
        <v>0</v>
      </c>
      <c r="AA30" s="258">
        <v>0</v>
      </c>
      <c r="AB30" s="260">
        <v>2020</v>
      </c>
    </row>
    <row r="31" spans="1:28" s="6" customFormat="1" ht="35.25" customHeight="1" x14ac:dyDescent="0.5">
      <c r="A31" s="6">
        <v>1</v>
      </c>
      <c r="B31" s="225">
        <f>SUBTOTAL(103,$A$7:A31)</f>
        <v>23</v>
      </c>
      <c r="C31" s="254" t="s">
        <v>1750</v>
      </c>
      <c r="D31" s="255">
        <f t="shared" si="3"/>
        <v>562422.5</v>
      </c>
      <c r="E31" s="258">
        <v>195422.5</v>
      </c>
      <c r="F31" s="258">
        <v>0</v>
      </c>
      <c r="G31" s="258">
        <v>322000</v>
      </c>
      <c r="H31" s="258">
        <v>45000</v>
      </c>
      <c r="I31" s="258">
        <v>0</v>
      </c>
      <c r="J31" s="258">
        <v>0</v>
      </c>
      <c r="K31" s="259">
        <v>0</v>
      </c>
      <c r="L31" s="258">
        <v>0</v>
      </c>
      <c r="M31" s="258">
        <v>0</v>
      </c>
      <c r="N31" s="258">
        <v>0</v>
      </c>
      <c r="O31" s="258">
        <v>0</v>
      </c>
      <c r="P31" s="258">
        <v>0</v>
      </c>
      <c r="Q31" s="258">
        <v>0</v>
      </c>
      <c r="R31" s="258">
        <v>0</v>
      </c>
      <c r="S31" s="258">
        <v>0</v>
      </c>
      <c r="T31" s="258">
        <v>0</v>
      </c>
      <c r="U31" s="258">
        <v>0</v>
      </c>
      <c r="V31" s="258">
        <v>0</v>
      </c>
      <c r="W31" s="258">
        <v>0</v>
      </c>
      <c r="X31" s="258">
        <v>0</v>
      </c>
      <c r="Y31" s="258">
        <v>0</v>
      </c>
      <c r="Z31" s="258">
        <v>0</v>
      </c>
      <c r="AA31" s="258">
        <v>0</v>
      </c>
      <c r="AB31" s="260">
        <v>2020</v>
      </c>
    </row>
    <row r="32" spans="1:28" s="6" customFormat="1" ht="35.25" customHeight="1" x14ac:dyDescent="0.5">
      <c r="A32" s="6">
        <v>1</v>
      </c>
      <c r="B32" s="225">
        <f>SUBTOTAL(103,$A$7:A32)</f>
        <v>24</v>
      </c>
      <c r="C32" s="254" t="s">
        <v>1751</v>
      </c>
      <c r="D32" s="255">
        <f t="shared" si="3"/>
        <v>162333.46</v>
      </c>
      <c r="E32" s="258">
        <f>119000+7516.64</f>
        <v>126516.64</v>
      </c>
      <c r="F32" s="258">
        <v>0</v>
      </c>
      <c r="G32" s="258">
        <v>0</v>
      </c>
      <c r="H32" s="258">
        <v>21109.82</v>
      </c>
      <c r="I32" s="258">
        <v>0</v>
      </c>
      <c r="J32" s="258">
        <v>0</v>
      </c>
      <c r="K32" s="259">
        <v>1</v>
      </c>
      <c r="L32" s="258">
        <v>14707</v>
      </c>
      <c r="M32" s="258">
        <v>0</v>
      </c>
      <c r="N32" s="258">
        <v>0</v>
      </c>
      <c r="O32" s="258">
        <v>0</v>
      </c>
      <c r="P32" s="258">
        <v>0</v>
      </c>
      <c r="Q32" s="258">
        <v>0</v>
      </c>
      <c r="R32" s="258">
        <v>0</v>
      </c>
      <c r="S32" s="258">
        <v>0</v>
      </c>
      <c r="T32" s="258">
        <v>0</v>
      </c>
      <c r="U32" s="258">
        <v>0</v>
      </c>
      <c r="V32" s="258">
        <v>0</v>
      </c>
      <c r="W32" s="258">
        <v>0</v>
      </c>
      <c r="X32" s="258">
        <v>0</v>
      </c>
      <c r="Y32" s="258">
        <v>0</v>
      </c>
      <c r="Z32" s="258">
        <v>0</v>
      </c>
      <c r="AA32" s="258">
        <v>0</v>
      </c>
      <c r="AB32" s="260">
        <v>2020</v>
      </c>
    </row>
    <row r="33" spans="1:28" s="6" customFormat="1" ht="35.25" customHeight="1" x14ac:dyDescent="0.5">
      <c r="A33" s="6">
        <v>1</v>
      </c>
      <c r="B33" s="225">
        <f>SUBTOTAL(103,$A$7:A33)</f>
        <v>25</v>
      </c>
      <c r="C33" s="254" t="s">
        <v>1752</v>
      </c>
      <c r="D33" s="255">
        <f t="shared" si="3"/>
        <v>375942</v>
      </c>
      <c r="E33" s="258">
        <v>0</v>
      </c>
      <c r="F33" s="258">
        <v>0</v>
      </c>
      <c r="G33" s="258">
        <v>375942</v>
      </c>
      <c r="H33" s="258">
        <v>0</v>
      </c>
      <c r="I33" s="258">
        <v>0</v>
      </c>
      <c r="J33" s="258">
        <v>0</v>
      </c>
      <c r="K33" s="259">
        <v>0</v>
      </c>
      <c r="L33" s="258">
        <v>0</v>
      </c>
      <c r="M33" s="258">
        <v>0</v>
      </c>
      <c r="N33" s="258">
        <v>0</v>
      </c>
      <c r="O33" s="258">
        <v>0</v>
      </c>
      <c r="P33" s="258">
        <v>0</v>
      </c>
      <c r="Q33" s="258">
        <v>0</v>
      </c>
      <c r="R33" s="258">
        <v>0</v>
      </c>
      <c r="S33" s="258">
        <v>0</v>
      </c>
      <c r="T33" s="258">
        <v>0</v>
      </c>
      <c r="U33" s="258">
        <v>0</v>
      </c>
      <c r="V33" s="258">
        <v>0</v>
      </c>
      <c r="W33" s="258">
        <v>0</v>
      </c>
      <c r="X33" s="258">
        <v>0</v>
      </c>
      <c r="Y33" s="258">
        <v>0</v>
      </c>
      <c r="Z33" s="258">
        <v>0</v>
      </c>
      <c r="AA33" s="258">
        <v>0</v>
      </c>
      <c r="AB33" s="260">
        <v>2020</v>
      </c>
    </row>
    <row r="34" spans="1:28" s="6" customFormat="1" ht="35.25" customHeight="1" x14ac:dyDescent="0.5">
      <c r="A34" s="6">
        <v>1</v>
      </c>
      <c r="B34" s="225">
        <f>SUBTOTAL(103,$A$7:A34)</f>
        <v>26</v>
      </c>
      <c r="C34" s="254" t="s">
        <v>1753</v>
      </c>
      <c r="D34" s="255">
        <f t="shared" si="3"/>
        <v>116700.38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9">
        <v>0</v>
      </c>
      <c r="L34" s="258">
        <v>0</v>
      </c>
      <c r="M34" s="258">
        <v>0</v>
      </c>
      <c r="N34" s="258">
        <v>0</v>
      </c>
      <c r="O34" s="258">
        <v>116700.38</v>
      </c>
      <c r="P34" s="258">
        <v>0</v>
      </c>
      <c r="Q34" s="258">
        <v>0</v>
      </c>
      <c r="R34" s="258">
        <v>0</v>
      </c>
      <c r="S34" s="258">
        <v>0</v>
      </c>
      <c r="T34" s="258">
        <v>0</v>
      </c>
      <c r="U34" s="258">
        <v>0</v>
      </c>
      <c r="V34" s="258">
        <v>0</v>
      </c>
      <c r="W34" s="258">
        <v>0</v>
      </c>
      <c r="X34" s="258">
        <v>0</v>
      </c>
      <c r="Y34" s="258">
        <v>0</v>
      </c>
      <c r="Z34" s="258">
        <v>0</v>
      </c>
      <c r="AA34" s="258">
        <v>0</v>
      </c>
      <c r="AB34" s="260">
        <v>2020</v>
      </c>
    </row>
    <row r="35" spans="1:28" s="6" customFormat="1" ht="35.25" customHeight="1" x14ac:dyDescent="0.5">
      <c r="A35" s="6">
        <v>1</v>
      </c>
      <c r="B35" s="225">
        <f>SUBTOTAL(103,$A$7:A35)</f>
        <v>27</v>
      </c>
      <c r="C35" s="254" t="s">
        <v>1755</v>
      </c>
      <c r="D35" s="255">
        <f t="shared" si="3"/>
        <v>659488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9">
        <v>0</v>
      </c>
      <c r="L35" s="258">
        <v>0</v>
      </c>
      <c r="M35" s="258">
        <v>659488</v>
      </c>
      <c r="N35" s="258">
        <v>0</v>
      </c>
      <c r="O35" s="258">
        <v>0</v>
      </c>
      <c r="P35" s="258">
        <v>0</v>
      </c>
      <c r="Q35" s="258">
        <v>0</v>
      </c>
      <c r="R35" s="258">
        <v>0</v>
      </c>
      <c r="S35" s="258">
        <v>0</v>
      </c>
      <c r="T35" s="258">
        <v>0</v>
      </c>
      <c r="U35" s="258">
        <v>0</v>
      </c>
      <c r="V35" s="258">
        <v>0</v>
      </c>
      <c r="W35" s="258">
        <v>0</v>
      </c>
      <c r="X35" s="258">
        <v>0</v>
      </c>
      <c r="Y35" s="258">
        <v>0</v>
      </c>
      <c r="Z35" s="258">
        <v>0</v>
      </c>
      <c r="AA35" s="258">
        <v>0</v>
      </c>
      <c r="AB35" s="260">
        <v>2020</v>
      </c>
    </row>
    <row r="36" spans="1:28" s="6" customFormat="1" ht="35.25" customHeight="1" x14ac:dyDescent="0.5">
      <c r="A36" s="6">
        <v>1</v>
      </c>
      <c r="B36" s="225">
        <f>SUBTOTAL(103,$A$7:A36)</f>
        <v>28</v>
      </c>
      <c r="C36" s="254" t="s">
        <v>1756</v>
      </c>
      <c r="D36" s="255">
        <f t="shared" si="3"/>
        <v>177700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9">
        <v>1</v>
      </c>
      <c r="L36" s="258">
        <v>177700</v>
      </c>
      <c r="M36" s="258">
        <v>0</v>
      </c>
      <c r="N36" s="258">
        <v>0</v>
      </c>
      <c r="O36" s="258">
        <v>0</v>
      </c>
      <c r="P36" s="258">
        <v>0</v>
      </c>
      <c r="Q36" s="258">
        <v>0</v>
      </c>
      <c r="R36" s="258">
        <v>0</v>
      </c>
      <c r="S36" s="258">
        <v>0</v>
      </c>
      <c r="T36" s="258">
        <v>0</v>
      </c>
      <c r="U36" s="258">
        <v>0</v>
      </c>
      <c r="V36" s="258">
        <v>0</v>
      </c>
      <c r="W36" s="258">
        <v>0</v>
      </c>
      <c r="X36" s="258">
        <v>0</v>
      </c>
      <c r="Y36" s="258">
        <v>0</v>
      </c>
      <c r="Z36" s="258">
        <v>0</v>
      </c>
      <c r="AA36" s="258">
        <v>0</v>
      </c>
      <c r="AB36" s="260">
        <v>2020</v>
      </c>
    </row>
    <row r="37" spans="1:28" s="6" customFormat="1" ht="35.25" customHeight="1" x14ac:dyDescent="0.5">
      <c r="A37" s="6">
        <v>1</v>
      </c>
      <c r="B37" s="225">
        <f>SUBTOTAL(103,$A$7:A37)</f>
        <v>29</v>
      </c>
      <c r="C37" s="254" t="s">
        <v>1757</v>
      </c>
      <c r="D37" s="255">
        <f t="shared" si="3"/>
        <v>3600000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9">
        <v>2</v>
      </c>
      <c r="L37" s="258">
        <v>3600000</v>
      </c>
      <c r="M37" s="258">
        <v>0</v>
      </c>
      <c r="N37" s="258">
        <v>0</v>
      </c>
      <c r="O37" s="258">
        <v>0</v>
      </c>
      <c r="P37" s="258">
        <v>0</v>
      </c>
      <c r="Q37" s="258">
        <v>0</v>
      </c>
      <c r="R37" s="258">
        <v>0</v>
      </c>
      <c r="S37" s="258">
        <v>0</v>
      </c>
      <c r="T37" s="258">
        <v>0</v>
      </c>
      <c r="U37" s="258">
        <v>0</v>
      </c>
      <c r="V37" s="258">
        <v>0</v>
      </c>
      <c r="W37" s="258">
        <v>0</v>
      </c>
      <c r="X37" s="258">
        <v>0</v>
      </c>
      <c r="Y37" s="258">
        <v>0</v>
      </c>
      <c r="Z37" s="258">
        <v>0</v>
      </c>
      <c r="AA37" s="258">
        <v>0</v>
      </c>
      <c r="AB37" s="260">
        <v>2020</v>
      </c>
    </row>
    <row r="38" spans="1:28" s="6" customFormat="1" ht="35.25" customHeight="1" x14ac:dyDescent="0.5">
      <c r="A38" s="6">
        <v>1</v>
      </c>
      <c r="B38" s="225">
        <f>SUBTOTAL(103,$A$7:A38)</f>
        <v>30</v>
      </c>
      <c r="C38" s="254" t="s">
        <v>1758</v>
      </c>
      <c r="D38" s="255">
        <f t="shared" si="3"/>
        <v>132450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9">
        <v>0</v>
      </c>
      <c r="L38" s="258">
        <v>0</v>
      </c>
      <c r="M38" s="258">
        <v>132450</v>
      </c>
      <c r="N38" s="258">
        <v>0</v>
      </c>
      <c r="O38" s="258">
        <v>0</v>
      </c>
      <c r="P38" s="258">
        <v>0</v>
      </c>
      <c r="Q38" s="258">
        <v>0</v>
      </c>
      <c r="R38" s="258">
        <v>0</v>
      </c>
      <c r="S38" s="258">
        <v>0</v>
      </c>
      <c r="T38" s="258">
        <v>0</v>
      </c>
      <c r="U38" s="258">
        <v>0</v>
      </c>
      <c r="V38" s="258">
        <v>0</v>
      </c>
      <c r="W38" s="258">
        <v>0</v>
      </c>
      <c r="X38" s="258">
        <v>0</v>
      </c>
      <c r="Y38" s="258">
        <v>0</v>
      </c>
      <c r="Z38" s="258">
        <v>0</v>
      </c>
      <c r="AA38" s="258">
        <v>0</v>
      </c>
      <c r="AB38" s="260">
        <v>2020</v>
      </c>
    </row>
    <row r="39" spans="1:28" s="6" customFormat="1" ht="35.25" customHeight="1" x14ac:dyDescent="0.5">
      <c r="A39" s="6">
        <v>1</v>
      </c>
      <c r="B39" s="225">
        <f>SUBTOTAL(103,$A$7:A39)</f>
        <v>31</v>
      </c>
      <c r="C39" s="254" t="s">
        <v>1760</v>
      </c>
      <c r="D39" s="255">
        <f t="shared" si="3"/>
        <v>1039214</v>
      </c>
      <c r="E39" s="258">
        <v>0</v>
      </c>
      <c r="F39" s="258">
        <v>0</v>
      </c>
      <c r="G39" s="258">
        <f>20464.2+47749.8</f>
        <v>68214</v>
      </c>
      <c r="H39" s="258">
        <v>0</v>
      </c>
      <c r="I39" s="258">
        <v>0</v>
      </c>
      <c r="J39" s="258">
        <v>0</v>
      </c>
      <c r="K39" s="259">
        <v>0</v>
      </c>
      <c r="L39" s="258">
        <v>0</v>
      </c>
      <c r="M39" s="258">
        <f>172650+402850</f>
        <v>575500</v>
      </c>
      <c r="N39" s="258">
        <f>118650+276850</f>
        <v>395500</v>
      </c>
      <c r="O39" s="258">
        <v>0</v>
      </c>
      <c r="P39" s="258">
        <v>0</v>
      </c>
      <c r="Q39" s="258">
        <v>0</v>
      </c>
      <c r="R39" s="258">
        <v>0</v>
      </c>
      <c r="S39" s="258">
        <v>0</v>
      </c>
      <c r="T39" s="258">
        <v>0</v>
      </c>
      <c r="U39" s="258">
        <v>0</v>
      </c>
      <c r="V39" s="258">
        <v>0</v>
      </c>
      <c r="W39" s="258">
        <v>0</v>
      </c>
      <c r="X39" s="258">
        <v>0</v>
      </c>
      <c r="Y39" s="258">
        <v>0</v>
      </c>
      <c r="Z39" s="258">
        <v>0</v>
      </c>
      <c r="AA39" s="258">
        <v>0</v>
      </c>
      <c r="AB39" s="260">
        <v>2020</v>
      </c>
    </row>
    <row r="40" spans="1:28" s="6" customFormat="1" ht="35.25" customHeight="1" x14ac:dyDescent="0.5">
      <c r="A40" s="6">
        <v>1</v>
      </c>
      <c r="B40" s="225">
        <f>SUBTOTAL(103,$A$7:A40)</f>
        <v>32</v>
      </c>
      <c r="C40" s="254" t="s">
        <v>1761</v>
      </c>
      <c r="D40" s="255">
        <f>E40+F40+G40+H40+I40+J40+L40+M40+N40+O40+P40+Q40+R40+S40+T40+U40+V40+W40+X40+Y40+Z40+AA40</f>
        <v>580372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9">
        <v>1</v>
      </c>
      <c r="L40" s="258">
        <v>174530</v>
      </c>
      <c r="M40" s="258">
        <v>0</v>
      </c>
      <c r="N40" s="258">
        <v>0</v>
      </c>
      <c r="O40" s="258">
        <v>405842</v>
      </c>
      <c r="P40" s="258">
        <v>0</v>
      </c>
      <c r="Q40" s="258">
        <v>0</v>
      </c>
      <c r="R40" s="258">
        <v>0</v>
      </c>
      <c r="S40" s="258">
        <v>0</v>
      </c>
      <c r="T40" s="258">
        <v>0</v>
      </c>
      <c r="U40" s="258">
        <v>0</v>
      </c>
      <c r="V40" s="258">
        <v>0</v>
      </c>
      <c r="W40" s="258">
        <v>0</v>
      </c>
      <c r="X40" s="258">
        <v>0</v>
      </c>
      <c r="Y40" s="258">
        <v>0</v>
      </c>
      <c r="Z40" s="258">
        <v>0</v>
      </c>
      <c r="AA40" s="258">
        <v>0</v>
      </c>
      <c r="AB40" s="260">
        <v>2020</v>
      </c>
    </row>
    <row r="41" spans="1:28" s="6" customFormat="1" ht="35.25" customHeight="1" x14ac:dyDescent="0.5">
      <c r="A41" s="6">
        <v>1</v>
      </c>
      <c r="B41" s="225">
        <f>SUBTOTAL(103,$A$7:A41)</f>
        <v>33</v>
      </c>
      <c r="C41" s="254" t="s">
        <v>1762</v>
      </c>
      <c r="D41" s="255">
        <f t="shared" si="3"/>
        <v>1750000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9">
        <v>1</v>
      </c>
      <c r="L41" s="258">
        <v>1750000</v>
      </c>
      <c r="M41" s="258">
        <v>0</v>
      </c>
      <c r="N41" s="258">
        <v>0</v>
      </c>
      <c r="O41" s="258">
        <v>0</v>
      </c>
      <c r="P41" s="258">
        <v>0</v>
      </c>
      <c r="Q41" s="258">
        <v>0</v>
      </c>
      <c r="R41" s="258">
        <v>0</v>
      </c>
      <c r="S41" s="258">
        <v>0</v>
      </c>
      <c r="T41" s="258">
        <v>0</v>
      </c>
      <c r="U41" s="258">
        <v>0</v>
      </c>
      <c r="V41" s="258">
        <v>0</v>
      </c>
      <c r="W41" s="258">
        <v>0</v>
      </c>
      <c r="X41" s="258">
        <v>0</v>
      </c>
      <c r="Y41" s="258">
        <v>0</v>
      </c>
      <c r="Z41" s="258">
        <v>0</v>
      </c>
      <c r="AA41" s="258">
        <v>0</v>
      </c>
      <c r="AB41" s="260">
        <v>2020</v>
      </c>
    </row>
    <row r="42" spans="1:28" s="6" customFormat="1" ht="35.25" customHeight="1" x14ac:dyDescent="0.5">
      <c r="A42" s="6">
        <v>1</v>
      </c>
      <c r="B42" s="225">
        <f>SUBTOTAL(103,$A$7:A42)</f>
        <v>34</v>
      </c>
      <c r="C42" s="254" t="s">
        <v>1766</v>
      </c>
      <c r="D42" s="255">
        <f t="shared" si="3"/>
        <v>550000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9">
        <v>0</v>
      </c>
      <c r="L42" s="258">
        <v>0</v>
      </c>
      <c r="M42" s="258">
        <v>0</v>
      </c>
      <c r="N42" s="258">
        <v>0</v>
      </c>
      <c r="O42" s="258">
        <v>550000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  <c r="X42" s="258">
        <v>0</v>
      </c>
      <c r="Y42" s="258">
        <v>0</v>
      </c>
      <c r="Z42" s="258">
        <v>0</v>
      </c>
      <c r="AA42" s="258">
        <v>0</v>
      </c>
      <c r="AB42" s="260">
        <v>2020</v>
      </c>
    </row>
    <row r="43" spans="1:28" s="6" customFormat="1" ht="35.25" customHeight="1" x14ac:dyDescent="0.5">
      <c r="A43" s="6">
        <v>1</v>
      </c>
      <c r="B43" s="225">
        <f>SUBTOTAL(103,$A$7:A43)</f>
        <v>35</v>
      </c>
      <c r="C43" s="254" t="s">
        <v>1767</v>
      </c>
      <c r="D43" s="255">
        <f t="shared" si="3"/>
        <v>767597.9</v>
      </c>
      <c r="E43" s="258">
        <v>261568.6</v>
      </c>
      <c r="F43" s="258">
        <v>353140.57</v>
      </c>
      <c r="G43" s="258">
        <v>0</v>
      </c>
      <c r="H43" s="258">
        <v>152888.73000000001</v>
      </c>
      <c r="I43" s="258">
        <v>0</v>
      </c>
      <c r="J43" s="258">
        <v>0</v>
      </c>
      <c r="K43" s="259">
        <v>0</v>
      </c>
      <c r="L43" s="258">
        <v>0</v>
      </c>
      <c r="M43" s="258">
        <v>0</v>
      </c>
      <c r="N43" s="258">
        <v>0</v>
      </c>
      <c r="O43" s="258">
        <v>0</v>
      </c>
      <c r="P43" s="258">
        <v>0</v>
      </c>
      <c r="Q43" s="258">
        <v>0</v>
      </c>
      <c r="R43" s="258">
        <v>0</v>
      </c>
      <c r="S43" s="258">
        <v>0</v>
      </c>
      <c r="T43" s="258">
        <v>0</v>
      </c>
      <c r="U43" s="258">
        <v>0</v>
      </c>
      <c r="V43" s="258">
        <v>0</v>
      </c>
      <c r="W43" s="258">
        <v>0</v>
      </c>
      <c r="X43" s="258">
        <v>0</v>
      </c>
      <c r="Y43" s="258">
        <v>0</v>
      </c>
      <c r="Z43" s="258">
        <v>0</v>
      </c>
      <c r="AA43" s="258">
        <v>0</v>
      </c>
      <c r="AB43" s="260">
        <v>2020</v>
      </c>
    </row>
    <row r="44" spans="1:28" s="6" customFormat="1" ht="35.25" customHeight="1" x14ac:dyDescent="0.5">
      <c r="A44" s="6">
        <v>1</v>
      </c>
      <c r="B44" s="225">
        <f>SUBTOTAL(103,$A$7:A44)</f>
        <v>36</v>
      </c>
      <c r="C44" s="254" t="s">
        <v>1768</v>
      </c>
      <c r="D44" s="255">
        <f t="shared" si="3"/>
        <v>1459045.55</v>
      </c>
      <c r="E44" s="258">
        <v>0</v>
      </c>
      <c r="F44" s="258">
        <v>0</v>
      </c>
      <c r="G44" s="258">
        <v>0</v>
      </c>
      <c r="H44" s="258">
        <v>0</v>
      </c>
      <c r="I44" s="258">
        <v>0</v>
      </c>
      <c r="J44" s="258">
        <v>0</v>
      </c>
      <c r="K44" s="259">
        <v>0</v>
      </c>
      <c r="L44" s="258">
        <v>0</v>
      </c>
      <c r="M44" s="258">
        <v>1459045.55</v>
      </c>
      <c r="N44" s="258">
        <v>0</v>
      </c>
      <c r="O44" s="258">
        <v>0</v>
      </c>
      <c r="P44" s="258">
        <v>0</v>
      </c>
      <c r="Q44" s="258">
        <v>0</v>
      </c>
      <c r="R44" s="258">
        <v>0</v>
      </c>
      <c r="S44" s="258">
        <v>0</v>
      </c>
      <c r="T44" s="258">
        <v>0</v>
      </c>
      <c r="U44" s="258">
        <v>0</v>
      </c>
      <c r="V44" s="258">
        <v>0</v>
      </c>
      <c r="W44" s="258">
        <v>0</v>
      </c>
      <c r="X44" s="258">
        <v>0</v>
      </c>
      <c r="Y44" s="258">
        <v>0</v>
      </c>
      <c r="Z44" s="258">
        <v>0</v>
      </c>
      <c r="AA44" s="258">
        <v>0</v>
      </c>
      <c r="AB44" s="260">
        <v>2020</v>
      </c>
    </row>
    <row r="45" spans="1:28" s="6" customFormat="1" ht="35.25" customHeight="1" x14ac:dyDescent="0.5">
      <c r="A45" s="6">
        <v>1</v>
      </c>
      <c r="B45" s="225">
        <f>SUBTOTAL(103,$A$7:A45)</f>
        <v>37</v>
      </c>
      <c r="C45" s="254" t="s">
        <v>1769</v>
      </c>
      <c r="D45" s="255">
        <f t="shared" si="3"/>
        <v>293676</v>
      </c>
      <c r="E45" s="258">
        <v>0</v>
      </c>
      <c r="F45" s="258">
        <v>0</v>
      </c>
      <c r="G45" s="258">
        <v>0</v>
      </c>
      <c r="H45" s="258">
        <v>0</v>
      </c>
      <c r="I45" s="258">
        <v>0</v>
      </c>
      <c r="J45" s="258">
        <v>0</v>
      </c>
      <c r="K45" s="259">
        <v>1</v>
      </c>
      <c r="L45" s="258">
        <v>293676</v>
      </c>
      <c r="M45" s="258">
        <v>0</v>
      </c>
      <c r="N45" s="258">
        <v>0</v>
      </c>
      <c r="O45" s="258">
        <v>0</v>
      </c>
      <c r="P45" s="258">
        <v>0</v>
      </c>
      <c r="Q45" s="258">
        <v>0</v>
      </c>
      <c r="R45" s="258">
        <v>0</v>
      </c>
      <c r="S45" s="258">
        <v>0</v>
      </c>
      <c r="T45" s="258">
        <v>0</v>
      </c>
      <c r="U45" s="258">
        <v>0</v>
      </c>
      <c r="V45" s="258">
        <v>0</v>
      </c>
      <c r="W45" s="258">
        <v>0</v>
      </c>
      <c r="X45" s="258">
        <v>0</v>
      </c>
      <c r="Y45" s="258">
        <v>0</v>
      </c>
      <c r="Z45" s="258">
        <v>0</v>
      </c>
      <c r="AA45" s="258">
        <v>0</v>
      </c>
      <c r="AB45" s="260">
        <v>2020</v>
      </c>
    </row>
    <row r="46" spans="1:28" s="6" customFormat="1" ht="35.25" customHeight="1" x14ac:dyDescent="0.5">
      <c r="A46" s="6">
        <v>1</v>
      </c>
      <c r="B46" s="225">
        <f>SUBTOTAL(103,$A$7:A46)</f>
        <v>38</v>
      </c>
      <c r="C46" s="254" t="s">
        <v>1770</v>
      </c>
      <c r="D46" s="255">
        <f t="shared" si="3"/>
        <v>2123411</v>
      </c>
      <c r="E46" s="258">
        <v>0</v>
      </c>
      <c r="F46" s="258">
        <v>0</v>
      </c>
      <c r="G46" s="258">
        <v>0</v>
      </c>
      <c r="H46" s="258">
        <v>0</v>
      </c>
      <c r="I46" s="258">
        <v>0</v>
      </c>
      <c r="J46" s="258">
        <v>0</v>
      </c>
      <c r="K46" s="259">
        <v>0</v>
      </c>
      <c r="L46" s="258">
        <v>0</v>
      </c>
      <c r="M46" s="258">
        <v>2123411</v>
      </c>
      <c r="N46" s="258">
        <v>0</v>
      </c>
      <c r="O46" s="258">
        <v>0</v>
      </c>
      <c r="P46" s="258">
        <v>0</v>
      </c>
      <c r="Q46" s="258">
        <v>0</v>
      </c>
      <c r="R46" s="258">
        <v>0</v>
      </c>
      <c r="S46" s="258">
        <v>0</v>
      </c>
      <c r="T46" s="258">
        <v>0</v>
      </c>
      <c r="U46" s="258">
        <v>0</v>
      </c>
      <c r="V46" s="258">
        <v>0</v>
      </c>
      <c r="W46" s="258">
        <v>0</v>
      </c>
      <c r="X46" s="258">
        <v>0</v>
      </c>
      <c r="Y46" s="258">
        <v>0</v>
      </c>
      <c r="Z46" s="258">
        <v>0</v>
      </c>
      <c r="AA46" s="258">
        <v>0</v>
      </c>
      <c r="AB46" s="260">
        <v>2020</v>
      </c>
    </row>
    <row r="47" spans="1:28" s="6" customFormat="1" ht="35.25" customHeight="1" x14ac:dyDescent="0.5">
      <c r="A47" s="6">
        <v>1</v>
      </c>
      <c r="B47" s="225">
        <f>SUBTOTAL(103,$A$7:A47)</f>
        <v>39</v>
      </c>
      <c r="C47" s="254" t="s">
        <v>1771</v>
      </c>
      <c r="D47" s="255">
        <f t="shared" si="3"/>
        <v>230447</v>
      </c>
      <c r="E47" s="258">
        <v>0</v>
      </c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9">
        <v>0</v>
      </c>
      <c r="L47" s="258">
        <v>0</v>
      </c>
      <c r="M47" s="258">
        <v>0</v>
      </c>
      <c r="N47" s="258">
        <v>0</v>
      </c>
      <c r="O47" s="258">
        <v>230447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  <c r="X47" s="258">
        <v>0</v>
      </c>
      <c r="Y47" s="258">
        <v>0</v>
      </c>
      <c r="Z47" s="258">
        <v>0</v>
      </c>
      <c r="AA47" s="258">
        <v>0</v>
      </c>
      <c r="AB47" s="260">
        <v>2020</v>
      </c>
    </row>
    <row r="48" spans="1:28" s="6" customFormat="1" ht="35.25" customHeight="1" x14ac:dyDescent="0.5">
      <c r="A48" s="6">
        <v>1</v>
      </c>
      <c r="B48" s="225">
        <f>SUBTOTAL(103,$A$7:A48)</f>
        <v>40</v>
      </c>
      <c r="C48" s="254" t="s">
        <v>1772</v>
      </c>
      <c r="D48" s="255">
        <f t="shared" si="3"/>
        <v>532382.57999999996</v>
      </c>
      <c r="E48" s="258">
        <v>0</v>
      </c>
      <c r="F48" s="258">
        <v>0</v>
      </c>
      <c r="G48" s="258">
        <v>0</v>
      </c>
      <c r="H48" s="258">
        <v>0</v>
      </c>
      <c r="I48" s="258">
        <v>532382.57999999996</v>
      </c>
      <c r="J48" s="258">
        <v>0</v>
      </c>
      <c r="K48" s="259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  <c r="X48" s="258">
        <v>0</v>
      </c>
      <c r="Y48" s="258">
        <v>0</v>
      </c>
      <c r="Z48" s="258">
        <v>0</v>
      </c>
      <c r="AA48" s="258">
        <v>0</v>
      </c>
      <c r="AB48" s="260">
        <v>2020</v>
      </c>
    </row>
    <row r="49" spans="1:28" s="6" customFormat="1" ht="35.25" customHeight="1" x14ac:dyDescent="0.5">
      <c r="A49" s="6">
        <v>1</v>
      </c>
      <c r="B49" s="225">
        <f>SUBTOTAL(103,$A$7:A49)</f>
        <v>41</v>
      </c>
      <c r="C49" s="254" t="s">
        <v>1773</v>
      </c>
      <c r="D49" s="255">
        <f t="shared" si="3"/>
        <v>368373.54000000004</v>
      </c>
      <c r="E49" s="258">
        <v>175244.79</v>
      </c>
      <c r="F49" s="258">
        <v>193128.75</v>
      </c>
      <c r="G49" s="258">
        <v>0</v>
      </c>
      <c r="H49" s="258">
        <v>0</v>
      </c>
      <c r="I49" s="258">
        <v>0</v>
      </c>
      <c r="J49" s="258">
        <v>0</v>
      </c>
      <c r="K49" s="259">
        <v>0</v>
      </c>
      <c r="L49" s="258">
        <v>0</v>
      </c>
      <c r="M49" s="258">
        <v>0</v>
      </c>
      <c r="N49" s="258">
        <v>0</v>
      </c>
      <c r="O49" s="258">
        <v>0</v>
      </c>
      <c r="P49" s="258">
        <v>0</v>
      </c>
      <c r="Q49" s="258">
        <v>0</v>
      </c>
      <c r="R49" s="258">
        <v>0</v>
      </c>
      <c r="S49" s="258">
        <v>0</v>
      </c>
      <c r="T49" s="258">
        <v>0</v>
      </c>
      <c r="U49" s="258">
        <v>0</v>
      </c>
      <c r="V49" s="258">
        <v>0</v>
      </c>
      <c r="W49" s="258">
        <v>0</v>
      </c>
      <c r="X49" s="258">
        <v>0</v>
      </c>
      <c r="Y49" s="258">
        <v>0</v>
      </c>
      <c r="Z49" s="258">
        <v>0</v>
      </c>
      <c r="AA49" s="258">
        <v>0</v>
      </c>
      <c r="AB49" s="260">
        <v>2020</v>
      </c>
    </row>
    <row r="50" spans="1:28" s="6" customFormat="1" ht="35.25" customHeight="1" x14ac:dyDescent="0.5">
      <c r="A50" s="6">
        <v>1</v>
      </c>
      <c r="B50" s="225">
        <f>SUBTOTAL(103,$A$7:A50)</f>
        <v>42</v>
      </c>
      <c r="C50" s="254" t="s">
        <v>1774</v>
      </c>
      <c r="D50" s="255">
        <f t="shared" si="3"/>
        <v>1008901</v>
      </c>
      <c r="E50" s="258">
        <v>0</v>
      </c>
      <c r="F50" s="258">
        <v>0</v>
      </c>
      <c r="G50" s="258">
        <v>404448</v>
      </c>
      <c r="H50" s="258">
        <v>0</v>
      </c>
      <c r="I50" s="258">
        <v>0</v>
      </c>
      <c r="J50" s="258">
        <v>0</v>
      </c>
      <c r="K50" s="259">
        <v>0</v>
      </c>
      <c r="L50" s="258">
        <v>0</v>
      </c>
      <c r="M50" s="258">
        <v>0</v>
      </c>
      <c r="N50" s="258">
        <v>554453</v>
      </c>
      <c r="O50" s="258">
        <v>0</v>
      </c>
      <c r="P50" s="258">
        <v>0</v>
      </c>
      <c r="Q50" s="258">
        <v>0</v>
      </c>
      <c r="R50" s="258">
        <v>0</v>
      </c>
      <c r="S50" s="258">
        <v>0</v>
      </c>
      <c r="T50" s="258">
        <v>0</v>
      </c>
      <c r="U50" s="258">
        <v>0</v>
      </c>
      <c r="V50" s="258">
        <v>0</v>
      </c>
      <c r="W50" s="258">
        <v>0</v>
      </c>
      <c r="X50" s="258">
        <v>0</v>
      </c>
      <c r="Y50" s="258">
        <v>0</v>
      </c>
      <c r="Z50" s="258">
        <v>50000</v>
      </c>
      <c r="AA50" s="258">
        <v>0</v>
      </c>
      <c r="AB50" s="260">
        <v>2020</v>
      </c>
    </row>
    <row r="51" spans="1:28" s="6" customFormat="1" ht="35.25" customHeight="1" x14ac:dyDescent="0.5">
      <c r="A51" s="6">
        <v>1</v>
      </c>
      <c r="B51" s="225">
        <f>SUBTOTAL(103,$A$7:A51)</f>
        <v>43</v>
      </c>
      <c r="C51" s="254" t="s">
        <v>1775</v>
      </c>
      <c r="D51" s="255">
        <f t="shared" si="3"/>
        <v>1164297</v>
      </c>
      <c r="E51" s="258">
        <v>0</v>
      </c>
      <c r="F51" s="258">
        <v>0</v>
      </c>
      <c r="G51" s="258">
        <v>0</v>
      </c>
      <c r="H51" s="258">
        <v>0</v>
      </c>
      <c r="I51" s="258">
        <v>0</v>
      </c>
      <c r="J51" s="258">
        <v>0</v>
      </c>
      <c r="K51" s="259">
        <v>0</v>
      </c>
      <c r="L51" s="258">
        <v>0</v>
      </c>
      <c r="M51" s="258">
        <v>1164297</v>
      </c>
      <c r="N51" s="258">
        <v>0</v>
      </c>
      <c r="O51" s="258">
        <v>0</v>
      </c>
      <c r="P51" s="258">
        <v>0</v>
      </c>
      <c r="Q51" s="258">
        <v>0</v>
      </c>
      <c r="R51" s="258">
        <v>0</v>
      </c>
      <c r="S51" s="258">
        <v>0</v>
      </c>
      <c r="T51" s="258">
        <v>0</v>
      </c>
      <c r="U51" s="258">
        <v>0</v>
      </c>
      <c r="V51" s="258">
        <v>0</v>
      </c>
      <c r="W51" s="258">
        <v>0</v>
      </c>
      <c r="X51" s="258">
        <v>0</v>
      </c>
      <c r="Y51" s="258">
        <v>0</v>
      </c>
      <c r="Z51" s="258">
        <v>0</v>
      </c>
      <c r="AA51" s="258">
        <v>0</v>
      </c>
      <c r="AB51" s="260">
        <v>2020</v>
      </c>
    </row>
    <row r="52" spans="1:28" s="6" customFormat="1" ht="35.25" customHeight="1" x14ac:dyDescent="0.5">
      <c r="A52" s="6">
        <v>1</v>
      </c>
      <c r="B52" s="225">
        <f>SUBTOTAL(103,$A$7:A52)</f>
        <v>44</v>
      </c>
      <c r="C52" s="254" t="s">
        <v>1776</v>
      </c>
      <c r="D52" s="255">
        <f t="shared" si="3"/>
        <v>2377591.96</v>
      </c>
      <c r="E52" s="258">
        <v>877591.96</v>
      </c>
      <c r="F52" s="258">
        <v>1500000</v>
      </c>
      <c r="G52" s="258">
        <v>0</v>
      </c>
      <c r="H52" s="258">
        <v>0</v>
      </c>
      <c r="I52" s="258">
        <v>0</v>
      </c>
      <c r="J52" s="258">
        <v>0</v>
      </c>
      <c r="K52" s="259">
        <v>0</v>
      </c>
      <c r="L52" s="258">
        <v>0</v>
      </c>
      <c r="M52" s="258">
        <v>0</v>
      </c>
      <c r="N52" s="258">
        <v>0</v>
      </c>
      <c r="O52" s="258">
        <v>0</v>
      </c>
      <c r="P52" s="258">
        <v>0</v>
      </c>
      <c r="Q52" s="258">
        <v>0</v>
      </c>
      <c r="R52" s="258">
        <v>0</v>
      </c>
      <c r="S52" s="258">
        <v>0</v>
      </c>
      <c r="T52" s="258">
        <v>0</v>
      </c>
      <c r="U52" s="258">
        <v>0</v>
      </c>
      <c r="V52" s="258">
        <v>0</v>
      </c>
      <c r="W52" s="258">
        <v>0</v>
      </c>
      <c r="X52" s="258">
        <v>0</v>
      </c>
      <c r="Y52" s="258">
        <v>0</v>
      </c>
      <c r="Z52" s="258">
        <v>0</v>
      </c>
      <c r="AA52" s="258">
        <v>0</v>
      </c>
      <c r="AB52" s="260">
        <v>2020</v>
      </c>
    </row>
    <row r="53" spans="1:28" s="6" customFormat="1" ht="35.25" customHeight="1" x14ac:dyDescent="0.5">
      <c r="A53" s="6">
        <v>1</v>
      </c>
      <c r="B53" s="225">
        <f>SUBTOTAL(103,$A$7:A53)</f>
        <v>45</v>
      </c>
      <c r="C53" s="254" t="s">
        <v>1777</v>
      </c>
      <c r="D53" s="255">
        <f t="shared" si="3"/>
        <v>659346.14</v>
      </c>
      <c r="E53" s="258">
        <v>0</v>
      </c>
      <c r="F53" s="258">
        <v>659346.14</v>
      </c>
      <c r="G53" s="258">
        <v>0</v>
      </c>
      <c r="H53" s="258">
        <v>0</v>
      </c>
      <c r="I53" s="258">
        <v>0</v>
      </c>
      <c r="J53" s="258">
        <v>0</v>
      </c>
      <c r="K53" s="259">
        <v>0</v>
      </c>
      <c r="L53" s="258">
        <v>0</v>
      </c>
      <c r="M53" s="258">
        <v>0</v>
      </c>
      <c r="N53" s="258">
        <v>0</v>
      </c>
      <c r="O53" s="258">
        <v>0</v>
      </c>
      <c r="P53" s="258">
        <v>0</v>
      </c>
      <c r="Q53" s="258">
        <v>0</v>
      </c>
      <c r="R53" s="258">
        <v>0</v>
      </c>
      <c r="S53" s="258">
        <v>0</v>
      </c>
      <c r="T53" s="258">
        <v>0</v>
      </c>
      <c r="U53" s="258">
        <v>0</v>
      </c>
      <c r="V53" s="258">
        <v>0</v>
      </c>
      <c r="W53" s="258">
        <v>0</v>
      </c>
      <c r="X53" s="258">
        <v>0</v>
      </c>
      <c r="Y53" s="258">
        <v>0</v>
      </c>
      <c r="Z53" s="258">
        <v>0</v>
      </c>
      <c r="AA53" s="258">
        <v>0</v>
      </c>
      <c r="AB53" s="260">
        <v>2020</v>
      </c>
    </row>
    <row r="54" spans="1:28" s="6" customFormat="1" ht="35.25" customHeight="1" x14ac:dyDescent="0.5">
      <c r="A54" s="6">
        <v>1</v>
      </c>
      <c r="B54" s="225">
        <f>SUBTOTAL(103,$A$7:A54)</f>
        <v>46</v>
      </c>
      <c r="C54" s="254" t="s">
        <v>1778</v>
      </c>
      <c r="D54" s="255">
        <f t="shared" si="3"/>
        <v>441089</v>
      </c>
      <c r="E54" s="258">
        <v>0</v>
      </c>
      <c r="F54" s="258">
        <v>441089</v>
      </c>
      <c r="G54" s="258">
        <v>0</v>
      </c>
      <c r="H54" s="258">
        <v>0</v>
      </c>
      <c r="I54" s="258">
        <v>0</v>
      </c>
      <c r="J54" s="258">
        <v>0</v>
      </c>
      <c r="K54" s="259">
        <v>0</v>
      </c>
      <c r="L54" s="258">
        <v>0</v>
      </c>
      <c r="M54" s="258">
        <v>0</v>
      </c>
      <c r="N54" s="258">
        <v>0</v>
      </c>
      <c r="O54" s="258">
        <v>0</v>
      </c>
      <c r="P54" s="258">
        <v>0</v>
      </c>
      <c r="Q54" s="258">
        <v>0</v>
      </c>
      <c r="R54" s="258">
        <v>0</v>
      </c>
      <c r="S54" s="258">
        <v>0</v>
      </c>
      <c r="T54" s="258">
        <v>0</v>
      </c>
      <c r="U54" s="258">
        <v>0</v>
      </c>
      <c r="V54" s="258">
        <v>0</v>
      </c>
      <c r="W54" s="258">
        <v>0</v>
      </c>
      <c r="X54" s="258">
        <v>0</v>
      </c>
      <c r="Y54" s="258">
        <v>0</v>
      </c>
      <c r="Z54" s="258">
        <v>0</v>
      </c>
      <c r="AA54" s="258">
        <v>0</v>
      </c>
      <c r="AB54" s="260">
        <v>2020</v>
      </c>
    </row>
    <row r="55" spans="1:28" s="6" customFormat="1" ht="35.25" customHeight="1" x14ac:dyDescent="0.5">
      <c r="A55" s="6">
        <v>1</v>
      </c>
      <c r="B55" s="225">
        <f>SUBTOTAL(103,$A$7:A55)</f>
        <v>47</v>
      </c>
      <c r="C55" s="254" t="s">
        <v>1779</v>
      </c>
      <c r="D55" s="255">
        <f t="shared" si="3"/>
        <v>190756</v>
      </c>
      <c r="E55" s="258">
        <v>0</v>
      </c>
      <c r="F55" s="258">
        <v>0</v>
      </c>
      <c r="G55" s="258">
        <v>0</v>
      </c>
      <c r="H55" s="258">
        <v>0</v>
      </c>
      <c r="I55" s="258">
        <v>0</v>
      </c>
      <c r="J55" s="258">
        <v>0</v>
      </c>
      <c r="K55" s="259">
        <v>1</v>
      </c>
      <c r="L55" s="258">
        <v>190756</v>
      </c>
      <c r="M55" s="258">
        <v>0</v>
      </c>
      <c r="N55" s="258">
        <v>0</v>
      </c>
      <c r="O55" s="258">
        <v>0</v>
      </c>
      <c r="P55" s="258">
        <v>0</v>
      </c>
      <c r="Q55" s="258">
        <v>0</v>
      </c>
      <c r="R55" s="258">
        <v>0</v>
      </c>
      <c r="S55" s="258">
        <v>0</v>
      </c>
      <c r="T55" s="258">
        <v>0</v>
      </c>
      <c r="U55" s="258">
        <v>0</v>
      </c>
      <c r="V55" s="258">
        <v>0</v>
      </c>
      <c r="W55" s="258">
        <v>0</v>
      </c>
      <c r="X55" s="258">
        <v>0</v>
      </c>
      <c r="Y55" s="258">
        <v>0</v>
      </c>
      <c r="Z55" s="258">
        <v>0</v>
      </c>
      <c r="AA55" s="258">
        <v>0</v>
      </c>
      <c r="AB55" s="260">
        <v>2020</v>
      </c>
    </row>
    <row r="56" spans="1:28" s="6" customFormat="1" ht="35.25" customHeight="1" x14ac:dyDescent="0.5">
      <c r="A56" s="6">
        <v>1</v>
      </c>
      <c r="B56" s="225">
        <f>SUBTOTAL(103,$A$7:A56)</f>
        <v>48</v>
      </c>
      <c r="C56" s="254" t="s">
        <v>1780</v>
      </c>
      <c r="D56" s="255">
        <f t="shared" si="3"/>
        <v>141772</v>
      </c>
      <c r="E56" s="258">
        <v>0</v>
      </c>
      <c r="F56" s="258">
        <v>0</v>
      </c>
      <c r="G56" s="258">
        <v>0</v>
      </c>
      <c r="H56" s="258">
        <v>0</v>
      </c>
      <c r="I56" s="258">
        <v>0</v>
      </c>
      <c r="J56" s="258">
        <v>0</v>
      </c>
      <c r="K56" s="259">
        <v>0</v>
      </c>
      <c r="L56" s="258">
        <v>0</v>
      </c>
      <c r="M56" s="258">
        <v>0</v>
      </c>
      <c r="N56" s="258">
        <v>0</v>
      </c>
      <c r="O56" s="258">
        <v>141772</v>
      </c>
      <c r="P56" s="258">
        <v>0</v>
      </c>
      <c r="Q56" s="258">
        <v>0</v>
      </c>
      <c r="R56" s="258">
        <v>0</v>
      </c>
      <c r="S56" s="258">
        <v>0</v>
      </c>
      <c r="T56" s="258">
        <v>0</v>
      </c>
      <c r="U56" s="258">
        <v>0</v>
      </c>
      <c r="V56" s="258">
        <v>0</v>
      </c>
      <c r="W56" s="258">
        <v>0</v>
      </c>
      <c r="X56" s="258">
        <v>0</v>
      </c>
      <c r="Y56" s="258">
        <v>0</v>
      </c>
      <c r="Z56" s="258">
        <v>0</v>
      </c>
      <c r="AA56" s="258">
        <v>0</v>
      </c>
      <c r="AB56" s="260">
        <v>2020</v>
      </c>
    </row>
    <row r="57" spans="1:28" s="6" customFormat="1" ht="35.25" customHeight="1" x14ac:dyDescent="0.5">
      <c r="A57" s="6">
        <v>1</v>
      </c>
      <c r="B57" s="225">
        <f>SUBTOTAL(103,$A$7:A57)</f>
        <v>49</v>
      </c>
      <c r="C57" s="254" t="s">
        <v>1781</v>
      </c>
      <c r="D57" s="255">
        <f t="shared" si="3"/>
        <v>32843</v>
      </c>
      <c r="E57" s="258">
        <v>0</v>
      </c>
      <c r="F57" s="258">
        <v>0</v>
      </c>
      <c r="G57" s="258">
        <v>0</v>
      </c>
      <c r="H57" s="258">
        <v>0</v>
      </c>
      <c r="I57" s="258">
        <v>0</v>
      </c>
      <c r="J57" s="258">
        <v>0</v>
      </c>
      <c r="K57" s="259">
        <v>0</v>
      </c>
      <c r="L57" s="258">
        <v>0</v>
      </c>
      <c r="M57" s="258">
        <v>0</v>
      </c>
      <c r="N57" s="258">
        <v>32843</v>
      </c>
      <c r="O57" s="258">
        <v>0</v>
      </c>
      <c r="P57" s="258">
        <v>0</v>
      </c>
      <c r="Q57" s="258">
        <v>0</v>
      </c>
      <c r="R57" s="258">
        <v>0</v>
      </c>
      <c r="S57" s="258">
        <v>0</v>
      </c>
      <c r="T57" s="258">
        <v>0</v>
      </c>
      <c r="U57" s="258">
        <v>0</v>
      </c>
      <c r="V57" s="258">
        <v>0</v>
      </c>
      <c r="W57" s="258">
        <v>0</v>
      </c>
      <c r="X57" s="258">
        <v>0</v>
      </c>
      <c r="Y57" s="258">
        <v>0</v>
      </c>
      <c r="Z57" s="258">
        <v>0</v>
      </c>
      <c r="AA57" s="258">
        <v>0</v>
      </c>
      <c r="AB57" s="260">
        <v>2020</v>
      </c>
    </row>
    <row r="58" spans="1:28" s="6" customFormat="1" ht="35.25" customHeight="1" x14ac:dyDescent="0.5">
      <c r="A58" s="6">
        <v>1</v>
      </c>
      <c r="B58" s="225">
        <f>SUBTOTAL(103,$A$7:A58)</f>
        <v>50</v>
      </c>
      <c r="C58" s="254" t="s">
        <v>1782</v>
      </c>
      <c r="D58" s="255">
        <f t="shared" si="3"/>
        <v>69666</v>
      </c>
      <c r="E58" s="258">
        <v>0</v>
      </c>
      <c r="F58" s="258">
        <v>0</v>
      </c>
      <c r="G58" s="258">
        <v>0</v>
      </c>
      <c r="H58" s="258">
        <v>0</v>
      </c>
      <c r="I58" s="258">
        <v>0</v>
      </c>
      <c r="J58" s="258">
        <v>0</v>
      </c>
      <c r="K58" s="259">
        <v>0</v>
      </c>
      <c r="L58" s="258">
        <v>0</v>
      </c>
      <c r="M58" s="258">
        <v>0</v>
      </c>
      <c r="N58" s="258">
        <v>69666</v>
      </c>
      <c r="O58" s="258">
        <v>0</v>
      </c>
      <c r="P58" s="258">
        <v>0</v>
      </c>
      <c r="Q58" s="258">
        <v>0</v>
      </c>
      <c r="R58" s="258">
        <v>0</v>
      </c>
      <c r="S58" s="258">
        <v>0</v>
      </c>
      <c r="T58" s="258">
        <v>0</v>
      </c>
      <c r="U58" s="258">
        <v>0</v>
      </c>
      <c r="V58" s="258">
        <v>0</v>
      </c>
      <c r="W58" s="258">
        <v>0</v>
      </c>
      <c r="X58" s="258">
        <v>0</v>
      </c>
      <c r="Y58" s="258">
        <v>0</v>
      </c>
      <c r="Z58" s="258">
        <v>0</v>
      </c>
      <c r="AA58" s="258">
        <v>0</v>
      </c>
      <c r="AB58" s="260">
        <v>2020</v>
      </c>
    </row>
    <row r="59" spans="1:28" s="6" customFormat="1" ht="35.25" customHeight="1" x14ac:dyDescent="0.5">
      <c r="A59" s="6">
        <v>1</v>
      </c>
      <c r="B59" s="225">
        <f>SUBTOTAL(103,$A$7:A59)</f>
        <v>51</v>
      </c>
      <c r="C59" s="254" t="s">
        <v>1783</v>
      </c>
      <c r="D59" s="255">
        <f t="shared" si="3"/>
        <v>452575.38</v>
      </c>
      <c r="E59" s="258">
        <v>222826.38</v>
      </c>
      <c r="F59" s="258">
        <v>0</v>
      </c>
      <c r="G59" s="258">
        <v>0</v>
      </c>
      <c r="H59" s="258">
        <v>0</v>
      </c>
      <c r="I59" s="258">
        <v>0</v>
      </c>
      <c r="J59" s="258">
        <v>0</v>
      </c>
      <c r="K59" s="259">
        <v>0</v>
      </c>
      <c r="L59" s="258">
        <v>0</v>
      </c>
      <c r="M59" s="258">
        <v>0</v>
      </c>
      <c r="N59" s="258">
        <v>152567</v>
      </c>
      <c r="O59" s="258">
        <v>77182</v>
      </c>
      <c r="P59" s="258">
        <v>0</v>
      </c>
      <c r="Q59" s="258">
        <v>0</v>
      </c>
      <c r="R59" s="258">
        <v>0</v>
      </c>
      <c r="S59" s="258">
        <v>0</v>
      </c>
      <c r="T59" s="258">
        <v>0</v>
      </c>
      <c r="U59" s="258">
        <v>0</v>
      </c>
      <c r="V59" s="258">
        <v>0</v>
      </c>
      <c r="W59" s="258">
        <v>0</v>
      </c>
      <c r="X59" s="258">
        <v>0</v>
      </c>
      <c r="Y59" s="258">
        <v>0</v>
      </c>
      <c r="Z59" s="258">
        <v>0</v>
      </c>
      <c r="AA59" s="258">
        <v>0</v>
      </c>
      <c r="AB59" s="260">
        <v>2020</v>
      </c>
    </row>
    <row r="60" spans="1:28" s="6" customFormat="1" ht="35.25" customHeight="1" x14ac:dyDescent="0.5">
      <c r="A60" s="6">
        <v>1</v>
      </c>
      <c r="B60" s="225">
        <f>SUBTOTAL(103,$A$7:A60)</f>
        <v>52</v>
      </c>
      <c r="C60" s="254" t="s">
        <v>1784</v>
      </c>
      <c r="D60" s="255">
        <f t="shared" si="3"/>
        <v>1654683.92</v>
      </c>
      <c r="E60" s="258">
        <v>0</v>
      </c>
      <c r="F60" s="258">
        <v>0</v>
      </c>
      <c r="G60" s="258">
        <v>0</v>
      </c>
      <c r="H60" s="258">
        <v>0</v>
      </c>
      <c r="I60" s="258">
        <v>0</v>
      </c>
      <c r="J60" s="258">
        <v>0</v>
      </c>
      <c r="K60" s="259">
        <v>0</v>
      </c>
      <c r="L60" s="258">
        <v>0</v>
      </c>
      <c r="M60" s="258">
        <v>1624695.92</v>
      </c>
      <c r="N60" s="258">
        <v>29988</v>
      </c>
      <c r="O60" s="258">
        <v>0</v>
      </c>
      <c r="P60" s="258">
        <v>0</v>
      </c>
      <c r="Q60" s="258">
        <v>0</v>
      </c>
      <c r="R60" s="258">
        <v>0</v>
      </c>
      <c r="S60" s="258">
        <v>0</v>
      </c>
      <c r="T60" s="258">
        <v>0</v>
      </c>
      <c r="U60" s="258">
        <v>0</v>
      </c>
      <c r="V60" s="258">
        <v>0</v>
      </c>
      <c r="W60" s="258">
        <v>0</v>
      </c>
      <c r="X60" s="258">
        <v>0</v>
      </c>
      <c r="Y60" s="258">
        <v>0</v>
      </c>
      <c r="Z60" s="258">
        <v>0</v>
      </c>
      <c r="AA60" s="258">
        <v>0</v>
      </c>
      <c r="AB60" s="260">
        <v>2020</v>
      </c>
    </row>
    <row r="61" spans="1:28" s="6" customFormat="1" ht="35.25" customHeight="1" x14ac:dyDescent="0.5">
      <c r="A61" s="6">
        <v>1</v>
      </c>
      <c r="B61" s="225">
        <f>SUBTOTAL(103,$A$7:A61)</f>
        <v>53</v>
      </c>
      <c r="C61" s="254" t="s">
        <v>1785</v>
      </c>
      <c r="D61" s="255">
        <f t="shared" si="3"/>
        <v>131422</v>
      </c>
      <c r="E61" s="258">
        <v>0</v>
      </c>
      <c r="F61" s="258">
        <v>0</v>
      </c>
      <c r="G61" s="258">
        <v>0</v>
      </c>
      <c r="H61" s="258">
        <v>0</v>
      </c>
      <c r="I61" s="258">
        <v>0</v>
      </c>
      <c r="J61" s="258">
        <v>0</v>
      </c>
      <c r="K61" s="259">
        <v>0</v>
      </c>
      <c r="L61" s="258">
        <v>0</v>
      </c>
      <c r="M61" s="258">
        <v>0</v>
      </c>
      <c r="N61" s="258">
        <v>0</v>
      </c>
      <c r="O61" s="258">
        <v>131422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58">
        <v>0</v>
      </c>
      <c r="Y61" s="258">
        <v>0</v>
      </c>
      <c r="Z61" s="258">
        <v>0</v>
      </c>
      <c r="AA61" s="258">
        <v>0</v>
      </c>
      <c r="AB61" s="260">
        <v>2020</v>
      </c>
    </row>
    <row r="62" spans="1:28" s="6" customFormat="1" ht="35.25" customHeight="1" x14ac:dyDescent="0.5">
      <c r="A62" s="6">
        <v>1</v>
      </c>
      <c r="B62" s="225">
        <f>SUBTOTAL(103,$A$7:A62)</f>
        <v>54</v>
      </c>
      <c r="C62" s="254" t="s">
        <v>1786</v>
      </c>
      <c r="D62" s="255">
        <f t="shared" si="3"/>
        <v>232205.73</v>
      </c>
      <c r="E62" s="258">
        <v>0</v>
      </c>
      <c r="F62" s="258">
        <v>0</v>
      </c>
      <c r="G62" s="258">
        <v>0</v>
      </c>
      <c r="H62" s="258">
        <v>0</v>
      </c>
      <c r="I62" s="258">
        <v>0</v>
      </c>
      <c r="J62" s="258">
        <v>0</v>
      </c>
      <c r="K62" s="259">
        <v>0</v>
      </c>
      <c r="L62" s="258">
        <v>0</v>
      </c>
      <c r="M62" s="258">
        <v>0</v>
      </c>
      <c r="N62" s="258">
        <v>0</v>
      </c>
      <c r="O62" s="258">
        <v>232205.73</v>
      </c>
      <c r="P62" s="258">
        <v>0</v>
      </c>
      <c r="Q62" s="258">
        <v>0</v>
      </c>
      <c r="R62" s="258">
        <v>0</v>
      </c>
      <c r="S62" s="258">
        <v>0</v>
      </c>
      <c r="T62" s="258">
        <v>0</v>
      </c>
      <c r="U62" s="258">
        <v>0</v>
      </c>
      <c r="V62" s="258">
        <v>0</v>
      </c>
      <c r="W62" s="258">
        <v>0</v>
      </c>
      <c r="X62" s="258">
        <v>0</v>
      </c>
      <c r="Y62" s="258">
        <v>0</v>
      </c>
      <c r="Z62" s="258">
        <v>0</v>
      </c>
      <c r="AA62" s="258">
        <v>0</v>
      </c>
      <c r="AB62" s="260">
        <v>2020</v>
      </c>
    </row>
    <row r="63" spans="1:28" s="6" customFormat="1" ht="35.25" customHeight="1" x14ac:dyDescent="0.5">
      <c r="A63" s="6">
        <v>1</v>
      </c>
      <c r="B63" s="225">
        <f>SUBTOTAL(103,$A$7:A63)</f>
        <v>55</v>
      </c>
      <c r="C63" s="254" t="s">
        <v>1787</v>
      </c>
      <c r="D63" s="255">
        <f t="shared" si="3"/>
        <v>664946.64</v>
      </c>
      <c r="E63" s="258">
        <v>281247.58</v>
      </c>
      <c r="F63" s="258">
        <v>383699.06</v>
      </c>
      <c r="G63" s="258">
        <v>0</v>
      </c>
      <c r="H63" s="258">
        <v>0</v>
      </c>
      <c r="I63" s="258">
        <v>0</v>
      </c>
      <c r="J63" s="258">
        <v>0</v>
      </c>
      <c r="K63" s="259">
        <v>0</v>
      </c>
      <c r="L63" s="258">
        <v>0</v>
      </c>
      <c r="M63" s="258">
        <v>0</v>
      </c>
      <c r="N63" s="258">
        <v>0</v>
      </c>
      <c r="O63" s="258">
        <v>0</v>
      </c>
      <c r="P63" s="258">
        <v>0</v>
      </c>
      <c r="Q63" s="258">
        <v>0</v>
      </c>
      <c r="R63" s="258">
        <v>0</v>
      </c>
      <c r="S63" s="258">
        <v>0</v>
      </c>
      <c r="T63" s="258">
        <v>0</v>
      </c>
      <c r="U63" s="258">
        <v>0</v>
      </c>
      <c r="V63" s="258">
        <v>0</v>
      </c>
      <c r="W63" s="258">
        <v>0</v>
      </c>
      <c r="X63" s="258">
        <v>0</v>
      </c>
      <c r="Y63" s="258">
        <v>0</v>
      </c>
      <c r="Z63" s="258">
        <v>0</v>
      </c>
      <c r="AA63" s="258">
        <v>0</v>
      </c>
      <c r="AB63" s="260">
        <v>2020</v>
      </c>
    </row>
    <row r="64" spans="1:28" s="6" customFormat="1" ht="35.25" customHeight="1" x14ac:dyDescent="0.5">
      <c r="A64" s="6">
        <v>1</v>
      </c>
      <c r="B64" s="225">
        <f>SUBTOTAL(103,$A$7:A64)</f>
        <v>56</v>
      </c>
      <c r="C64" s="254" t="s">
        <v>1788</v>
      </c>
      <c r="D64" s="255">
        <f t="shared" si="3"/>
        <v>967198</v>
      </c>
      <c r="E64" s="258">
        <v>0</v>
      </c>
      <c r="F64" s="258">
        <v>0</v>
      </c>
      <c r="G64" s="258">
        <v>0</v>
      </c>
      <c r="H64" s="258">
        <v>0</v>
      </c>
      <c r="I64" s="258">
        <v>0</v>
      </c>
      <c r="J64" s="258">
        <v>0</v>
      </c>
      <c r="K64" s="259">
        <v>0</v>
      </c>
      <c r="L64" s="258">
        <v>0</v>
      </c>
      <c r="M64" s="258">
        <v>967198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58">
        <v>0</v>
      </c>
      <c r="Y64" s="258">
        <v>0</v>
      </c>
      <c r="Z64" s="258">
        <v>0</v>
      </c>
      <c r="AA64" s="258">
        <v>0</v>
      </c>
      <c r="AB64" s="260">
        <v>2020</v>
      </c>
    </row>
    <row r="65" spans="1:28" s="6" customFormat="1" ht="35.25" customHeight="1" x14ac:dyDescent="0.5">
      <c r="A65" s="6">
        <v>1</v>
      </c>
      <c r="B65" s="225">
        <f>SUBTOTAL(103,$A$7:A65)</f>
        <v>57</v>
      </c>
      <c r="C65" s="254" t="s">
        <v>1789</v>
      </c>
      <c r="D65" s="255">
        <f t="shared" si="3"/>
        <v>1503268</v>
      </c>
      <c r="E65" s="258">
        <v>0</v>
      </c>
      <c r="F65" s="258">
        <v>0</v>
      </c>
      <c r="G65" s="258">
        <v>0</v>
      </c>
      <c r="H65" s="258">
        <v>0</v>
      </c>
      <c r="I65" s="258">
        <v>0</v>
      </c>
      <c r="J65" s="258">
        <v>0</v>
      </c>
      <c r="K65" s="259">
        <v>0</v>
      </c>
      <c r="L65" s="258">
        <v>0</v>
      </c>
      <c r="M65" s="258">
        <v>1503268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  <c r="X65" s="258">
        <v>0</v>
      </c>
      <c r="Y65" s="258">
        <v>0</v>
      </c>
      <c r="Z65" s="258">
        <v>0</v>
      </c>
      <c r="AA65" s="258">
        <v>0</v>
      </c>
      <c r="AB65" s="260">
        <v>2020</v>
      </c>
    </row>
    <row r="66" spans="1:28" s="6" customFormat="1" ht="35.25" customHeight="1" x14ac:dyDescent="0.5">
      <c r="A66" s="6">
        <v>1</v>
      </c>
      <c r="B66" s="225">
        <f>SUBTOTAL(103,$A$7:A66)</f>
        <v>58</v>
      </c>
      <c r="C66" s="254" t="s">
        <v>1790</v>
      </c>
      <c r="D66" s="255">
        <f t="shared" si="3"/>
        <v>493206.56</v>
      </c>
      <c r="E66" s="258">
        <v>0</v>
      </c>
      <c r="F66" s="258">
        <v>0</v>
      </c>
      <c r="G66" s="258">
        <v>493206.56</v>
      </c>
      <c r="H66" s="258">
        <v>0</v>
      </c>
      <c r="I66" s="258">
        <v>0</v>
      </c>
      <c r="J66" s="258">
        <v>0</v>
      </c>
      <c r="K66" s="259">
        <v>0</v>
      </c>
      <c r="L66" s="258">
        <v>0</v>
      </c>
      <c r="M66" s="258">
        <v>0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58">
        <v>0</v>
      </c>
      <c r="Y66" s="258">
        <v>0</v>
      </c>
      <c r="Z66" s="258">
        <v>0</v>
      </c>
      <c r="AA66" s="258">
        <v>0</v>
      </c>
      <c r="AB66" s="260">
        <v>2020</v>
      </c>
    </row>
    <row r="67" spans="1:28" s="6" customFormat="1" ht="35.25" customHeight="1" x14ac:dyDescent="0.5">
      <c r="A67" s="6">
        <v>1</v>
      </c>
      <c r="B67" s="225">
        <f>SUBTOTAL(103,$A$7:A67)</f>
        <v>59</v>
      </c>
      <c r="C67" s="254" t="s">
        <v>1791</v>
      </c>
      <c r="D67" s="255">
        <f t="shared" si="3"/>
        <v>685246.23</v>
      </c>
      <c r="E67" s="258">
        <v>0</v>
      </c>
      <c r="F67" s="258">
        <v>0</v>
      </c>
      <c r="G67" s="258">
        <v>0</v>
      </c>
      <c r="H67" s="258">
        <v>0</v>
      </c>
      <c r="I67" s="258">
        <v>0</v>
      </c>
      <c r="J67" s="258">
        <v>0</v>
      </c>
      <c r="K67" s="259">
        <v>0</v>
      </c>
      <c r="L67" s="258">
        <v>0</v>
      </c>
      <c r="M67" s="258">
        <v>0</v>
      </c>
      <c r="N67" s="258">
        <v>0</v>
      </c>
      <c r="O67" s="258">
        <f>265246.23+420000</f>
        <v>685246.23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58">
        <v>0</v>
      </c>
      <c r="Y67" s="258">
        <v>0</v>
      </c>
      <c r="Z67" s="258">
        <v>0</v>
      </c>
      <c r="AA67" s="258">
        <v>0</v>
      </c>
      <c r="AB67" s="260">
        <v>2020</v>
      </c>
    </row>
    <row r="68" spans="1:28" s="6" customFormat="1" ht="35.25" customHeight="1" x14ac:dyDescent="0.5">
      <c r="A68" s="6">
        <v>1</v>
      </c>
      <c r="B68" s="225">
        <f>SUBTOTAL(103,$A$7:A68)</f>
        <v>60</v>
      </c>
      <c r="C68" s="254" t="s">
        <v>1792</v>
      </c>
      <c r="D68" s="255">
        <f t="shared" si="3"/>
        <v>1312347.23</v>
      </c>
      <c r="E68" s="258"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9">
        <v>0</v>
      </c>
      <c r="L68" s="258">
        <v>0</v>
      </c>
      <c r="M68" s="258">
        <v>1312347.23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58">
        <v>0</v>
      </c>
      <c r="Y68" s="258">
        <v>0</v>
      </c>
      <c r="Z68" s="258">
        <v>0</v>
      </c>
      <c r="AA68" s="258">
        <v>0</v>
      </c>
      <c r="AB68" s="260">
        <v>2020</v>
      </c>
    </row>
    <row r="69" spans="1:28" s="6" customFormat="1" ht="35.25" customHeight="1" x14ac:dyDescent="0.5">
      <c r="A69" s="6">
        <v>1</v>
      </c>
      <c r="B69" s="225">
        <f>SUBTOTAL(103,$A$7:A69)</f>
        <v>61</v>
      </c>
      <c r="C69" s="254" t="s">
        <v>1793</v>
      </c>
      <c r="D69" s="255">
        <f t="shared" si="3"/>
        <v>823785</v>
      </c>
      <c r="E69" s="258">
        <v>240259</v>
      </c>
      <c r="F69" s="258">
        <v>340000</v>
      </c>
      <c r="G69" s="258">
        <v>0</v>
      </c>
      <c r="H69" s="258">
        <v>243526</v>
      </c>
      <c r="I69" s="258">
        <v>0</v>
      </c>
      <c r="J69" s="258">
        <v>0</v>
      </c>
      <c r="K69" s="259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  <c r="X69" s="258">
        <v>0</v>
      </c>
      <c r="Y69" s="258">
        <v>0</v>
      </c>
      <c r="Z69" s="258">
        <v>0</v>
      </c>
      <c r="AA69" s="258">
        <v>0</v>
      </c>
      <c r="AB69" s="260">
        <v>2020</v>
      </c>
    </row>
    <row r="70" spans="1:28" s="6" customFormat="1" ht="35.25" customHeight="1" x14ac:dyDescent="0.5">
      <c r="A70" s="6">
        <v>1</v>
      </c>
      <c r="B70" s="225">
        <f>SUBTOTAL(103,$A$7:A70)</f>
        <v>62</v>
      </c>
      <c r="C70" s="254" t="s">
        <v>1794</v>
      </c>
      <c r="D70" s="255">
        <f t="shared" si="3"/>
        <v>1088631</v>
      </c>
      <c r="E70" s="258">
        <v>403161</v>
      </c>
      <c r="F70" s="258">
        <v>685470</v>
      </c>
      <c r="G70" s="258">
        <v>0</v>
      </c>
      <c r="H70" s="258">
        <v>0</v>
      </c>
      <c r="I70" s="258">
        <v>0</v>
      </c>
      <c r="J70" s="258">
        <v>0</v>
      </c>
      <c r="K70" s="259">
        <v>0</v>
      </c>
      <c r="L70" s="258">
        <v>0</v>
      </c>
      <c r="M70" s="258">
        <v>0</v>
      </c>
      <c r="N70" s="258">
        <v>0</v>
      </c>
      <c r="O70" s="258">
        <v>0</v>
      </c>
      <c r="P70" s="258">
        <v>0</v>
      </c>
      <c r="Q70" s="258">
        <v>0</v>
      </c>
      <c r="R70" s="258">
        <v>0</v>
      </c>
      <c r="S70" s="258">
        <v>0</v>
      </c>
      <c r="T70" s="258">
        <v>0</v>
      </c>
      <c r="U70" s="258">
        <v>0</v>
      </c>
      <c r="V70" s="258">
        <v>0</v>
      </c>
      <c r="W70" s="258">
        <v>0</v>
      </c>
      <c r="X70" s="258">
        <v>0</v>
      </c>
      <c r="Y70" s="258">
        <v>0</v>
      </c>
      <c r="Z70" s="258">
        <v>0</v>
      </c>
      <c r="AA70" s="258">
        <v>0</v>
      </c>
      <c r="AB70" s="260">
        <v>2020</v>
      </c>
    </row>
    <row r="71" spans="1:28" s="6" customFormat="1" ht="35.25" customHeight="1" x14ac:dyDescent="0.5">
      <c r="A71" s="6">
        <v>1</v>
      </c>
      <c r="B71" s="225">
        <f>SUBTOTAL(103,$A$7:A71)</f>
        <v>63</v>
      </c>
      <c r="C71" s="254" t="s">
        <v>1795</v>
      </c>
      <c r="D71" s="255">
        <f t="shared" si="3"/>
        <v>246963</v>
      </c>
      <c r="E71" s="258">
        <v>0</v>
      </c>
      <c r="F71" s="258">
        <v>246963</v>
      </c>
      <c r="G71" s="258">
        <v>0</v>
      </c>
      <c r="H71" s="258">
        <v>0</v>
      </c>
      <c r="I71" s="258">
        <v>0</v>
      </c>
      <c r="J71" s="258">
        <v>0</v>
      </c>
      <c r="K71" s="259">
        <v>0</v>
      </c>
      <c r="L71" s="258">
        <v>0</v>
      </c>
      <c r="M71" s="258">
        <v>0</v>
      </c>
      <c r="N71" s="258">
        <v>0</v>
      </c>
      <c r="O71" s="258">
        <v>0</v>
      </c>
      <c r="P71" s="258">
        <v>0</v>
      </c>
      <c r="Q71" s="258">
        <v>0</v>
      </c>
      <c r="R71" s="258">
        <v>0</v>
      </c>
      <c r="S71" s="258">
        <v>0</v>
      </c>
      <c r="T71" s="258">
        <v>0</v>
      </c>
      <c r="U71" s="258">
        <v>0</v>
      </c>
      <c r="V71" s="258">
        <v>0</v>
      </c>
      <c r="W71" s="258">
        <v>0</v>
      </c>
      <c r="X71" s="258">
        <v>0</v>
      </c>
      <c r="Y71" s="258">
        <v>0</v>
      </c>
      <c r="Z71" s="258">
        <v>0</v>
      </c>
      <c r="AA71" s="258">
        <v>0</v>
      </c>
      <c r="AB71" s="260">
        <v>2020</v>
      </c>
    </row>
    <row r="72" spans="1:28" s="6" customFormat="1" ht="35.25" customHeight="1" x14ac:dyDescent="0.5">
      <c r="A72" s="6">
        <v>1</v>
      </c>
      <c r="B72" s="225">
        <f>SUBTOTAL(103,$A$7:A72)</f>
        <v>64</v>
      </c>
      <c r="C72" s="254" t="s">
        <v>1796</v>
      </c>
      <c r="D72" s="255">
        <f t="shared" si="3"/>
        <v>1291286</v>
      </c>
      <c r="E72" s="258">
        <v>0</v>
      </c>
      <c r="F72" s="258">
        <v>0</v>
      </c>
      <c r="G72" s="258">
        <v>0</v>
      </c>
      <c r="H72" s="258">
        <v>0</v>
      </c>
      <c r="I72" s="258">
        <v>0</v>
      </c>
      <c r="J72" s="258">
        <v>0</v>
      </c>
      <c r="K72" s="259">
        <v>0</v>
      </c>
      <c r="L72" s="258">
        <v>0</v>
      </c>
      <c r="M72" s="258">
        <v>1291286</v>
      </c>
      <c r="N72" s="258">
        <v>0</v>
      </c>
      <c r="O72" s="258">
        <v>0</v>
      </c>
      <c r="P72" s="258">
        <v>0</v>
      </c>
      <c r="Q72" s="258">
        <v>0</v>
      </c>
      <c r="R72" s="258">
        <v>0</v>
      </c>
      <c r="S72" s="258">
        <v>0</v>
      </c>
      <c r="T72" s="258">
        <v>0</v>
      </c>
      <c r="U72" s="258">
        <v>0</v>
      </c>
      <c r="V72" s="258">
        <v>0</v>
      </c>
      <c r="W72" s="258">
        <v>0</v>
      </c>
      <c r="X72" s="258">
        <v>0</v>
      </c>
      <c r="Y72" s="258">
        <v>0</v>
      </c>
      <c r="Z72" s="258">
        <v>0</v>
      </c>
      <c r="AA72" s="258">
        <v>0</v>
      </c>
      <c r="AB72" s="260">
        <v>2020</v>
      </c>
    </row>
    <row r="73" spans="1:28" s="6" customFormat="1" ht="35.25" customHeight="1" x14ac:dyDescent="0.5">
      <c r="A73" s="6">
        <v>1</v>
      </c>
      <c r="B73" s="225">
        <f>SUBTOTAL(103,$A$7:A73)</f>
        <v>65</v>
      </c>
      <c r="C73" s="254" t="s">
        <v>1797</v>
      </c>
      <c r="D73" s="255">
        <f t="shared" si="3"/>
        <v>543017.86</v>
      </c>
      <c r="E73" s="258">
        <v>0</v>
      </c>
      <c r="F73" s="258">
        <v>0</v>
      </c>
      <c r="G73" s="258">
        <v>0</v>
      </c>
      <c r="H73" s="258">
        <v>0</v>
      </c>
      <c r="I73" s="258">
        <v>0</v>
      </c>
      <c r="J73" s="258">
        <v>0</v>
      </c>
      <c r="K73" s="259">
        <v>0</v>
      </c>
      <c r="L73" s="258">
        <v>0</v>
      </c>
      <c r="M73" s="258">
        <v>0</v>
      </c>
      <c r="N73" s="258">
        <v>0</v>
      </c>
      <c r="O73" s="258">
        <v>543017.86</v>
      </c>
      <c r="P73" s="258">
        <v>0</v>
      </c>
      <c r="Q73" s="258">
        <v>0</v>
      </c>
      <c r="R73" s="258">
        <v>0</v>
      </c>
      <c r="S73" s="258">
        <v>0</v>
      </c>
      <c r="T73" s="258">
        <v>0</v>
      </c>
      <c r="U73" s="258">
        <v>0</v>
      </c>
      <c r="V73" s="258">
        <v>0</v>
      </c>
      <c r="W73" s="258">
        <v>0</v>
      </c>
      <c r="X73" s="258">
        <v>0</v>
      </c>
      <c r="Y73" s="258">
        <v>0</v>
      </c>
      <c r="Z73" s="258">
        <v>0</v>
      </c>
      <c r="AA73" s="258">
        <v>0</v>
      </c>
      <c r="AB73" s="260">
        <v>2020</v>
      </c>
    </row>
    <row r="74" spans="1:28" s="6" customFormat="1" ht="35.25" customHeight="1" x14ac:dyDescent="0.5">
      <c r="A74" s="6">
        <v>1</v>
      </c>
      <c r="B74" s="225">
        <f>SUBTOTAL(103,$A$7:A74)</f>
        <v>66</v>
      </c>
      <c r="C74" s="254" t="s">
        <v>1798</v>
      </c>
      <c r="D74" s="255">
        <f t="shared" si="3"/>
        <v>866755.67</v>
      </c>
      <c r="E74" s="258">
        <v>179437.21</v>
      </c>
      <c r="F74" s="258">
        <v>297679.21000000002</v>
      </c>
      <c r="G74" s="258">
        <v>0</v>
      </c>
      <c r="H74" s="258">
        <v>0</v>
      </c>
      <c r="I74" s="258">
        <v>0</v>
      </c>
      <c r="J74" s="258">
        <v>0</v>
      </c>
      <c r="K74" s="259">
        <v>0</v>
      </c>
      <c r="L74" s="258">
        <v>0</v>
      </c>
      <c r="M74" s="258">
        <v>0</v>
      </c>
      <c r="N74" s="258">
        <v>0</v>
      </c>
      <c r="O74" s="258">
        <v>389639.25</v>
      </c>
      <c r="P74" s="258">
        <v>0</v>
      </c>
      <c r="Q74" s="258">
        <v>0</v>
      </c>
      <c r="R74" s="258">
        <v>0</v>
      </c>
      <c r="S74" s="258">
        <v>0</v>
      </c>
      <c r="T74" s="258">
        <v>0</v>
      </c>
      <c r="U74" s="258">
        <v>0</v>
      </c>
      <c r="V74" s="258">
        <v>0</v>
      </c>
      <c r="W74" s="258">
        <v>0</v>
      </c>
      <c r="X74" s="258">
        <v>0</v>
      </c>
      <c r="Y74" s="258">
        <v>0</v>
      </c>
      <c r="Z74" s="258">
        <v>0</v>
      </c>
      <c r="AA74" s="258">
        <v>0</v>
      </c>
      <c r="AB74" s="260">
        <v>2020</v>
      </c>
    </row>
    <row r="75" spans="1:28" s="6" customFormat="1" ht="35.25" customHeight="1" x14ac:dyDescent="0.5">
      <c r="A75" s="6">
        <v>1</v>
      </c>
      <c r="B75" s="225">
        <f>SUBTOTAL(103,$A$7:A75)</f>
        <v>67</v>
      </c>
      <c r="C75" s="263" t="s">
        <v>1959</v>
      </c>
      <c r="D75" s="255">
        <v>1468076</v>
      </c>
      <c r="E75" s="261">
        <v>0</v>
      </c>
      <c r="F75" s="261">
        <v>0</v>
      </c>
      <c r="G75" s="261">
        <v>0</v>
      </c>
      <c r="H75" s="261">
        <v>0</v>
      </c>
      <c r="I75" s="261">
        <v>0</v>
      </c>
      <c r="J75" s="261">
        <v>0</v>
      </c>
      <c r="K75" s="262">
        <v>0</v>
      </c>
      <c r="L75" s="261">
        <v>0</v>
      </c>
      <c r="M75" s="261">
        <v>1468076</v>
      </c>
      <c r="N75" s="261">
        <v>0</v>
      </c>
      <c r="O75" s="261">
        <v>0</v>
      </c>
      <c r="P75" s="261">
        <v>0</v>
      </c>
      <c r="Q75" s="261">
        <v>0</v>
      </c>
      <c r="R75" s="261">
        <v>0</v>
      </c>
      <c r="S75" s="261">
        <v>0</v>
      </c>
      <c r="T75" s="261">
        <v>0</v>
      </c>
      <c r="U75" s="261">
        <v>0</v>
      </c>
      <c r="V75" s="261">
        <v>0</v>
      </c>
      <c r="W75" s="261">
        <v>0</v>
      </c>
      <c r="X75" s="261">
        <v>0</v>
      </c>
      <c r="Y75" s="261">
        <v>0</v>
      </c>
      <c r="Z75" s="261">
        <v>0</v>
      </c>
      <c r="AA75" s="261">
        <v>0</v>
      </c>
      <c r="AB75" s="260">
        <v>2020</v>
      </c>
    </row>
    <row r="76" spans="1:28" s="6" customFormat="1" ht="35.25" customHeight="1" x14ac:dyDescent="0.5">
      <c r="A76" s="6">
        <v>1</v>
      </c>
      <c r="B76" s="225">
        <f>SUBTOTAL(103,$A$7:A76)</f>
        <v>68</v>
      </c>
      <c r="C76" s="263" t="s">
        <v>1960</v>
      </c>
      <c r="D76" s="255">
        <v>364586</v>
      </c>
      <c r="E76" s="261">
        <v>0</v>
      </c>
      <c r="F76" s="261">
        <v>0</v>
      </c>
      <c r="G76" s="261">
        <v>0</v>
      </c>
      <c r="H76" s="261">
        <v>0</v>
      </c>
      <c r="I76" s="261">
        <v>0</v>
      </c>
      <c r="J76" s="261">
        <v>0</v>
      </c>
      <c r="K76" s="262">
        <v>0</v>
      </c>
      <c r="L76" s="261">
        <v>0</v>
      </c>
      <c r="M76" s="261">
        <v>0</v>
      </c>
      <c r="N76" s="261">
        <v>0</v>
      </c>
      <c r="O76" s="261">
        <v>364586</v>
      </c>
      <c r="P76" s="261">
        <v>0</v>
      </c>
      <c r="Q76" s="261">
        <v>0</v>
      </c>
      <c r="R76" s="261">
        <v>0</v>
      </c>
      <c r="S76" s="261">
        <v>0</v>
      </c>
      <c r="T76" s="261">
        <v>0</v>
      </c>
      <c r="U76" s="261">
        <v>0</v>
      </c>
      <c r="V76" s="261">
        <v>0</v>
      </c>
      <c r="W76" s="261">
        <v>0</v>
      </c>
      <c r="X76" s="261">
        <v>0</v>
      </c>
      <c r="Y76" s="261">
        <v>0</v>
      </c>
      <c r="Z76" s="261">
        <v>0</v>
      </c>
      <c r="AA76" s="261">
        <v>0</v>
      </c>
      <c r="AB76" s="260">
        <v>2020</v>
      </c>
    </row>
    <row r="77" spans="1:28" s="6" customFormat="1" ht="35.25" customHeight="1" x14ac:dyDescent="0.5">
      <c r="A77" s="6">
        <v>1</v>
      </c>
      <c r="B77" s="225">
        <f>SUBTOTAL(103,$A$7:A77)</f>
        <v>69</v>
      </c>
      <c r="C77" s="263" t="s">
        <v>1961</v>
      </c>
      <c r="D77" s="255">
        <v>216731.11</v>
      </c>
      <c r="E77" s="261">
        <v>0</v>
      </c>
      <c r="F77" s="261">
        <v>216731.11</v>
      </c>
      <c r="G77" s="261">
        <v>0</v>
      </c>
      <c r="H77" s="261">
        <v>0</v>
      </c>
      <c r="I77" s="261">
        <v>0</v>
      </c>
      <c r="J77" s="261">
        <v>0</v>
      </c>
      <c r="K77" s="262">
        <v>0</v>
      </c>
      <c r="L77" s="261">
        <v>0</v>
      </c>
      <c r="M77" s="261">
        <v>0</v>
      </c>
      <c r="N77" s="261">
        <v>0</v>
      </c>
      <c r="O77" s="261">
        <v>0</v>
      </c>
      <c r="P77" s="261">
        <v>0</v>
      </c>
      <c r="Q77" s="261">
        <v>0</v>
      </c>
      <c r="R77" s="261">
        <v>0</v>
      </c>
      <c r="S77" s="261">
        <v>0</v>
      </c>
      <c r="T77" s="261">
        <v>0</v>
      </c>
      <c r="U77" s="261">
        <v>0</v>
      </c>
      <c r="V77" s="261">
        <v>0</v>
      </c>
      <c r="W77" s="261">
        <v>0</v>
      </c>
      <c r="X77" s="261">
        <v>0</v>
      </c>
      <c r="Y77" s="261">
        <v>0</v>
      </c>
      <c r="Z77" s="261">
        <v>0</v>
      </c>
      <c r="AA77" s="261">
        <v>0</v>
      </c>
      <c r="AB77" s="260">
        <v>2020</v>
      </c>
    </row>
    <row r="78" spans="1:28" s="6" customFormat="1" ht="35.25" customHeight="1" x14ac:dyDescent="0.5">
      <c r="A78" s="6">
        <v>1</v>
      </c>
      <c r="B78" s="225">
        <f>SUBTOTAL(103,$A$7:A78)</f>
        <v>70</v>
      </c>
      <c r="C78" s="263" t="s">
        <v>1962</v>
      </c>
      <c r="D78" s="255">
        <v>610300</v>
      </c>
      <c r="E78" s="261">
        <v>0</v>
      </c>
      <c r="F78" s="261">
        <v>0</v>
      </c>
      <c r="G78" s="261">
        <v>0</v>
      </c>
      <c r="H78" s="261">
        <v>0</v>
      </c>
      <c r="I78" s="261">
        <v>0</v>
      </c>
      <c r="J78" s="261">
        <v>0</v>
      </c>
      <c r="K78" s="262">
        <v>0</v>
      </c>
      <c r="L78" s="261">
        <v>0</v>
      </c>
      <c r="M78" s="261">
        <v>0</v>
      </c>
      <c r="N78" s="261">
        <v>0</v>
      </c>
      <c r="O78" s="261">
        <v>610300</v>
      </c>
      <c r="P78" s="261">
        <v>0</v>
      </c>
      <c r="Q78" s="261">
        <v>0</v>
      </c>
      <c r="R78" s="261">
        <v>0</v>
      </c>
      <c r="S78" s="261">
        <v>0</v>
      </c>
      <c r="T78" s="261">
        <v>0</v>
      </c>
      <c r="U78" s="261">
        <v>0</v>
      </c>
      <c r="V78" s="261">
        <v>0</v>
      </c>
      <c r="W78" s="261">
        <v>0</v>
      </c>
      <c r="X78" s="261">
        <v>0</v>
      </c>
      <c r="Y78" s="261">
        <v>0</v>
      </c>
      <c r="Z78" s="261">
        <v>0</v>
      </c>
      <c r="AA78" s="261">
        <v>0</v>
      </c>
      <c r="AB78" s="260">
        <v>2020</v>
      </c>
    </row>
    <row r="79" spans="1:28" s="6" customFormat="1" ht="35.25" customHeight="1" x14ac:dyDescent="0.5">
      <c r="A79" s="6">
        <v>1</v>
      </c>
      <c r="B79" s="225">
        <f>SUBTOTAL(103,$A$7:A79)</f>
        <v>71</v>
      </c>
      <c r="C79" s="263" t="s">
        <v>1963</v>
      </c>
      <c r="D79" s="255">
        <v>57079.75</v>
      </c>
      <c r="E79" s="261">
        <v>0</v>
      </c>
      <c r="F79" s="261">
        <v>57079.75</v>
      </c>
      <c r="G79" s="261">
        <v>0</v>
      </c>
      <c r="H79" s="261">
        <v>0</v>
      </c>
      <c r="I79" s="261">
        <v>0</v>
      </c>
      <c r="J79" s="261">
        <v>0</v>
      </c>
      <c r="K79" s="262">
        <v>0</v>
      </c>
      <c r="L79" s="261">
        <v>0</v>
      </c>
      <c r="M79" s="261">
        <v>0</v>
      </c>
      <c r="N79" s="261">
        <v>0</v>
      </c>
      <c r="O79" s="261">
        <v>0</v>
      </c>
      <c r="P79" s="261">
        <v>0</v>
      </c>
      <c r="Q79" s="261">
        <v>0</v>
      </c>
      <c r="R79" s="261">
        <v>0</v>
      </c>
      <c r="S79" s="261">
        <v>0</v>
      </c>
      <c r="T79" s="261">
        <v>0</v>
      </c>
      <c r="U79" s="261">
        <v>0</v>
      </c>
      <c r="V79" s="261">
        <v>0</v>
      </c>
      <c r="W79" s="261">
        <v>0</v>
      </c>
      <c r="X79" s="261">
        <v>0</v>
      </c>
      <c r="Y79" s="261">
        <v>0</v>
      </c>
      <c r="Z79" s="261">
        <v>0</v>
      </c>
      <c r="AA79" s="261">
        <v>0</v>
      </c>
      <c r="AB79" s="260">
        <v>2020</v>
      </c>
    </row>
    <row r="80" spans="1:28" s="6" customFormat="1" ht="35.25" customHeight="1" x14ac:dyDescent="0.5">
      <c r="A80" s="6">
        <v>1</v>
      </c>
      <c r="B80" s="225">
        <f>SUBTOTAL(103,$A$7:A80)</f>
        <v>72</v>
      </c>
      <c r="C80" s="263" t="s">
        <v>1964</v>
      </c>
      <c r="D80" s="255">
        <v>1394395.75</v>
      </c>
      <c r="E80" s="261">
        <v>0</v>
      </c>
      <c r="F80" s="261">
        <v>0</v>
      </c>
      <c r="G80" s="261">
        <v>0</v>
      </c>
      <c r="H80" s="261">
        <v>0</v>
      </c>
      <c r="I80" s="261">
        <v>0</v>
      </c>
      <c r="J80" s="261">
        <v>0</v>
      </c>
      <c r="K80" s="262">
        <v>0</v>
      </c>
      <c r="L80" s="261">
        <v>0</v>
      </c>
      <c r="M80" s="261">
        <v>1394395.75</v>
      </c>
      <c r="N80" s="261">
        <v>0</v>
      </c>
      <c r="O80" s="261">
        <v>0</v>
      </c>
      <c r="P80" s="261">
        <v>0</v>
      </c>
      <c r="Q80" s="261">
        <v>0</v>
      </c>
      <c r="R80" s="261">
        <v>0</v>
      </c>
      <c r="S80" s="261">
        <v>0</v>
      </c>
      <c r="T80" s="261">
        <v>0</v>
      </c>
      <c r="U80" s="261">
        <v>0</v>
      </c>
      <c r="V80" s="261">
        <v>0</v>
      </c>
      <c r="W80" s="261">
        <v>0</v>
      </c>
      <c r="X80" s="261">
        <v>0</v>
      </c>
      <c r="Y80" s="261">
        <v>0</v>
      </c>
      <c r="Z80" s="261">
        <v>0</v>
      </c>
      <c r="AA80" s="261">
        <v>0</v>
      </c>
      <c r="AB80" s="260">
        <v>2020</v>
      </c>
    </row>
    <row r="81" spans="1:28" s="6" customFormat="1" ht="35.25" customHeight="1" x14ac:dyDescent="0.5">
      <c r="A81" s="6">
        <v>1</v>
      </c>
      <c r="B81" s="225">
        <f>SUBTOTAL(103,$A$7:A81)</f>
        <v>73</v>
      </c>
      <c r="C81" s="263" t="s">
        <v>1965</v>
      </c>
      <c r="D81" s="255">
        <v>592148.92000000004</v>
      </c>
      <c r="E81" s="261">
        <v>592148.92000000004</v>
      </c>
      <c r="F81" s="261">
        <v>0</v>
      </c>
      <c r="G81" s="261">
        <v>0</v>
      </c>
      <c r="H81" s="261">
        <v>0</v>
      </c>
      <c r="I81" s="261">
        <v>0</v>
      </c>
      <c r="J81" s="261">
        <v>0</v>
      </c>
      <c r="K81" s="262">
        <v>0</v>
      </c>
      <c r="L81" s="261">
        <v>0</v>
      </c>
      <c r="M81" s="261">
        <v>0</v>
      </c>
      <c r="N81" s="261">
        <v>0</v>
      </c>
      <c r="O81" s="261">
        <v>0</v>
      </c>
      <c r="P81" s="261">
        <v>0</v>
      </c>
      <c r="Q81" s="261">
        <v>0</v>
      </c>
      <c r="R81" s="261">
        <v>0</v>
      </c>
      <c r="S81" s="261">
        <v>0</v>
      </c>
      <c r="T81" s="261">
        <v>0</v>
      </c>
      <c r="U81" s="261">
        <v>0</v>
      </c>
      <c r="V81" s="261">
        <v>0</v>
      </c>
      <c r="W81" s="261">
        <v>0</v>
      </c>
      <c r="X81" s="261">
        <v>0</v>
      </c>
      <c r="Y81" s="261">
        <v>0</v>
      </c>
      <c r="Z81" s="261">
        <v>0</v>
      </c>
      <c r="AA81" s="261">
        <v>0</v>
      </c>
      <c r="AB81" s="260">
        <v>2020</v>
      </c>
    </row>
    <row r="82" spans="1:28" s="6" customFormat="1" ht="35.25" customHeight="1" x14ac:dyDescent="0.5">
      <c r="A82" s="6">
        <v>1</v>
      </c>
      <c r="B82" s="225">
        <f>SUBTOTAL(103,$A$7:A82)</f>
        <v>74</v>
      </c>
      <c r="C82" s="263" t="s">
        <v>1966</v>
      </c>
      <c r="D82" s="255">
        <v>3000000</v>
      </c>
      <c r="E82" s="261">
        <v>0</v>
      </c>
      <c r="F82" s="261">
        <v>0</v>
      </c>
      <c r="G82" s="261">
        <v>0</v>
      </c>
      <c r="H82" s="261">
        <v>0</v>
      </c>
      <c r="I82" s="261">
        <v>0</v>
      </c>
      <c r="J82" s="261">
        <v>0</v>
      </c>
      <c r="K82" s="262">
        <v>0</v>
      </c>
      <c r="L82" s="261">
        <v>0</v>
      </c>
      <c r="M82" s="261">
        <v>3000000</v>
      </c>
      <c r="N82" s="261">
        <v>0</v>
      </c>
      <c r="O82" s="261">
        <v>0</v>
      </c>
      <c r="P82" s="261">
        <v>0</v>
      </c>
      <c r="Q82" s="261">
        <v>0</v>
      </c>
      <c r="R82" s="261">
        <v>0</v>
      </c>
      <c r="S82" s="261">
        <v>0</v>
      </c>
      <c r="T82" s="261">
        <v>0</v>
      </c>
      <c r="U82" s="261">
        <v>0</v>
      </c>
      <c r="V82" s="261">
        <v>0</v>
      </c>
      <c r="W82" s="261">
        <v>0</v>
      </c>
      <c r="X82" s="261">
        <v>0</v>
      </c>
      <c r="Y82" s="261">
        <v>0</v>
      </c>
      <c r="Z82" s="261">
        <v>0</v>
      </c>
      <c r="AA82" s="261">
        <v>0</v>
      </c>
      <c r="AB82" s="260">
        <v>2020</v>
      </c>
    </row>
    <row r="83" spans="1:28" s="6" customFormat="1" ht="35.25" customHeight="1" x14ac:dyDescent="0.5">
      <c r="A83" s="6">
        <v>1</v>
      </c>
      <c r="B83" s="225">
        <f>SUBTOTAL(103,$A$7:A83)</f>
        <v>75</v>
      </c>
      <c r="C83" s="263" t="s">
        <v>1967</v>
      </c>
      <c r="D83" s="255">
        <v>1004458</v>
      </c>
      <c r="E83" s="261">
        <v>0</v>
      </c>
      <c r="F83" s="261">
        <v>0</v>
      </c>
      <c r="G83" s="261">
        <v>0</v>
      </c>
      <c r="H83" s="261">
        <v>0</v>
      </c>
      <c r="I83" s="261">
        <v>0</v>
      </c>
      <c r="J83" s="261">
        <v>0</v>
      </c>
      <c r="K83" s="262">
        <v>0</v>
      </c>
      <c r="L83" s="261">
        <v>0</v>
      </c>
      <c r="M83" s="261">
        <v>1004458</v>
      </c>
      <c r="N83" s="261">
        <v>0</v>
      </c>
      <c r="O83" s="261">
        <v>0</v>
      </c>
      <c r="P83" s="261">
        <v>0</v>
      </c>
      <c r="Q83" s="261">
        <v>0</v>
      </c>
      <c r="R83" s="261">
        <v>0</v>
      </c>
      <c r="S83" s="261">
        <v>0</v>
      </c>
      <c r="T83" s="261">
        <v>0</v>
      </c>
      <c r="U83" s="261">
        <v>0</v>
      </c>
      <c r="V83" s="261">
        <v>0</v>
      </c>
      <c r="W83" s="261">
        <v>0</v>
      </c>
      <c r="X83" s="261">
        <v>0</v>
      </c>
      <c r="Y83" s="261">
        <v>0</v>
      </c>
      <c r="Z83" s="261">
        <v>0</v>
      </c>
      <c r="AA83" s="261">
        <v>0</v>
      </c>
      <c r="AB83" s="260">
        <v>2020</v>
      </c>
    </row>
    <row r="84" spans="1:28" s="6" customFormat="1" ht="35.25" customHeight="1" x14ac:dyDescent="0.5">
      <c r="A84" s="6">
        <v>1</v>
      </c>
      <c r="B84" s="225">
        <f>SUBTOTAL(103,$A$7:A84)</f>
        <v>76</v>
      </c>
      <c r="C84" s="263" t="s">
        <v>1968</v>
      </c>
      <c r="D84" s="255">
        <v>897668.63</v>
      </c>
      <c r="E84" s="261">
        <v>0</v>
      </c>
      <c r="F84" s="261">
        <v>0</v>
      </c>
      <c r="G84" s="261">
        <v>0</v>
      </c>
      <c r="H84" s="261">
        <v>0</v>
      </c>
      <c r="I84" s="261">
        <v>0</v>
      </c>
      <c r="J84" s="261">
        <v>0</v>
      </c>
      <c r="K84" s="262">
        <v>0</v>
      </c>
      <c r="L84" s="261">
        <v>0</v>
      </c>
      <c r="M84" s="261">
        <v>811166.63</v>
      </c>
      <c r="N84" s="261">
        <v>0</v>
      </c>
      <c r="O84" s="261">
        <v>86502</v>
      </c>
      <c r="P84" s="261">
        <v>0</v>
      </c>
      <c r="Q84" s="261">
        <v>0</v>
      </c>
      <c r="R84" s="261">
        <v>0</v>
      </c>
      <c r="S84" s="261">
        <v>0</v>
      </c>
      <c r="T84" s="261">
        <v>0</v>
      </c>
      <c r="U84" s="261">
        <v>0</v>
      </c>
      <c r="V84" s="261">
        <v>0</v>
      </c>
      <c r="W84" s="261">
        <v>0</v>
      </c>
      <c r="X84" s="261">
        <v>0</v>
      </c>
      <c r="Y84" s="261">
        <v>0</v>
      </c>
      <c r="Z84" s="261">
        <v>0</v>
      </c>
      <c r="AA84" s="261">
        <v>0</v>
      </c>
      <c r="AB84" s="260">
        <v>2020</v>
      </c>
    </row>
    <row r="85" spans="1:28" s="6" customFormat="1" ht="35.25" customHeight="1" x14ac:dyDescent="0.5">
      <c r="A85" s="6">
        <v>1</v>
      </c>
      <c r="B85" s="225">
        <f>SUBTOTAL(103,$A$7:A85)</f>
        <v>77</v>
      </c>
      <c r="C85" s="263" t="s">
        <v>1969</v>
      </c>
      <c r="D85" s="255">
        <v>1450004</v>
      </c>
      <c r="E85" s="261">
        <v>0</v>
      </c>
      <c r="F85" s="261">
        <v>0</v>
      </c>
      <c r="G85" s="261">
        <v>0</v>
      </c>
      <c r="H85" s="261">
        <v>0</v>
      </c>
      <c r="I85" s="261">
        <v>0</v>
      </c>
      <c r="J85" s="261">
        <v>0</v>
      </c>
      <c r="K85" s="262">
        <v>0</v>
      </c>
      <c r="L85" s="261">
        <v>0</v>
      </c>
      <c r="M85" s="261">
        <v>1450004</v>
      </c>
      <c r="N85" s="261">
        <v>0</v>
      </c>
      <c r="O85" s="261">
        <v>0</v>
      </c>
      <c r="P85" s="261">
        <v>0</v>
      </c>
      <c r="Q85" s="261">
        <v>0</v>
      </c>
      <c r="R85" s="261">
        <v>0</v>
      </c>
      <c r="S85" s="261">
        <v>0</v>
      </c>
      <c r="T85" s="261">
        <v>0</v>
      </c>
      <c r="U85" s="261">
        <v>0</v>
      </c>
      <c r="V85" s="261">
        <v>0</v>
      </c>
      <c r="W85" s="261">
        <v>0</v>
      </c>
      <c r="X85" s="261">
        <v>0</v>
      </c>
      <c r="Y85" s="261">
        <v>0</v>
      </c>
      <c r="Z85" s="261">
        <v>0</v>
      </c>
      <c r="AA85" s="261">
        <v>0</v>
      </c>
      <c r="AB85" s="260">
        <v>2020</v>
      </c>
    </row>
    <row r="86" spans="1:28" s="6" customFormat="1" ht="35.25" customHeight="1" x14ac:dyDescent="0.5">
      <c r="A86" s="6">
        <v>1</v>
      </c>
      <c r="B86" s="225">
        <f>SUBTOTAL(103,$A$7:A86)</f>
        <v>78</v>
      </c>
      <c r="C86" s="263" t="s">
        <v>1970</v>
      </c>
      <c r="D86" s="255">
        <v>448868</v>
      </c>
      <c r="E86" s="261">
        <v>130822</v>
      </c>
      <c r="F86" s="261">
        <v>130822</v>
      </c>
      <c r="G86" s="261">
        <v>0</v>
      </c>
      <c r="H86" s="261">
        <v>0</v>
      </c>
      <c r="I86" s="261">
        <v>0</v>
      </c>
      <c r="J86" s="261">
        <v>0</v>
      </c>
      <c r="K86" s="262">
        <v>0</v>
      </c>
      <c r="L86" s="261">
        <v>0</v>
      </c>
      <c r="M86" s="261">
        <v>0</v>
      </c>
      <c r="N86" s="261">
        <v>0</v>
      </c>
      <c r="O86" s="261">
        <v>187224</v>
      </c>
      <c r="P86" s="261">
        <v>0</v>
      </c>
      <c r="Q86" s="261">
        <v>0</v>
      </c>
      <c r="R86" s="261">
        <v>0</v>
      </c>
      <c r="S86" s="261">
        <v>0</v>
      </c>
      <c r="T86" s="261">
        <v>0</v>
      </c>
      <c r="U86" s="261">
        <v>0</v>
      </c>
      <c r="V86" s="261">
        <v>0</v>
      </c>
      <c r="W86" s="261">
        <v>0</v>
      </c>
      <c r="X86" s="261">
        <v>0</v>
      </c>
      <c r="Y86" s="261">
        <v>0</v>
      </c>
      <c r="Z86" s="261">
        <v>0</v>
      </c>
      <c r="AA86" s="261">
        <v>0</v>
      </c>
      <c r="AB86" s="260">
        <v>2020</v>
      </c>
    </row>
    <row r="87" spans="1:28" s="6" customFormat="1" ht="35.25" customHeight="1" x14ac:dyDescent="0.5">
      <c r="A87" s="6">
        <v>1</v>
      </c>
      <c r="B87" s="225">
        <f>SUBTOTAL(103,$A$7:A87)</f>
        <v>79</v>
      </c>
      <c r="C87" s="263" t="s">
        <v>1971</v>
      </c>
      <c r="D87" s="255">
        <v>1111226.33</v>
      </c>
      <c r="E87" s="261">
        <v>0</v>
      </c>
      <c r="F87" s="261">
        <v>0</v>
      </c>
      <c r="G87" s="261">
        <v>0</v>
      </c>
      <c r="H87" s="261">
        <v>0</v>
      </c>
      <c r="I87" s="261">
        <v>0</v>
      </c>
      <c r="J87" s="261">
        <v>0</v>
      </c>
      <c r="K87" s="262">
        <v>0</v>
      </c>
      <c r="L87" s="261">
        <v>0</v>
      </c>
      <c r="M87" s="261">
        <v>1111226.33</v>
      </c>
      <c r="N87" s="261">
        <v>0</v>
      </c>
      <c r="O87" s="261">
        <v>0</v>
      </c>
      <c r="P87" s="261">
        <v>0</v>
      </c>
      <c r="Q87" s="261">
        <v>0</v>
      </c>
      <c r="R87" s="261">
        <v>0</v>
      </c>
      <c r="S87" s="261">
        <v>0</v>
      </c>
      <c r="T87" s="261">
        <v>0</v>
      </c>
      <c r="U87" s="261">
        <v>0</v>
      </c>
      <c r="V87" s="261">
        <v>0</v>
      </c>
      <c r="W87" s="261">
        <v>0</v>
      </c>
      <c r="X87" s="261">
        <v>0</v>
      </c>
      <c r="Y87" s="261">
        <v>0</v>
      </c>
      <c r="Z87" s="261">
        <v>0</v>
      </c>
      <c r="AA87" s="261">
        <v>0</v>
      </c>
      <c r="AB87" s="260">
        <v>2020</v>
      </c>
    </row>
    <row r="88" spans="1:28" s="6" customFormat="1" ht="35.25" customHeight="1" x14ac:dyDescent="0.5">
      <c r="A88" s="6">
        <v>1</v>
      </c>
      <c r="B88" s="225">
        <f>SUBTOTAL(103,$A$7:A88)</f>
        <v>80</v>
      </c>
      <c r="C88" s="263" t="s">
        <v>1972</v>
      </c>
      <c r="D88" s="255">
        <v>252000</v>
      </c>
      <c r="E88" s="261">
        <v>0</v>
      </c>
      <c r="F88" s="261">
        <v>0</v>
      </c>
      <c r="G88" s="261">
        <v>0</v>
      </c>
      <c r="H88" s="261">
        <v>0</v>
      </c>
      <c r="I88" s="261">
        <v>0</v>
      </c>
      <c r="J88" s="261">
        <v>0</v>
      </c>
      <c r="K88" s="262">
        <v>0</v>
      </c>
      <c r="L88" s="261">
        <v>0</v>
      </c>
      <c r="M88" s="261">
        <v>0</v>
      </c>
      <c r="N88" s="261">
        <v>0</v>
      </c>
      <c r="O88" s="261">
        <v>252000</v>
      </c>
      <c r="P88" s="261">
        <v>0</v>
      </c>
      <c r="Q88" s="261">
        <v>0</v>
      </c>
      <c r="R88" s="261">
        <v>0</v>
      </c>
      <c r="S88" s="261">
        <v>0</v>
      </c>
      <c r="T88" s="261">
        <v>0</v>
      </c>
      <c r="U88" s="261">
        <v>0</v>
      </c>
      <c r="V88" s="261">
        <v>0</v>
      </c>
      <c r="W88" s="261">
        <v>0</v>
      </c>
      <c r="X88" s="261">
        <v>0</v>
      </c>
      <c r="Y88" s="261">
        <v>0</v>
      </c>
      <c r="Z88" s="261">
        <v>0</v>
      </c>
      <c r="AA88" s="261">
        <v>0</v>
      </c>
      <c r="AB88" s="260">
        <v>2020</v>
      </c>
    </row>
    <row r="89" spans="1:28" s="6" customFormat="1" ht="35.25" customHeight="1" x14ac:dyDescent="0.5">
      <c r="A89" s="6">
        <v>1</v>
      </c>
      <c r="B89" s="225">
        <f>SUBTOTAL(103,$A$7:A89)</f>
        <v>81</v>
      </c>
      <c r="C89" s="263" t="s">
        <v>1973</v>
      </c>
      <c r="D89" s="255">
        <v>1736821</v>
      </c>
      <c r="E89" s="261">
        <v>0</v>
      </c>
      <c r="F89" s="261">
        <v>0</v>
      </c>
      <c r="G89" s="261">
        <v>0</v>
      </c>
      <c r="H89" s="261">
        <v>0</v>
      </c>
      <c r="I89" s="261">
        <v>0</v>
      </c>
      <c r="J89" s="261">
        <v>0</v>
      </c>
      <c r="K89" s="262">
        <v>0</v>
      </c>
      <c r="L89" s="261">
        <v>0</v>
      </c>
      <c r="M89" s="261">
        <v>1736821</v>
      </c>
      <c r="N89" s="261">
        <v>0</v>
      </c>
      <c r="O89" s="261">
        <v>0</v>
      </c>
      <c r="P89" s="261">
        <v>0</v>
      </c>
      <c r="Q89" s="261">
        <v>0</v>
      </c>
      <c r="R89" s="261">
        <v>0</v>
      </c>
      <c r="S89" s="261">
        <v>0</v>
      </c>
      <c r="T89" s="261">
        <v>0</v>
      </c>
      <c r="U89" s="261">
        <v>0</v>
      </c>
      <c r="V89" s="261">
        <v>0</v>
      </c>
      <c r="W89" s="261">
        <v>0</v>
      </c>
      <c r="X89" s="261">
        <v>0</v>
      </c>
      <c r="Y89" s="261">
        <v>0</v>
      </c>
      <c r="Z89" s="261">
        <v>0</v>
      </c>
      <c r="AA89" s="261">
        <v>0</v>
      </c>
      <c r="AB89" s="260">
        <v>2020</v>
      </c>
    </row>
    <row r="90" spans="1:28" s="6" customFormat="1" ht="35.25" customHeight="1" x14ac:dyDescent="0.5">
      <c r="A90" s="6">
        <v>1</v>
      </c>
      <c r="B90" s="225">
        <f>SUBTOTAL(103,$A$7:A90)</f>
        <v>82</v>
      </c>
      <c r="C90" s="263" t="s">
        <v>1974</v>
      </c>
      <c r="D90" s="255">
        <v>1164297</v>
      </c>
      <c r="E90" s="261">
        <v>0</v>
      </c>
      <c r="F90" s="261">
        <v>0</v>
      </c>
      <c r="G90" s="261">
        <v>0</v>
      </c>
      <c r="H90" s="261">
        <v>0</v>
      </c>
      <c r="I90" s="261">
        <v>0</v>
      </c>
      <c r="J90" s="261">
        <v>0</v>
      </c>
      <c r="K90" s="262">
        <v>0</v>
      </c>
      <c r="L90" s="261">
        <v>0</v>
      </c>
      <c r="M90" s="261">
        <v>1164297</v>
      </c>
      <c r="N90" s="261">
        <v>0</v>
      </c>
      <c r="O90" s="261">
        <v>0</v>
      </c>
      <c r="P90" s="261">
        <v>0</v>
      </c>
      <c r="Q90" s="261">
        <v>0</v>
      </c>
      <c r="R90" s="261">
        <v>0</v>
      </c>
      <c r="S90" s="261">
        <v>0</v>
      </c>
      <c r="T90" s="261">
        <v>0</v>
      </c>
      <c r="U90" s="261">
        <v>0</v>
      </c>
      <c r="V90" s="261">
        <v>0</v>
      </c>
      <c r="W90" s="261">
        <v>0</v>
      </c>
      <c r="X90" s="261">
        <v>0</v>
      </c>
      <c r="Y90" s="261">
        <v>0</v>
      </c>
      <c r="Z90" s="261">
        <v>0</v>
      </c>
      <c r="AA90" s="261">
        <v>0</v>
      </c>
      <c r="AB90" s="260">
        <v>2020</v>
      </c>
    </row>
    <row r="91" spans="1:28" s="6" customFormat="1" ht="35.25" customHeight="1" x14ac:dyDescent="0.5">
      <c r="A91" s="6">
        <v>1</v>
      </c>
      <c r="B91" s="225">
        <f>SUBTOTAL(103,$A$7:A91)</f>
        <v>83</v>
      </c>
      <c r="C91" s="263" t="s">
        <v>1975</v>
      </c>
      <c r="D91" s="255">
        <v>1475513.91</v>
      </c>
      <c r="E91" s="261">
        <v>0</v>
      </c>
      <c r="F91" s="261">
        <v>0</v>
      </c>
      <c r="G91" s="261">
        <v>0</v>
      </c>
      <c r="H91" s="261">
        <v>0</v>
      </c>
      <c r="I91" s="261">
        <v>0</v>
      </c>
      <c r="J91" s="261">
        <v>0</v>
      </c>
      <c r="K91" s="262">
        <v>0</v>
      </c>
      <c r="L91" s="261">
        <v>0</v>
      </c>
      <c r="M91" s="261">
        <v>1475513.91</v>
      </c>
      <c r="N91" s="261">
        <v>0</v>
      </c>
      <c r="O91" s="261">
        <v>0</v>
      </c>
      <c r="P91" s="261">
        <v>0</v>
      </c>
      <c r="Q91" s="261">
        <v>0</v>
      </c>
      <c r="R91" s="261">
        <v>0</v>
      </c>
      <c r="S91" s="261">
        <v>0</v>
      </c>
      <c r="T91" s="261">
        <v>0</v>
      </c>
      <c r="U91" s="261">
        <v>0</v>
      </c>
      <c r="V91" s="261">
        <v>0</v>
      </c>
      <c r="W91" s="261">
        <v>0</v>
      </c>
      <c r="X91" s="261">
        <v>0</v>
      </c>
      <c r="Y91" s="261">
        <v>0</v>
      </c>
      <c r="Z91" s="261">
        <v>0</v>
      </c>
      <c r="AA91" s="261">
        <v>0</v>
      </c>
      <c r="AB91" s="260">
        <v>2020</v>
      </c>
    </row>
    <row r="92" spans="1:28" s="6" customFormat="1" ht="35.25" customHeight="1" x14ac:dyDescent="0.5">
      <c r="A92" s="6">
        <v>1</v>
      </c>
      <c r="B92" s="225">
        <f>SUBTOTAL(103,$A$7:A92)</f>
        <v>84</v>
      </c>
      <c r="C92" s="263" t="s">
        <v>1976</v>
      </c>
      <c r="D92" s="255">
        <v>256701.14</v>
      </c>
      <c r="E92" s="261">
        <v>0</v>
      </c>
      <c r="F92" s="261">
        <v>0</v>
      </c>
      <c r="G92" s="261">
        <v>0</v>
      </c>
      <c r="H92" s="261">
        <v>0</v>
      </c>
      <c r="I92" s="261">
        <v>0</v>
      </c>
      <c r="J92" s="261">
        <v>0</v>
      </c>
      <c r="K92" s="262">
        <v>0</v>
      </c>
      <c r="L92" s="261">
        <v>0</v>
      </c>
      <c r="M92" s="261">
        <v>0</v>
      </c>
      <c r="N92" s="261">
        <v>0</v>
      </c>
      <c r="O92" s="261">
        <v>256701.14</v>
      </c>
      <c r="P92" s="261">
        <v>0</v>
      </c>
      <c r="Q92" s="261">
        <v>0</v>
      </c>
      <c r="R92" s="261">
        <v>0</v>
      </c>
      <c r="S92" s="261">
        <v>0</v>
      </c>
      <c r="T92" s="261">
        <v>0</v>
      </c>
      <c r="U92" s="261">
        <v>0</v>
      </c>
      <c r="V92" s="261">
        <v>0</v>
      </c>
      <c r="W92" s="261">
        <v>0</v>
      </c>
      <c r="X92" s="261">
        <v>0</v>
      </c>
      <c r="Y92" s="261">
        <v>0</v>
      </c>
      <c r="Z92" s="261">
        <v>0</v>
      </c>
      <c r="AA92" s="261">
        <v>0</v>
      </c>
      <c r="AB92" s="260">
        <v>2020</v>
      </c>
    </row>
    <row r="93" spans="1:28" s="6" customFormat="1" ht="35.25" customHeight="1" x14ac:dyDescent="0.5">
      <c r="A93" s="6">
        <v>1</v>
      </c>
      <c r="B93" s="225">
        <f>SUBTOTAL(103,$A$7:A93)</f>
        <v>85</v>
      </c>
      <c r="C93" s="263" t="s">
        <v>1977</v>
      </c>
      <c r="D93" s="255">
        <v>428327</v>
      </c>
      <c r="E93" s="261">
        <v>0</v>
      </c>
      <c r="F93" s="261">
        <v>0</v>
      </c>
      <c r="G93" s="261">
        <v>0</v>
      </c>
      <c r="H93" s="261">
        <v>0</v>
      </c>
      <c r="I93" s="261">
        <v>0</v>
      </c>
      <c r="J93" s="261">
        <v>0</v>
      </c>
      <c r="K93" s="262">
        <v>0</v>
      </c>
      <c r="L93" s="261">
        <v>0</v>
      </c>
      <c r="M93" s="261">
        <v>0</v>
      </c>
      <c r="N93" s="261">
        <v>35600</v>
      </c>
      <c r="O93" s="261">
        <v>392727</v>
      </c>
      <c r="P93" s="261">
        <v>0</v>
      </c>
      <c r="Q93" s="261">
        <v>0</v>
      </c>
      <c r="R93" s="261">
        <v>0</v>
      </c>
      <c r="S93" s="261">
        <v>0</v>
      </c>
      <c r="T93" s="261">
        <v>0</v>
      </c>
      <c r="U93" s="261">
        <v>0</v>
      </c>
      <c r="V93" s="261">
        <v>0</v>
      </c>
      <c r="W93" s="261">
        <v>0</v>
      </c>
      <c r="X93" s="261">
        <v>0</v>
      </c>
      <c r="Y93" s="261">
        <v>0</v>
      </c>
      <c r="Z93" s="261">
        <v>0</v>
      </c>
      <c r="AA93" s="261">
        <v>0</v>
      </c>
      <c r="AB93" s="260">
        <v>2020</v>
      </c>
    </row>
    <row r="94" spans="1:28" s="6" customFormat="1" ht="35.25" customHeight="1" x14ac:dyDescent="0.5">
      <c r="A94" s="6">
        <v>1</v>
      </c>
      <c r="B94" s="225">
        <f>SUBTOTAL(103,$A$7:A94)</f>
        <v>86</v>
      </c>
      <c r="C94" s="263" t="s">
        <v>1978</v>
      </c>
      <c r="D94" s="255">
        <v>351887.78</v>
      </c>
      <c r="E94" s="261">
        <v>0</v>
      </c>
      <c r="F94" s="261">
        <v>0</v>
      </c>
      <c r="G94" s="261">
        <v>351887.78</v>
      </c>
      <c r="H94" s="261">
        <v>0</v>
      </c>
      <c r="I94" s="261">
        <v>0</v>
      </c>
      <c r="J94" s="261">
        <v>0</v>
      </c>
      <c r="K94" s="262">
        <v>0</v>
      </c>
      <c r="L94" s="261">
        <v>0</v>
      </c>
      <c r="M94" s="261">
        <v>0</v>
      </c>
      <c r="N94" s="261">
        <v>0</v>
      </c>
      <c r="O94" s="261">
        <v>0</v>
      </c>
      <c r="P94" s="261">
        <v>0</v>
      </c>
      <c r="Q94" s="261">
        <v>0</v>
      </c>
      <c r="R94" s="261">
        <v>0</v>
      </c>
      <c r="S94" s="261">
        <v>0</v>
      </c>
      <c r="T94" s="261">
        <v>0</v>
      </c>
      <c r="U94" s="261">
        <v>0</v>
      </c>
      <c r="V94" s="261">
        <v>0</v>
      </c>
      <c r="W94" s="261">
        <v>0</v>
      </c>
      <c r="X94" s="261">
        <v>0</v>
      </c>
      <c r="Y94" s="261">
        <v>0</v>
      </c>
      <c r="Z94" s="261">
        <v>0</v>
      </c>
      <c r="AA94" s="261">
        <v>0</v>
      </c>
      <c r="AB94" s="260">
        <v>2020</v>
      </c>
    </row>
    <row r="95" spans="1:28" s="6" customFormat="1" ht="35.25" customHeight="1" x14ac:dyDescent="0.5">
      <c r="A95" s="6">
        <v>1</v>
      </c>
      <c r="B95" s="225">
        <f>SUBTOTAL(103,$A$7:A95)</f>
        <v>87</v>
      </c>
      <c r="C95" s="263" t="s">
        <v>1979</v>
      </c>
      <c r="D95" s="255">
        <v>459499</v>
      </c>
      <c r="E95" s="261">
        <v>0</v>
      </c>
      <c r="F95" s="261">
        <v>370499</v>
      </c>
      <c r="G95" s="261">
        <v>0</v>
      </c>
      <c r="H95" s="261">
        <v>0</v>
      </c>
      <c r="I95" s="261">
        <v>0</v>
      </c>
      <c r="J95" s="261">
        <v>0</v>
      </c>
      <c r="K95" s="262">
        <v>0</v>
      </c>
      <c r="L95" s="261">
        <v>0</v>
      </c>
      <c r="M95" s="261">
        <v>0</v>
      </c>
      <c r="N95" s="261">
        <v>0</v>
      </c>
      <c r="O95" s="261">
        <v>0</v>
      </c>
      <c r="P95" s="261">
        <v>0</v>
      </c>
      <c r="Q95" s="261">
        <v>0</v>
      </c>
      <c r="R95" s="261">
        <v>0</v>
      </c>
      <c r="S95" s="261">
        <v>0</v>
      </c>
      <c r="T95" s="261">
        <v>0</v>
      </c>
      <c r="U95" s="261">
        <v>0</v>
      </c>
      <c r="V95" s="261">
        <v>0</v>
      </c>
      <c r="W95" s="261">
        <v>0</v>
      </c>
      <c r="X95" s="261">
        <v>0</v>
      </c>
      <c r="Y95" s="261">
        <v>0</v>
      </c>
      <c r="Z95" s="261">
        <v>89000</v>
      </c>
      <c r="AA95" s="261">
        <v>0</v>
      </c>
      <c r="AB95" s="260">
        <v>2020</v>
      </c>
    </row>
    <row r="96" spans="1:28" s="6" customFormat="1" ht="35.25" customHeight="1" x14ac:dyDescent="0.5">
      <c r="A96" s="6">
        <v>1</v>
      </c>
      <c r="B96" s="225">
        <f>SUBTOTAL(103,$A$7:A96)</f>
        <v>88</v>
      </c>
      <c r="C96" s="263" t="s">
        <v>1980</v>
      </c>
      <c r="D96" s="255">
        <v>349658</v>
      </c>
      <c r="E96" s="261">
        <v>0</v>
      </c>
      <c r="F96" s="261">
        <v>0</v>
      </c>
      <c r="G96" s="261">
        <v>0</v>
      </c>
      <c r="H96" s="261">
        <v>0</v>
      </c>
      <c r="I96" s="261">
        <v>0</v>
      </c>
      <c r="J96" s="261">
        <v>0</v>
      </c>
      <c r="K96" s="262">
        <v>0</v>
      </c>
      <c r="L96" s="261">
        <v>0</v>
      </c>
      <c r="M96" s="261">
        <v>349658</v>
      </c>
      <c r="N96" s="261">
        <v>0</v>
      </c>
      <c r="O96" s="261">
        <v>0</v>
      </c>
      <c r="P96" s="261">
        <v>0</v>
      </c>
      <c r="Q96" s="261">
        <v>0</v>
      </c>
      <c r="R96" s="261">
        <v>0</v>
      </c>
      <c r="S96" s="261">
        <v>0</v>
      </c>
      <c r="T96" s="261">
        <v>0</v>
      </c>
      <c r="U96" s="261">
        <v>0</v>
      </c>
      <c r="V96" s="261">
        <v>0</v>
      </c>
      <c r="W96" s="261">
        <v>0</v>
      </c>
      <c r="X96" s="261">
        <v>0</v>
      </c>
      <c r="Y96" s="261">
        <v>0</v>
      </c>
      <c r="Z96" s="261">
        <v>0</v>
      </c>
      <c r="AA96" s="261">
        <v>0</v>
      </c>
      <c r="AB96" s="260">
        <v>2020</v>
      </c>
    </row>
    <row r="97" spans="1:28" s="6" customFormat="1" ht="35.25" customHeight="1" x14ac:dyDescent="0.5">
      <c r="A97" s="6">
        <v>1</v>
      </c>
      <c r="B97" s="225">
        <f>SUBTOTAL(103,$A$7:A97)</f>
        <v>89</v>
      </c>
      <c r="C97" s="263" t="s">
        <v>1981</v>
      </c>
      <c r="D97" s="255">
        <v>883385</v>
      </c>
      <c r="E97" s="261">
        <v>0</v>
      </c>
      <c r="F97" s="261">
        <v>0</v>
      </c>
      <c r="G97" s="261">
        <v>0</v>
      </c>
      <c r="H97" s="261">
        <v>0</v>
      </c>
      <c r="I97" s="261">
        <v>883385</v>
      </c>
      <c r="J97" s="261">
        <v>0</v>
      </c>
      <c r="K97" s="262">
        <v>0</v>
      </c>
      <c r="L97" s="261">
        <v>0</v>
      </c>
      <c r="M97" s="261">
        <v>0</v>
      </c>
      <c r="N97" s="261">
        <v>0</v>
      </c>
      <c r="O97" s="261">
        <v>0</v>
      </c>
      <c r="P97" s="261">
        <v>0</v>
      </c>
      <c r="Q97" s="261">
        <v>0</v>
      </c>
      <c r="R97" s="261">
        <v>0</v>
      </c>
      <c r="S97" s="261">
        <v>0</v>
      </c>
      <c r="T97" s="261">
        <v>0</v>
      </c>
      <c r="U97" s="261">
        <v>0</v>
      </c>
      <c r="V97" s="261">
        <v>0</v>
      </c>
      <c r="W97" s="261">
        <v>0</v>
      </c>
      <c r="X97" s="261">
        <v>0</v>
      </c>
      <c r="Y97" s="261">
        <v>0</v>
      </c>
      <c r="Z97" s="261">
        <v>0</v>
      </c>
      <c r="AA97" s="261">
        <v>0</v>
      </c>
      <c r="AB97" s="260">
        <v>2020</v>
      </c>
    </row>
    <row r="98" spans="1:28" s="6" customFormat="1" ht="35.25" customHeight="1" x14ac:dyDescent="0.5">
      <c r="A98" s="6">
        <v>1</v>
      </c>
      <c r="B98" s="225">
        <f>SUBTOTAL(103,$A$7:A98)</f>
        <v>90</v>
      </c>
      <c r="C98" s="263" t="s">
        <v>1982</v>
      </c>
      <c r="D98" s="255">
        <v>1287000</v>
      </c>
      <c r="E98" s="261">
        <v>0</v>
      </c>
      <c r="F98" s="261">
        <v>0</v>
      </c>
      <c r="G98" s="261">
        <v>0</v>
      </c>
      <c r="H98" s="261">
        <v>0</v>
      </c>
      <c r="I98" s="261">
        <v>0</v>
      </c>
      <c r="J98" s="261">
        <v>0</v>
      </c>
      <c r="K98" s="262">
        <v>0</v>
      </c>
      <c r="L98" s="261">
        <v>0</v>
      </c>
      <c r="M98" s="261">
        <v>1287000</v>
      </c>
      <c r="N98" s="261">
        <v>0</v>
      </c>
      <c r="O98" s="261">
        <v>0</v>
      </c>
      <c r="P98" s="261">
        <v>0</v>
      </c>
      <c r="Q98" s="261">
        <v>0</v>
      </c>
      <c r="R98" s="261">
        <v>0</v>
      </c>
      <c r="S98" s="261">
        <v>0</v>
      </c>
      <c r="T98" s="261">
        <v>0</v>
      </c>
      <c r="U98" s="261">
        <v>0</v>
      </c>
      <c r="V98" s="261">
        <v>0</v>
      </c>
      <c r="W98" s="261">
        <v>0</v>
      </c>
      <c r="X98" s="261">
        <v>0</v>
      </c>
      <c r="Y98" s="261">
        <v>0</v>
      </c>
      <c r="Z98" s="261">
        <v>0</v>
      </c>
      <c r="AA98" s="261">
        <v>0</v>
      </c>
      <c r="AB98" s="260">
        <v>2020</v>
      </c>
    </row>
    <row r="99" spans="1:28" s="6" customFormat="1" ht="35.25" customHeight="1" x14ac:dyDescent="0.5">
      <c r="A99" s="6">
        <v>1</v>
      </c>
      <c r="B99" s="225">
        <f>SUBTOTAL(103,$A$7:A99)</f>
        <v>91</v>
      </c>
      <c r="C99" s="263" t="s">
        <v>1983</v>
      </c>
      <c r="D99" s="255">
        <v>1372008</v>
      </c>
      <c r="E99" s="261">
        <v>0</v>
      </c>
      <c r="F99" s="261">
        <v>0</v>
      </c>
      <c r="G99" s="261">
        <v>0</v>
      </c>
      <c r="H99" s="261">
        <v>0</v>
      </c>
      <c r="I99" s="261">
        <v>0</v>
      </c>
      <c r="J99" s="261">
        <v>0</v>
      </c>
      <c r="K99" s="262">
        <v>0</v>
      </c>
      <c r="L99" s="261">
        <v>0</v>
      </c>
      <c r="M99" s="261">
        <v>0</v>
      </c>
      <c r="N99" s="261">
        <v>0</v>
      </c>
      <c r="O99" s="261">
        <v>1372008</v>
      </c>
      <c r="P99" s="261">
        <v>0</v>
      </c>
      <c r="Q99" s="261">
        <v>0</v>
      </c>
      <c r="R99" s="261">
        <v>0</v>
      </c>
      <c r="S99" s="261">
        <v>0</v>
      </c>
      <c r="T99" s="261">
        <v>0</v>
      </c>
      <c r="U99" s="261">
        <v>0</v>
      </c>
      <c r="V99" s="261">
        <v>0</v>
      </c>
      <c r="W99" s="261">
        <v>0</v>
      </c>
      <c r="X99" s="261">
        <v>0</v>
      </c>
      <c r="Y99" s="261">
        <v>0</v>
      </c>
      <c r="Z99" s="261">
        <v>0</v>
      </c>
      <c r="AA99" s="261">
        <v>0</v>
      </c>
      <c r="AB99" s="260">
        <v>2020</v>
      </c>
    </row>
    <row r="100" spans="1:28" s="6" customFormat="1" ht="35.25" customHeight="1" x14ac:dyDescent="0.5">
      <c r="A100" s="6">
        <v>1</v>
      </c>
      <c r="B100" s="225">
        <f>SUBTOTAL(103,$A$7:A100)</f>
        <v>92</v>
      </c>
      <c r="C100" s="263" t="s">
        <v>1984</v>
      </c>
      <c r="D100" s="255">
        <v>478936.86</v>
      </c>
      <c r="E100" s="261">
        <v>0</v>
      </c>
      <c r="F100" s="261">
        <v>0</v>
      </c>
      <c r="G100" s="261">
        <v>0</v>
      </c>
      <c r="H100" s="261">
        <v>0</v>
      </c>
      <c r="I100" s="261">
        <v>0</v>
      </c>
      <c r="J100" s="261">
        <v>0</v>
      </c>
      <c r="K100" s="262">
        <v>0</v>
      </c>
      <c r="L100" s="261">
        <v>0</v>
      </c>
      <c r="M100" s="261">
        <v>0</v>
      </c>
      <c r="N100" s="261">
        <v>0</v>
      </c>
      <c r="O100" s="261">
        <v>478936.86</v>
      </c>
      <c r="P100" s="261">
        <v>0</v>
      </c>
      <c r="Q100" s="261">
        <v>0</v>
      </c>
      <c r="R100" s="261">
        <v>0</v>
      </c>
      <c r="S100" s="261">
        <v>0</v>
      </c>
      <c r="T100" s="261">
        <v>0</v>
      </c>
      <c r="U100" s="261">
        <v>0</v>
      </c>
      <c r="V100" s="261">
        <v>0</v>
      </c>
      <c r="W100" s="261">
        <v>0</v>
      </c>
      <c r="X100" s="261">
        <v>0</v>
      </c>
      <c r="Y100" s="261">
        <v>0</v>
      </c>
      <c r="Z100" s="261">
        <v>0</v>
      </c>
      <c r="AA100" s="261">
        <v>0</v>
      </c>
      <c r="AB100" s="260">
        <v>2020</v>
      </c>
    </row>
    <row r="101" spans="1:28" s="6" customFormat="1" ht="35.25" customHeight="1" x14ac:dyDescent="0.5">
      <c r="A101" s="6">
        <v>1</v>
      </c>
      <c r="B101" s="225">
        <f>SUBTOTAL(103,$A$7:A101)</f>
        <v>93</v>
      </c>
      <c r="C101" s="263" t="s">
        <v>1985</v>
      </c>
      <c r="D101" s="255">
        <v>2071816</v>
      </c>
      <c r="E101" s="261">
        <v>0</v>
      </c>
      <c r="F101" s="261">
        <v>0</v>
      </c>
      <c r="G101" s="261">
        <v>0</v>
      </c>
      <c r="H101" s="261">
        <v>0</v>
      </c>
      <c r="I101" s="261">
        <v>0</v>
      </c>
      <c r="J101" s="261">
        <v>0</v>
      </c>
      <c r="K101" s="262">
        <v>1</v>
      </c>
      <c r="L101" s="261">
        <v>2071816</v>
      </c>
      <c r="M101" s="261">
        <v>0</v>
      </c>
      <c r="N101" s="261">
        <v>0</v>
      </c>
      <c r="O101" s="261">
        <v>0</v>
      </c>
      <c r="P101" s="261">
        <v>0</v>
      </c>
      <c r="Q101" s="261">
        <v>0</v>
      </c>
      <c r="R101" s="261">
        <v>0</v>
      </c>
      <c r="S101" s="261">
        <v>0</v>
      </c>
      <c r="T101" s="261">
        <v>0</v>
      </c>
      <c r="U101" s="261">
        <v>0</v>
      </c>
      <c r="V101" s="261">
        <v>0</v>
      </c>
      <c r="W101" s="261">
        <v>0</v>
      </c>
      <c r="X101" s="261">
        <v>0</v>
      </c>
      <c r="Y101" s="261">
        <v>0</v>
      </c>
      <c r="Z101" s="261">
        <v>0</v>
      </c>
      <c r="AA101" s="261">
        <v>0</v>
      </c>
      <c r="AB101" s="260">
        <v>2020</v>
      </c>
    </row>
    <row r="102" spans="1:28" s="6" customFormat="1" ht="35.25" customHeight="1" x14ac:dyDescent="0.5">
      <c r="A102" s="6">
        <v>1</v>
      </c>
      <c r="B102" s="225">
        <f>SUBTOTAL(103,$A$7:A102)</f>
        <v>94</v>
      </c>
      <c r="C102" s="263" t="s">
        <v>1986</v>
      </c>
      <c r="D102" s="255">
        <f>E102+F102+G102+H102+I102+J102+L102+M102+N102+O102+P102+Q102+R102+S102+T102+U102+V102+W102+X102+Y102+Z102+AA102</f>
        <v>537756.66999999993</v>
      </c>
      <c r="E102" s="261">
        <v>0</v>
      </c>
      <c r="F102" s="261">
        <v>0</v>
      </c>
      <c r="G102" s="261">
        <v>0</v>
      </c>
      <c r="H102" s="261">
        <v>0</v>
      </c>
      <c r="I102" s="261">
        <v>0</v>
      </c>
      <c r="J102" s="261">
        <v>0</v>
      </c>
      <c r="K102" s="262">
        <v>0</v>
      </c>
      <c r="L102" s="261">
        <v>0</v>
      </c>
      <c r="M102" s="261">
        <v>0</v>
      </c>
      <c r="N102" s="261">
        <v>0</v>
      </c>
      <c r="O102" s="261">
        <f>137165.94+400590.73</f>
        <v>537756.66999999993</v>
      </c>
      <c r="P102" s="261">
        <v>0</v>
      </c>
      <c r="Q102" s="261">
        <v>0</v>
      </c>
      <c r="R102" s="261">
        <v>0</v>
      </c>
      <c r="S102" s="261">
        <v>0</v>
      </c>
      <c r="T102" s="261">
        <v>0</v>
      </c>
      <c r="U102" s="261">
        <v>0</v>
      </c>
      <c r="V102" s="261">
        <v>0</v>
      </c>
      <c r="W102" s="261">
        <v>0</v>
      </c>
      <c r="X102" s="261">
        <v>0</v>
      </c>
      <c r="Y102" s="261">
        <v>0</v>
      </c>
      <c r="Z102" s="261">
        <v>0</v>
      </c>
      <c r="AA102" s="261">
        <v>0</v>
      </c>
      <c r="AB102" s="260">
        <v>2020</v>
      </c>
    </row>
    <row r="103" spans="1:28" s="6" customFormat="1" ht="35.25" customHeight="1" x14ac:dyDescent="0.5">
      <c r="A103" s="6">
        <v>1</v>
      </c>
      <c r="B103" s="225">
        <f>SUBTOTAL(103,$A$7:A103)</f>
        <v>95</v>
      </c>
      <c r="C103" s="263" t="s">
        <v>1987</v>
      </c>
      <c r="D103" s="255">
        <v>455847</v>
      </c>
      <c r="E103" s="261">
        <v>0</v>
      </c>
      <c r="F103" s="261">
        <v>0</v>
      </c>
      <c r="G103" s="261">
        <v>0</v>
      </c>
      <c r="H103" s="261">
        <v>0</v>
      </c>
      <c r="I103" s="261">
        <v>0</v>
      </c>
      <c r="J103" s="261">
        <v>0</v>
      </c>
      <c r="K103" s="262">
        <v>0</v>
      </c>
      <c r="L103" s="261">
        <v>0</v>
      </c>
      <c r="M103" s="261">
        <v>0</v>
      </c>
      <c r="N103" s="261">
        <v>455847</v>
      </c>
      <c r="O103" s="261">
        <v>0</v>
      </c>
      <c r="P103" s="261">
        <v>0</v>
      </c>
      <c r="Q103" s="261">
        <v>0</v>
      </c>
      <c r="R103" s="261">
        <v>0</v>
      </c>
      <c r="S103" s="261">
        <v>0</v>
      </c>
      <c r="T103" s="261">
        <v>0</v>
      </c>
      <c r="U103" s="261">
        <v>0</v>
      </c>
      <c r="V103" s="261">
        <v>0</v>
      </c>
      <c r="W103" s="261">
        <v>0</v>
      </c>
      <c r="X103" s="261">
        <v>0</v>
      </c>
      <c r="Y103" s="261">
        <v>0</v>
      </c>
      <c r="Z103" s="261">
        <v>0</v>
      </c>
      <c r="AA103" s="261">
        <v>0</v>
      </c>
      <c r="AB103" s="260">
        <v>2020</v>
      </c>
    </row>
    <row r="104" spans="1:28" s="6" customFormat="1" ht="35.25" customHeight="1" x14ac:dyDescent="0.5">
      <c r="A104" s="6">
        <v>1</v>
      </c>
      <c r="B104" s="225">
        <f>SUBTOTAL(103,$A$7:A104)</f>
        <v>96</v>
      </c>
      <c r="C104" s="263" t="s">
        <v>1988</v>
      </c>
      <c r="D104" s="255">
        <v>1902802</v>
      </c>
      <c r="E104" s="261">
        <v>0</v>
      </c>
      <c r="F104" s="261">
        <v>0</v>
      </c>
      <c r="G104" s="261">
        <v>0</v>
      </c>
      <c r="H104" s="261">
        <v>0</v>
      </c>
      <c r="I104" s="261">
        <v>0</v>
      </c>
      <c r="J104" s="261">
        <v>0</v>
      </c>
      <c r="K104" s="262">
        <v>0</v>
      </c>
      <c r="L104" s="261">
        <v>0</v>
      </c>
      <c r="M104" s="261">
        <v>0</v>
      </c>
      <c r="N104" s="261">
        <v>0</v>
      </c>
      <c r="O104" s="261">
        <v>1902802</v>
      </c>
      <c r="P104" s="261">
        <v>0</v>
      </c>
      <c r="Q104" s="261">
        <v>0</v>
      </c>
      <c r="R104" s="261">
        <v>0</v>
      </c>
      <c r="S104" s="261">
        <v>0</v>
      </c>
      <c r="T104" s="261">
        <v>0</v>
      </c>
      <c r="U104" s="261">
        <v>0</v>
      </c>
      <c r="V104" s="261">
        <v>0</v>
      </c>
      <c r="W104" s="261">
        <v>0</v>
      </c>
      <c r="X104" s="261">
        <v>0</v>
      </c>
      <c r="Y104" s="261">
        <v>0</v>
      </c>
      <c r="Z104" s="261">
        <v>0</v>
      </c>
      <c r="AA104" s="261">
        <v>0</v>
      </c>
      <c r="AB104" s="260">
        <v>2020</v>
      </c>
    </row>
    <row r="105" spans="1:28" s="6" customFormat="1" ht="35.25" customHeight="1" x14ac:dyDescent="0.5">
      <c r="A105" s="6">
        <v>1</v>
      </c>
      <c r="B105" s="225">
        <f>SUBTOTAL(103,$A$7:A105)</f>
        <v>97</v>
      </c>
      <c r="C105" s="254" t="s">
        <v>1989</v>
      </c>
      <c r="D105" s="255">
        <f t="shared" ref="D105:D168" si="4">E105+F105+G105+H105+I105+J105+L105+M105+N105+O105+P105+Q105+R105+S105+T105+U105+V105+W105+X105+Y105+Z105+AA105</f>
        <v>625651.6</v>
      </c>
      <c r="E105" s="258">
        <v>0</v>
      </c>
      <c r="F105" s="258">
        <v>0</v>
      </c>
      <c r="G105" s="258">
        <v>0</v>
      </c>
      <c r="H105" s="258">
        <v>0</v>
      </c>
      <c r="I105" s="258">
        <v>0</v>
      </c>
      <c r="J105" s="258">
        <v>0</v>
      </c>
      <c r="K105" s="259">
        <v>0</v>
      </c>
      <c r="L105" s="258">
        <v>0</v>
      </c>
      <c r="M105" s="258">
        <v>625651.6</v>
      </c>
      <c r="N105" s="258">
        <v>0</v>
      </c>
      <c r="O105" s="258">
        <v>0</v>
      </c>
      <c r="P105" s="258">
        <v>0</v>
      </c>
      <c r="Q105" s="258">
        <v>0</v>
      </c>
      <c r="R105" s="258">
        <v>0</v>
      </c>
      <c r="S105" s="258">
        <v>0</v>
      </c>
      <c r="T105" s="258">
        <v>0</v>
      </c>
      <c r="U105" s="258">
        <v>0</v>
      </c>
      <c r="V105" s="258">
        <v>0</v>
      </c>
      <c r="W105" s="258">
        <v>0</v>
      </c>
      <c r="X105" s="258">
        <v>0</v>
      </c>
      <c r="Y105" s="258">
        <v>0</v>
      </c>
      <c r="Z105" s="258">
        <v>0</v>
      </c>
      <c r="AA105" s="258">
        <v>0</v>
      </c>
      <c r="AB105" s="260">
        <v>2020</v>
      </c>
    </row>
    <row r="106" spans="1:28" s="6" customFormat="1" ht="35.25" customHeight="1" x14ac:dyDescent="0.5">
      <c r="A106" s="6">
        <v>1</v>
      </c>
      <c r="B106" s="225">
        <f>SUBTOTAL(103,$A$7:A106)</f>
        <v>98</v>
      </c>
      <c r="C106" s="254" t="s">
        <v>1990</v>
      </c>
      <c r="D106" s="255">
        <f t="shared" si="4"/>
        <v>791665.1</v>
      </c>
      <c r="E106" s="258">
        <v>96000</v>
      </c>
      <c r="F106" s="258">
        <v>0</v>
      </c>
      <c r="G106" s="258">
        <v>152312</v>
      </c>
      <c r="H106" s="258">
        <v>0</v>
      </c>
      <c r="I106" s="258">
        <v>0</v>
      </c>
      <c r="J106" s="258">
        <v>0</v>
      </c>
      <c r="K106" s="259">
        <v>1</v>
      </c>
      <c r="L106" s="258">
        <v>24353.1</v>
      </c>
      <c r="M106" s="258">
        <v>0</v>
      </c>
      <c r="N106" s="258">
        <v>0</v>
      </c>
      <c r="O106" s="258">
        <v>519000</v>
      </c>
      <c r="P106" s="258">
        <v>0</v>
      </c>
      <c r="Q106" s="258">
        <v>0</v>
      </c>
      <c r="R106" s="258">
        <v>0</v>
      </c>
      <c r="S106" s="258">
        <v>0</v>
      </c>
      <c r="T106" s="258">
        <v>0</v>
      </c>
      <c r="U106" s="258">
        <v>0</v>
      </c>
      <c r="V106" s="258">
        <v>0</v>
      </c>
      <c r="W106" s="258">
        <v>0</v>
      </c>
      <c r="X106" s="258">
        <v>0</v>
      </c>
      <c r="Y106" s="258">
        <v>0</v>
      </c>
      <c r="Z106" s="258">
        <v>0</v>
      </c>
      <c r="AA106" s="258">
        <v>0</v>
      </c>
      <c r="AB106" s="260">
        <v>2020</v>
      </c>
    </row>
    <row r="107" spans="1:28" s="6" customFormat="1" ht="35.25" customHeight="1" x14ac:dyDescent="0.5">
      <c r="A107" s="6">
        <v>1</v>
      </c>
      <c r="B107" s="225">
        <f>SUBTOTAL(103,$A$7:A107)</f>
        <v>99</v>
      </c>
      <c r="C107" s="254" t="s">
        <v>1991</v>
      </c>
      <c r="D107" s="255">
        <f t="shared" si="4"/>
        <v>279192.32000000001</v>
      </c>
      <c r="E107" s="258">
        <v>0</v>
      </c>
      <c r="F107" s="258">
        <v>0</v>
      </c>
      <c r="G107" s="258">
        <v>0</v>
      </c>
      <c r="H107" s="258">
        <v>0</v>
      </c>
      <c r="I107" s="258">
        <v>0</v>
      </c>
      <c r="J107" s="258">
        <v>0</v>
      </c>
      <c r="K107" s="259">
        <v>0</v>
      </c>
      <c r="L107" s="258">
        <v>0</v>
      </c>
      <c r="M107" s="258">
        <v>0</v>
      </c>
      <c r="N107" s="258">
        <v>0</v>
      </c>
      <c r="O107" s="258">
        <v>279192.32000000001</v>
      </c>
      <c r="P107" s="258">
        <v>0</v>
      </c>
      <c r="Q107" s="258">
        <v>0</v>
      </c>
      <c r="R107" s="258">
        <v>0</v>
      </c>
      <c r="S107" s="258">
        <v>0</v>
      </c>
      <c r="T107" s="258">
        <v>0</v>
      </c>
      <c r="U107" s="258">
        <v>0</v>
      </c>
      <c r="V107" s="258">
        <v>0</v>
      </c>
      <c r="W107" s="258">
        <v>0</v>
      </c>
      <c r="X107" s="258">
        <v>0</v>
      </c>
      <c r="Y107" s="258">
        <v>0</v>
      </c>
      <c r="Z107" s="258">
        <v>0</v>
      </c>
      <c r="AA107" s="258">
        <v>0</v>
      </c>
      <c r="AB107" s="260">
        <v>2020</v>
      </c>
    </row>
    <row r="108" spans="1:28" s="6" customFormat="1" ht="35.25" customHeight="1" x14ac:dyDescent="0.5">
      <c r="A108" s="6">
        <v>1</v>
      </c>
      <c r="B108" s="225">
        <f>SUBTOTAL(103,$A$7:A108)</f>
        <v>100</v>
      </c>
      <c r="C108" s="254" t="s">
        <v>1992</v>
      </c>
      <c r="D108" s="255">
        <f t="shared" si="4"/>
        <v>170090</v>
      </c>
      <c r="E108" s="258">
        <v>0</v>
      </c>
      <c r="F108" s="258">
        <v>0</v>
      </c>
      <c r="G108" s="258">
        <v>0</v>
      </c>
      <c r="H108" s="258">
        <v>0</v>
      </c>
      <c r="I108" s="258">
        <v>0</v>
      </c>
      <c r="J108" s="258">
        <v>0</v>
      </c>
      <c r="K108" s="259">
        <v>0</v>
      </c>
      <c r="L108" s="258">
        <v>0</v>
      </c>
      <c r="M108" s="258">
        <v>0</v>
      </c>
      <c r="N108" s="258">
        <v>170090</v>
      </c>
      <c r="O108" s="258">
        <v>0</v>
      </c>
      <c r="P108" s="258">
        <v>0</v>
      </c>
      <c r="Q108" s="258">
        <v>0</v>
      </c>
      <c r="R108" s="258">
        <v>0</v>
      </c>
      <c r="S108" s="258">
        <v>0</v>
      </c>
      <c r="T108" s="258">
        <v>0</v>
      </c>
      <c r="U108" s="258">
        <v>0</v>
      </c>
      <c r="V108" s="258">
        <v>0</v>
      </c>
      <c r="W108" s="258">
        <v>0</v>
      </c>
      <c r="X108" s="258">
        <v>0</v>
      </c>
      <c r="Y108" s="258">
        <v>0</v>
      </c>
      <c r="Z108" s="258">
        <v>0</v>
      </c>
      <c r="AA108" s="258">
        <v>0</v>
      </c>
      <c r="AB108" s="260">
        <v>2020</v>
      </c>
    </row>
    <row r="109" spans="1:28" s="6" customFormat="1" ht="35.25" customHeight="1" x14ac:dyDescent="0.5">
      <c r="A109" s="6">
        <v>1</v>
      </c>
      <c r="B109" s="225">
        <f>SUBTOTAL(103,$A$7:A109)</f>
        <v>101</v>
      </c>
      <c r="C109" s="254" t="s">
        <v>1993</v>
      </c>
      <c r="D109" s="255">
        <f t="shared" si="4"/>
        <v>902421</v>
      </c>
      <c r="E109" s="258">
        <v>0</v>
      </c>
      <c r="F109" s="258">
        <v>0</v>
      </c>
      <c r="G109" s="258">
        <v>0</v>
      </c>
      <c r="H109" s="258">
        <v>0</v>
      </c>
      <c r="I109" s="258">
        <v>0</v>
      </c>
      <c r="J109" s="258">
        <v>0</v>
      </c>
      <c r="K109" s="259">
        <v>0</v>
      </c>
      <c r="L109" s="258">
        <v>0</v>
      </c>
      <c r="M109" s="258">
        <v>863636</v>
      </c>
      <c r="N109" s="258">
        <v>0</v>
      </c>
      <c r="O109" s="258">
        <v>38785</v>
      </c>
      <c r="P109" s="258">
        <v>0</v>
      </c>
      <c r="Q109" s="258">
        <v>0</v>
      </c>
      <c r="R109" s="258">
        <v>0</v>
      </c>
      <c r="S109" s="258">
        <v>0</v>
      </c>
      <c r="T109" s="258">
        <v>0</v>
      </c>
      <c r="U109" s="258">
        <v>0</v>
      </c>
      <c r="V109" s="258">
        <v>0</v>
      </c>
      <c r="W109" s="258">
        <v>0</v>
      </c>
      <c r="X109" s="258">
        <v>0</v>
      </c>
      <c r="Y109" s="258">
        <v>0</v>
      </c>
      <c r="Z109" s="258">
        <v>0</v>
      </c>
      <c r="AA109" s="258">
        <v>0</v>
      </c>
      <c r="AB109" s="260">
        <v>2020</v>
      </c>
    </row>
    <row r="110" spans="1:28" s="6" customFormat="1" ht="35.25" customHeight="1" x14ac:dyDescent="0.5">
      <c r="A110" s="6">
        <v>1</v>
      </c>
      <c r="B110" s="225">
        <f>SUBTOTAL(103,$A$7:A110)</f>
        <v>102</v>
      </c>
      <c r="C110" s="254" t="s">
        <v>1994</v>
      </c>
      <c r="D110" s="255">
        <f t="shared" si="4"/>
        <v>277962</v>
      </c>
      <c r="E110" s="258">
        <v>0</v>
      </c>
      <c r="F110" s="258">
        <v>0</v>
      </c>
      <c r="G110" s="258">
        <v>0</v>
      </c>
      <c r="H110" s="258">
        <v>0</v>
      </c>
      <c r="I110" s="258">
        <v>0</v>
      </c>
      <c r="J110" s="258">
        <v>0</v>
      </c>
      <c r="K110" s="259">
        <v>0</v>
      </c>
      <c r="L110" s="258">
        <v>0</v>
      </c>
      <c r="M110" s="258">
        <v>0</v>
      </c>
      <c r="N110" s="258">
        <v>0</v>
      </c>
      <c r="O110" s="258">
        <v>277962</v>
      </c>
      <c r="P110" s="258">
        <v>0</v>
      </c>
      <c r="Q110" s="258">
        <v>0</v>
      </c>
      <c r="R110" s="258">
        <v>0</v>
      </c>
      <c r="S110" s="258">
        <v>0</v>
      </c>
      <c r="T110" s="258">
        <v>0</v>
      </c>
      <c r="U110" s="258">
        <v>0</v>
      </c>
      <c r="V110" s="258">
        <v>0</v>
      </c>
      <c r="W110" s="258">
        <v>0</v>
      </c>
      <c r="X110" s="258">
        <v>0</v>
      </c>
      <c r="Y110" s="258">
        <v>0</v>
      </c>
      <c r="Z110" s="258">
        <v>0</v>
      </c>
      <c r="AA110" s="258">
        <v>0</v>
      </c>
      <c r="AB110" s="260">
        <v>2020</v>
      </c>
    </row>
    <row r="111" spans="1:28" s="6" customFormat="1" ht="35.25" customHeight="1" x14ac:dyDescent="0.5">
      <c r="A111" s="6">
        <v>1</v>
      </c>
      <c r="B111" s="225">
        <f>SUBTOTAL(103,$A$7:A111)</f>
        <v>103</v>
      </c>
      <c r="C111" s="254" t="s">
        <v>1995</v>
      </c>
      <c r="D111" s="255">
        <f t="shared" si="4"/>
        <v>167576.1</v>
      </c>
      <c r="E111" s="258">
        <v>0</v>
      </c>
      <c r="F111" s="258">
        <v>0</v>
      </c>
      <c r="G111" s="258">
        <v>0</v>
      </c>
      <c r="H111" s="258">
        <v>0</v>
      </c>
      <c r="I111" s="258">
        <v>0</v>
      </c>
      <c r="J111" s="258">
        <v>0</v>
      </c>
      <c r="K111" s="259">
        <v>0</v>
      </c>
      <c r="L111" s="258">
        <v>0</v>
      </c>
      <c r="M111" s="258">
        <v>167576.1</v>
      </c>
      <c r="N111" s="258">
        <v>0</v>
      </c>
      <c r="O111" s="258">
        <v>0</v>
      </c>
      <c r="P111" s="258">
        <v>0</v>
      </c>
      <c r="Q111" s="258">
        <v>0</v>
      </c>
      <c r="R111" s="258">
        <v>0</v>
      </c>
      <c r="S111" s="258">
        <v>0</v>
      </c>
      <c r="T111" s="258">
        <v>0</v>
      </c>
      <c r="U111" s="258">
        <v>0</v>
      </c>
      <c r="V111" s="258">
        <v>0</v>
      </c>
      <c r="W111" s="258">
        <v>0</v>
      </c>
      <c r="X111" s="258">
        <v>0</v>
      </c>
      <c r="Y111" s="258">
        <v>0</v>
      </c>
      <c r="Z111" s="258">
        <v>0</v>
      </c>
      <c r="AA111" s="258">
        <v>0</v>
      </c>
      <c r="AB111" s="260">
        <v>2020</v>
      </c>
    </row>
    <row r="112" spans="1:28" s="6" customFormat="1" ht="35.25" customHeight="1" x14ac:dyDescent="0.5">
      <c r="A112" s="6">
        <v>1</v>
      </c>
      <c r="B112" s="225">
        <f>SUBTOTAL(103,$A$7:A112)</f>
        <v>104</v>
      </c>
      <c r="C112" s="254" t="s">
        <v>1996</v>
      </c>
      <c r="D112" s="255">
        <f t="shared" si="4"/>
        <v>1903864.69</v>
      </c>
      <c r="E112" s="258">
        <v>0</v>
      </c>
      <c r="F112" s="258">
        <v>0</v>
      </c>
      <c r="G112" s="258">
        <v>0</v>
      </c>
      <c r="H112" s="258">
        <v>0</v>
      </c>
      <c r="I112" s="258">
        <v>0</v>
      </c>
      <c r="J112" s="258">
        <v>0</v>
      </c>
      <c r="K112" s="259">
        <v>0</v>
      </c>
      <c r="L112" s="258">
        <v>0</v>
      </c>
      <c r="M112" s="258">
        <v>1903864.69</v>
      </c>
      <c r="N112" s="258">
        <v>0</v>
      </c>
      <c r="O112" s="258">
        <v>0</v>
      </c>
      <c r="P112" s="258">
        <v>0</v>
      </c>
      <c r="Q112" s="258">
        <v>0</v>
      </c>
      <c r="R112" s="258">
        <v>0</v>
      </c>
      <c r="S112" s="258">
        <v>0</v>
      </c>
      <c r="T112" s="258">
        <v>0</v>
      </c>
      <c r="U112" s="258">
        <v>0</v>
      </c>
      <c r="V112" s="258">
        <v>0</v>
      </c>
      <c r="W112" s="258">
        <v>0</v>
      </c>
      <c r="X112" s="258">
        <v>0</v>
      </c>
      <c r="Y112" s="258">
        <v>0</v>
      </c>
      <c r="Z112" s="258">
        <v>0</v>
      </c>
      <c r="AA112" s="258">
        <v>0</v>
      </c>
      <c r="AB112" s="260">
        <v>2020</v>
      </c>
    </row>
    <row r="113" spans="1:28" s="6" customFormat="1" ht="35.25" customHeight="1" x14ac:dyDescent="0.5">
      <c r="A113" s="6">
        <v>1</v>
      </c>
      <c r="B113" s="225">
        <f>SUBTOTAL(103,$A$7:A113)</f>
        <v>105</v>
      </c>
      <c r="C113" s="254" t="s">
        <v>1997</v>
      </c>
      <c r="D113" s="255">
        <f t="shared" si="4"/>
        <v>169304</v>
      </c>
      <c r="E113" s="258">
        <v>0</v>
      </c>
      <c r="F113" s="258">
        <v>0</v>
      </c>
      <c r="G113" s="258">
        <v>0</v>
      </c>
      <c r="H113" s="258">
        <v>0</v>
      </c>
      <c r="I113" s="258">
        <v>0</v>
      </c>
      <c r="J113" s="258">
        <v>0</v>
      </c>
      <c r="K113" s="259">
        <v>0</v>
      </c>
      <c r="L113" s="258">
        <v>0</v>
      </c>
      <c r="M113" s="258">
        <v>0</v>
      </c>
      <c r="N113" s="258">
        <v>0</v>
      </c>
      <c r="O113" s="258">
        <v>169304</v>
      </c>
      <c r="P113" s="258">
        <v>0</v>
      </c>
      <c r="Q113" s="258">
        <v>0</v>
      </c>
      <c r="R113" s="258">
        <v>0</v>
      </c>
      <c r="S113" s="258">
        <v>0</v>
      </c>
      <c r="T113" s="258">
        <v>0</v>
      </c>
      <c r="U113" s="258">
        <v>0</v>
      </c>
      <c r="V113" s="258">
        <v>0</v>
      </c>
      <c r="W113" s="258">
        <v>0</v>
      </c>
      <c r="X113" s="258">
        <v>0</v>
      </c>
      <c r="Y113" s="258">
        <v>0</v>
      </c>
      <c r="Z113" s="258">
        <v>0</v>
      </c>
      <c r="AA113" s="258">
        <v>0</v>
      </c>
      <c r="AB113" s="260">
        <v>2020</v>
      </c>
    </row>
    <row r="114" spans="1:28" s="6" customFormat="1" ht="35.25" customHeight="1" x14ac:dyDescent="0.5">
      <c r="A114" s="6">
        <v>1</v>
      </c>
      <c r="B114" s="225">
        <f>SUBTOTAL(103,$A$7:A114)</f>
        <v>106</v>
      </c>
      <c r="C114" s="254" t="s">
        <v>1998</v>
      </c>
      <c r="D114" s="255">
        <f t="shared" si="4"/>
        <v>312022</v>
      </c>
      <c r="E114" s="258">
        <v>0</v>
      </c>
      <c r="F114" s="258">
        <v>0</v>
      </c>
      <c r="G114" s="258">
        <v>0</v>
      </c>
      <c r="H114" s="258">
        <v>0</v>
      </c>
      <c r="I114" s="258">
        <v>0</v>
      </c>
      <c r="J114" s="258">
        <v>0</v>
      </c>
      <c r="K114" s="259">
        <v>0</v>
      </c>
      <c r="L114" s="258">
        <v>0</v>
      </c>
      <c r="M114" s="258">
        <v>0</v>
      </c>
      <c r="N114" s="258">
        <v>0</v>
      </c>
      <c r="O114" s="258">
        <v>312022</v>
      </c>
      <c r="P114" s="258">
        <v>0</v>
      </c>
      <c r="Q114" s="258">
        <v>0</v>
      </c>
      <c r="R114" s="258">
        <v>0</v>
      </c>
      <c r="S114" s="258">
        <v>0</v>
      </c>
      <c r="T114" s="258">
        <v>0</v>
      </c>
      <c r="U114" s="258">
        <v>0</v>
      </c>
      <c r="V114" s="258">
        <v>0</v>
      </c>
      <c r="W114" s="258">
        <v>0</v>
      </c>
      <c r="X114" s="258">
        <v>0</v>
      </c>
      <c r="Y114" s="258">
        <v>0</v>
      </c>
      <c r="Z114" s="258">
        <v>0</v>
      </c>
      <c r="AA114" s="258">
        <v>0</v>
      </c>
      <c r="AB114" s="260">
        <v>2020</v>
      </c>
    </row>
    <row r="115" spans="1:28" s="6" customFormat="1" ht="35.25" customHeight="1" x14ac:dyDescent="0.5">
      <c r="A115" s="6">
        <v>1</v>
      </c>
      <c r="B115" s="225">
        <f>SUBTOTAL(103,$A$7:A115)</f>
        <v>107</v>
      </c>
      <c r="C115" s="254" t="s">
        <v>1999</v>
      </c>
      <c r="D115" s="255">
        <f t="shared" si="4"/>
        <v>75000</v>
      </c>
      <c r="E115" s="258">
        <v>0</v>
      </c>
      <c r="F115" s="258">
        <v>0</v>
      </c>
      <c r="G115" s="258">
        <v>0</v>
      </c>
      <c r="H115" s="258">
        <v>0</v>
      </c>
      <c r="I115" s="258">
        <v>0</v>
      </c>
      <c r="J115" s="258">
        <v>0</v>
      </c>
      <c r="K115" s="259">
        <v>0</v>
      </c>
      <c r="L115" s="258">
        <v>0</v>
      </c>
      <c r="M115" s="258">
        <v>0</v>
      </c>
      <c r="N115" s="258">
        <v>75000</v>
      </c>
      <c r="O115" s="258">
        <v>0</v>
      </c>
      <c r="P115" s="258">
        <v>0</v>
      </c>
      <c r="Q115" s="258">
        <v>0</v>
      </c>
      <c r="R115" s="258">
        <v>0</v>
      </c>
      <c r="S115" s="258">
        <v>0</v>
      </c>
      <c r="T115" s="258">
        <v>0</v>
      </c>
      <c r="U115" s="258">
        <v>0</v>
      </c>
      <c r="V115" s="258">
        <v>0</v>
      </c>
      <c r="W115" s="258">
        <v>0</v>
      </c>
      <c r="X115" s="258">
        <v>0</v>
      </c>
      <c r="Y115" s="258">
        <v>0</v>
      </c>
      <c r="Z115" s="258">
        <v>0</v>
      </c>
      <c r="AA115" s="258">
        <v>0</v>
      </c>
      <c r="AB115" s="260">
        <v>2020</v>
      </c>
    </row>
    <row r="116" spans="1:28" s="6" customFormat="1" ht="35.25" customHeight="1" x14ac:dyDescent="0.5">
      <c r="A116" s="6">
        <v>1</v>
      </c>
      <c r="B116" s="225">
        <f>SUBTOTAL(103,$A$7:A116)</f>
        <v>108</v>
      </c>
      <c r="C116" s="254" t="s">
        <v>1736</v>
      </c>
      <c r="D116" s="255">
        <f t="shared" si="4"/>
        <v>1850000</v>
      </c>
      <c r="E116" s="258">
        <v>0</v>
      </c>
      <c r="F116" s="258">
        <v>0</v>
      </c>
      <c r="G116" s="258">
        <v>0</v>
      </c>
      <c r="H116" s="258">
        <v>0</v>
      </c>
      <c r="I116" s="258">
        <v>0</v>
      </c>
      <c r="J116" s="258">
        <v>0</v>
      </c>
      <c r="K116" s="259">
        <v>1</v>
      </c>
      <c r="L116" s="258">
        <v>1850000</v>
      </c>
      <c r="M116" s="258">
        <v>0</v>
      </c>
      <c r="N116" s="258">
        <v>0</v>
      </c>
      <c r="O116" s="258">
        <v>0</v>
      </c>
      <c r="P116" s="258">
        <v>0</v>
      </c>
      <c r="Q116" s="258">
        <v>0</v>
      </c>
      <c r="R116" s="258">
        <v>0</v>
      </c>
      <c r="S116" s="258">
        <v>0</v>
      </c>
      <c r="T116" s="258">
        <v>0</v>
      </c>
      <c r="U116" s="258">
        <v>0</v>
      </c>
      <c r="V116" s="258">
        <v>0</v>
      </c>
      <c r="W116" s="258">
        <v>0</v>
      </c>
      <c r="X116" s="258">
        <v>0</v>
      </c>
      <c r="Y116" s="258">
        <v>0</v>
      </c>
      <c r="Z116" s="258">
        <v>0</v>
      </c>
      <c r="AA116" s="258">
        <v>0</v>
      </c>
      <c r="AB116" s="260">
        <v>2020</v>
      </c>
    </row>
    <row r="117" spans="1:28" s="6" customFormat="1" ht="35.25" customHeight="1" x14ac:dyDescent="0.5">
      <c r="A117" s="6">
        <v>1</v>
      </c>
      <c r="B117" s="225">
        <f>SUBTOTAL(103,$A$7:A117)</f>
        <v>109</v>
      </c>
      <c r="C117" s="254" t="s">
        <v>2000</v>
      </c>
      <c r="D117" s="255">
        <f t="shared" si="4"/>
        <v>527974.02</v>
      </c>
      <c r="E117" s="258">
        <v>0</v>
      </c>
      <c r="F117" s="258">
        <v>0</v>
      </c>
      <c r="G117" s="258">
        <v>0</v>
      </c>
      <c r="H117" s="258">
        <v>0</v>
      </c>
      <c r="I117" s="258">
        <v>0</v>
      </c>
      <c r="J117" s="258">
        <v>0</v>
      </c>
      <c r="K117" s="259">
        <v>0</v>
      </c>
      <c r="L117" s="258">
        <v>0</v>
      </c>
      <c r="M117" s="258">
        <v>0</v>
      </c>
      <c r="N117" s="258">
        <v>0</v>
      </c>
      <c r="O117" s="258">
        <v>239435.8</v>
      </c>
      <c r="P117" s="258">
        <v>288538.21999999997</v>
      </c>
      <c r="Q117" s="258">
        <v>0</v>
      </c>
      <c r="R117" s="258">
        <v>0</v>
      </c>
      <c r="S117" s="258">
        <v>0</v>
      </c>
      <c r="T117" s="258">
        <v>0</v>
      </c>
      <c r="U117" s="258">
        <v>0</v>
      </c>
      <c r="V117" s="258">
        <v>0</v>
      </c>
      <c r="W117" s="258">
        <v>0</v>
      </c>
      <c r="X117" s="258">
        <v>0</v>
      </c>
      <c r="Y117" s="258">
        <v>0</v>
      </c>
      <c r="Z117" s="258">
        <v>0</v>
      </c>
      <c r="AA117" s="258">
        <v>0</v>
      </c>
      <c r="AB117" s="260">
        <v>2020</v>
      </c>
    </row>
    <row r="118" spans="1:28" s="6" customFormat="1" ht="35.25" customHeight="1" x14ac:dyDescent="0.5">
      <c r="A118" s="6">
        <v>1</v>
      </c>
      <c r="B118" s="225">
        <f>SUBTOTAL(103,$A$7:A118)</f>
        <v>110</v>
      </c>
      <c r="C118" s="254" t="s">
        <v>2001</v>
      </c>
      <c r="D118" s="255">
        <f t="shared" si="4"/>
        <v>382402.8</v>
      </c>
      <c r="E118" s="258">
        <v>0</v>
      </c>
      <c r="F118" s="258">
        <v>0</v>
      </c>
      <c r="G118" s="258">
        <v>0</v>
      </c>
      <c r="H118" s="258">
        <v>0</v>
      </c>
      <c r="I118" s="258">
        <v>0</v>
      </c>
      <c r="J118" s="258">
        <v>0</v>
      </c>
      <c r="K118" s="259">
        <v>0</v>
      </c>
      <c r="L118" s="258">
        <v>0</v>
      </c>
      <c r="M118" s="258">
        <v>185479.3</v>
      </c>
      <c r="N118" s="258">
        <v>0</v>
      </c>
      <c r="O118" s="258">
        <v>196923.5</v>
      </c>
      <c r="P118" s="258">
        <v>0</v>
      </c>
      <c r="Q118" s="258">
        <v>0</v>
      </c>
      <c r="R118" s="258">
        <v>0</v>
      </c>
      <c r="S118" s="258">
        <v>0</v>
      </c>
      <c r="T118" s="258">
        <v>0</v>
      </c>
      <c r="U118" s="258">
        <v>0</v>
      </c>
      <c r="V118" s="258">
        <v>0</v>
      </c>
      <c r="W118" s="258">
        <v>0</v>
      </c>
      <c r="X118" s="258">
        <v>0</v>
      </c>
      <c r="Y118" s="258">
        <v>0</v>
      </c>
      <c r="Z118" s="258">
        <v>0</v>
      </c>
      <c r="AA118" s="258">
        <v>0</v>
      </c>
      <c r="AB118" s="260">
        <v>2020</v>
      </c>
    </row>
    <row r="119" spans="1:28" s="6" customFormat="1" ht="35.25" customHeight="1" x14ac:dyDescent="0.5">
      <c r="A119" s="6">
        <v>1</v>
      </c>
      <c r="B119" s="225">
        <f>SUBTOTAL(103,$A$7:A119)</f>
        <v>111</v>
      </c>
      <c r="C119" s="254" t="s">
        <v>2002</v>
      </c>
      <c r="D119" s="255">
        <f t="shared" si="4"/>
        <v>1134646</v>
      </c>
      <c r="E119" s="258">
        <v>0</v>
      </c>
      <c r="F119" s="258">
        <v>0</v>
      </c>
      <c r="G119" s="258">
        <v>0</v>
      </c>
      <c r="H119" s="258">
        <v>0</v>
      </c>
      <c r="I119" s="258">
        <v>0</v>
      </c>
      <c r="J119" s="258">
        <v>0</v>
      </c>
      <c r="K119" s="259">
        <v>0</v>
      </c>
      <c r="L119" s="258">
        <v>0</v>
      </c>
      <c r="M119" s="258">
        <v>1134646</v>
      </c>
      <c r="N119" s="258">
        <v>0</v>
      </c>
      <c r="O119" s="258">
        <v>0</v>
      </c>
      <c r="P119" s="258">
        <v>0</v>
      </c>
      <c r="Q119" s="258">
        <v>0</v>
      </c>
      <c r="R119" s="258">
        <v>0</v>
      </c>
      <c r="S119" s="258">
        <v>0</v>
      </c>
      <c r="T119" s="258">
        <v>0</v>
      </c>
      <c r="U119" s="258">
        <v>0</v>
      </c>
      <c r="V119" s="258">
        <v>0</v>
      </c>
      <c r="W119" s="258">
        <v>0</v>
      </c>
      <c r="X119" s="258">
        <v>0</v>
      </c>
      <c r="Y119" s="258">
        <v>0</v>
      </c>
      <c r="Z119" s="258">
        <v>0</v>
      </c>
      <c r="AA119" s="258">
        <v>0</v>
      </c>
      <c r="AB119" s="260">
        <v>2020</v>
      </c>
    </row>
    <row r="120" spans="1:28" s="6" customFormat="1" ht="35.25" customHeight="1" x14ac:dyDescent="0.5">
      <c r="A120" s="6">
        <v>1</v>
      </c>
      <c r="B120" s="225">
        <f>SUBTOTAL(103,$A$7:A120)</f>
        <v>112</v>
      </c>
      <c r="C120" s="254" t="s">
        <v>2003</v>
      </c>
      <c r="D120" s="255">
        <f t="shared" si="4"/>
        <v>437000</v>
      </c>
      <c r="E120" s="258">
        <v>0</v>
      </c>
      <c r="F120" s="258">
        <v>0</v>
      </c>
      <c r="G120" s="258">
        <v>0</v>
      </c>
      <c r="H120" s="258">
        <v>0</v>
      </c>
      <c r="I120" s="258">
        <v>0</v>
      </c>
      <c r="J120" s="258">
        <v>0</v>
      </c>
      <c r="K120" s="259">
        <v>0</v>
      </c>
      <c r="L120" s="258">
        <v>0</v>
      </c>
      <c r="M120" s="258">
        <v>0</v>
      </c>
      <c r="N120" s="258">
        <v>0</v>
      </c>
      <c r="O120" s="258">
        <v>437000</v>
      </c>
      <c r="P120" s="258">
        <v>0</v>
      </c>
      <c r="Q120" s="258">
        <v>0</v>
      </c>
      <c r="R120" s="258">
        <v>0</v>
      </c>
      <c r="S120" s="258">
        <v>0</v>
      </c>
      <c r="T120" s="258">
        <v>0</v>
      </c>
      <c r="U120" s="258">
        <v>0</v>
      </c>
      <c r="V120" s="258">
        <v>0</v>
      </c>
      <c r="W120" s="258">
        <v>0</v>
      </c>
      <c r="X120" s="258">
        <v>0</v>
      </c>
      <c r="Y120" s="258">
        <v>0</v>
      </c>
      <c r="Z120" s="258">
        <v>0</v>
      </c>
      <c r="AA120" s="258">
        <v>0</v>
      </c>
      <c r="AB120" s="260">
        <v>2020</v>
      </c>
    </row>
    <row r="121" spans="1:28" s="6" customFormat="1" ht="35.25" customHeight="1" x14ac:dyDescent="0.5">
      <c r="A121" s="6">
        <v>1</v>
      </c>
      <c r="B121" s="225">
        <f>SUBTOTAL(103,$A$7:A121)</f>
        <v>113</v>
      </c>
      <c r="C121" s="254" t="s">
        <v>2004</v>
      </c>
      <c r="D121" s="255">
        <f t="shared" si="4"/>
        <v>38391.56</v>
      </c>
      <c r="E121" s="258">
        <v>0</v>
      </c>
      <c r="F121" s="258">
        <v>0</v>
      </c>
      <c r="G121" s="258">
        <v>38391.56</v>
      </c>
      <c r="H121" s="258">
        <v>0</v>
      </c>
      <c r="I121" s="258">
        <v>0</v>
      </c>
      <c r="J121" s="258">
        <v>0</v>
      </c>
      <c r="K121" s="259">
        <v>0</v>
      </c>
      <c r="L121" s="258">
        <v>0</v>
      </c>
      <c r="M121" s="258">
        <v>0</v>
      </c>
      <c r="N121" s="258">
        <v>0</v>
      </c>
      <c r="O121" s="258">
        <v>0</v>
      </c>
      <c r="P121" s="258">
        <v>0</v>
      </c>
      <c r="Q121" s="258">
        <v>0</v>
      </c>
      <c r="R121" s="258">
        <v>0</v>
      </c>
      <c r="S121" s="258">
        <v>0</v>
      </c>
      <c r="T121" s="258">
        <v>0</v>
      </c>
      <c r="U121" s="258">
        <v>0</v>
      </c>
      <c r="V121" s="258">
        <v>0</v>
      </c>
      <c r="W121" s="258">
        <v>0</v>
      </c>
      <c r="X121" s="258">
        <v>0</v>
      </c>
      <c r="Y121" s="258">
        <v>0</v>
      </c>
      <c r="Z121" s="258">
        <v>0</v>
      </c>
      <c r="AA121" s="258">
        <v>0</v>
      </c>
      <c r="AB121" s="260">
        <v>2020</v>
      </c>
    </row>
    <row r="122" spans="1:28" s="6" customFormat="1" ht="35.25" customHeight="1" x14ac:dyDescent="0.5">
      <c r="A122" s="6">
        <v>1</v>
      </c>
      <c r="B122" s="225">
        <f>SUBTOTAL(103,$A$7:A122)</f>
        <v>114</v>
      </c>
      <c r="C122" s="254" t="s">
        <v>2005</v>
      </c>
      <c r="D122" s="255">
        <f t="shared" si="4"/>
        <v>95313.83</v>
      </c>
      <c r="E122" s="258">
        <v>95313.83</v>
      </c>
      <c r="F122" s="258">
        <v>0</v>
      </c>
      <c r="G122" s="258">
        <v>0</v>
      </c>
      <c r="H122" s="258">
        <v>0</v>
      </c>
      <c r="I122" s="258">
        <v>0</v>
      </c>
      <c r="J122" s="258">
        <v>0</v>
      </c>
      <c r="K122" s="259">
        <v>0</v>
      </c>
      <c r="L122" s="258">
        <v>0</v>
      </c>
      <c r="M122" s="258">
        <v>0</v>
      </c>
      <c r="N122" s="258">
        <v>0</v>
      </c>
      <c r="O122" s="258">
        <v>0</v>
      </c>
      <c r="P122" s="258">
        <v>0</v>
      </c>
      <c r="Q122" s="258">
        <v>0</v>
      </c>
      <c r="R122" s="258">
        <v>0</v>
      </c>
      <c r="S122" s="258">
        <v>0</v>
      </c>
      <c r="T122" s="258">
        <v>0</v>
      </c>
      <c r="U122" s="258">
        <v>0</v>
      </c>
      <c r="V122" s="258">
        <v>0</v>
      </c>
      <c r="W122" s="258">
        <v>0</v>
      </c>
      <c r="X122" s="258">
        <v>0</v>
      </c>
      <c r="Y122" s="258">
        <v>0</v>
      </c>
      <c r="Z122" s="258">
        <v>0</v>
      </c>
      <c r="AA122" s="258">
        <v>0</v>
      </c>
      <c r="AB122" s="260">
        <v>2020</v>
      </c>
    </row>
    <row r="123" spans="1:28" s="6" customFormat="1" ht="35.25" customHeight="1" x14ac:dyDescent="0.5">
      <c r="A123" s="6">
        <v>1</v>
      </c>
      <c r="B123" s="225">
        <f>SUBTOTAL(103,$A$7:A123)</f>
        <v>115</v>
      </c>
      <c r="C123" s="254" t="s">
        <v>2006</v>
      </c>
      <c r="D123" s="255">
        <f t="shared" si="4"/>
        <v>723801.52</v>
      </c>
      <c r="E123" s="258">
        <v>0</v>
      </c>
      <c r="F123" s="258">
        <v>0</v>
      </c>
      <c r="G123" s="258">
        <v>174204</v>
      </c>
      <c r="H123" s="258">
        <v>0</v>
      </c>
      <c r="I123" s="258">
        <v>0</v>
      </c>
      <c r="J123" s="258">
        <v>0</v>
      </c>
      <c r="K123" s="259">
        <v>0</v>
      </c>
      <c r="L123" s="258">
        <v>0</v>
      </c>
      <c r="M123" s="258">
        <v>549597.52</v>
      </c>
      <c r="N123" s="258">
        <v>0</v>
      </c>
      <c r="O123" s="258">
        <v>0</v>
      </c>
      <c r="P123" s="258">
        <v>0</v>
      </c>
      <c r="Q123" s="258">
        <v>0</v>
      </c>
      <c r="R123" s="258">
        <v>0</v>
      </c>
      <c r="S123" s="258">
        <v>0</v>
      </c>
      <c r="T123" s="258">
        <v>0</v>
      </c>
      <c r="U123" s="258">
        <v>0</v>
      </c>
      <c r="V123" s="258">
        <v>0</v>
      </c>
      <c r="W123" s="258">
        <v>0</v>
      </c>
      <c r="X123" s="258">
        <v>0</v>
      </c>
      <c r="Y123" s="258">
        <v>0</v>
      </c>
      <c r="Z123" s="258">
        <v>0</v>
      </c>
      <c r="AA123" s="258">
        <v>0</v>
      </c>
      <c r="AB123" s="260">
        <v>2020</v>
      </c>
    </row>
    <row r="124" spans="1:28" s="6" customFormat="1" ht="35.25" customHeight="1" x14ac:dyDescent="0.5">
      <c r="A124" s="6">
        <v>1</v>
      </c>
      <c r="B124" s="225">
        <f>SUBTOTAL(103,$A$7:A124)</f>
        <v>116</v>
      </c>
      <c r="C124" s="254" t="s">
        <v>2007</v>
      </c>
      <c r="D124" s="255">
        <f>E124+F124+G124+H124+I124+J124+L124+M124+N124+O124+P124+Q124+R124+S124+T124+U124+V124+W124+X124+Y124+Z124+AA124</f>
        <v>460900</v>
      </c>
      <c r="E124" s="258">
        <v>0</v>
      </c>
      <c r="F124" s="258">
        <v>0</v>
      </c>
      <c r="G124" s="258">
        <v>0</v>
      </c>
      <c r="H124" s="258">
        <v>0</v>
      </c>
      <c r="I124" s="258">
        <v>0</v>
      </c>
      <c r="J124" s="258">
        <v>0</v>
      </c>
      <c r="K124" s="259">
        <v>0</v>
      </c>
      <c r="L124" s="258">
        <v>0</v>
      </c>
      <c r="M124" s="258">
        <v>0</v>
      </c>
      <c r="N124" s="258">
        <v>0</v>
      </c>
      <c r="O124" s="258">
        <v>460900</v>
      </c>
      <c r="P124" s="258">
        <v>0</v>
      </c>
      <c r="Q124" s="258">
        <v>0</v>
      </c>
      <c r="R124" s="258">
        <v>0</v>
      </c>
      <c r="S124" s="258">
        <v>0</v>
      </c>
      <c r="T124" s="258">
        <v>0</v>
      </c>
      <c r="U124" s="258">
        <v>0</v>
      </c>
      <c r="V124" s="258">
        <v>0</v>
      </c>
      <c r="W124" s="258">
        <v>0</v>
      </c>
      <c r="X124" s="258">
        <v>0</v>
      </c>
      <c r="Y124" s="258">
        <v>0</v>
      </c>
      <c r="Z124" s="258">
        <v>0</v>
      </c>
      <c r="AA124" s="258">
        <v>0</v>
      </c>
      <c r="AB124" s="260">
        <v>2020</v>
      </c>
    </row>
    <row r="125" spans="1:28" s="6" customFormat="1" ht="35.25" customHeight="1" x14ac:dyDescent="0.5">
      <c r="A125" s="6">
        <v>1</v>
      </c>
      <c r="B125" s="225">
        <f>SUBTOTAL(103,$A$7:A125)</f>
        <v>117</v>
      </c>
      <c r="C125" s="254" t="s">
        <v>2008</v>
      </c>
      <c r="D125" s="255">
        <f t="shared" si="4"/>
        <v>154035</v>
      </c>
      <c r="E125" s="258">
        <v>0</v>
      </c>
      <c r="F125" s="258">
        <v>0</v>
      </c>
      <c r="G125" s="258">
        <v>0</v>
      </c>
      <c r="H125" s="258">
        <v>0</v>
      </c>
      <c r="I125" s="258">
        <v>15485</v>
      </c>
      <c r="J125" s="258">
        <v>0</v>
      </c>
      <c r="K125" s="259">
        <v>0</v>
      </c>
      <c r="L125" s="258">
        <v>0</v>
      </c>
      <c r="M125" s="258">
        <v>138550</v>
      </c>
      <c r="N125" s="258">
        <v>0</v>
      </c>
      <c r="O125" s="258">
        <v>0</v>
      </c>
      <c r="P125" s="258">
        <v>0</v>
      </c>
      <c r="Q125" s="258">
        <v>0</v>
      </c>
      <c r="R125" s="258">
        <v>0</v>
      </c>
      <c r="S125" s="258">
        <v>0</v>
      </c>
      <c r="T125" s="258">
        <v>0</v>
      </c>
      <c r="U125" s="258">
        <v>0</v>
      </c>
      <c r="V125" s="258">
        <v>0</v>
      </c>
      <c r="W125" s="258">
        <v>0</v>
      </c>
      <c r="X125" s="258">
        <v>0</v>
      </c>
      <c r="Y125" s="258">
        <v>0</v>
      </c>
      <c r="Z125" s="258">
        <v>0</v>
      </c>
      <c r="AA125" s="258">
        <v>0</v>
      </c>
      <c r="AB125" s="260">
        <v>2020</v>
      </c>
    </row>
    <row r="126" spans="1:28" s="6" customFormat="1" ht="35.25" customHeight="1" x14ac:dyDescent="0.5">
      <c r="A126" s="6">
        <v>1</v>
      </c>
      <c r="B126" s="225">
        <f>SUBTOTAL(103,$A$7:A126)</f>
        <v>118</v>
      </c>
      <c r="C126" s="254" t="s">
        <v>2009</v>
      </c>
      <c r="D126" s="255">
        <f t="shared" si="4"/>
        <v>329973</v>
      </c>
      <c r="E126" s="258">
        <v>0</v>
      </c>
      <c r="F126" s="258">
        <v>0</v>
      </c>
      <c r="G126" s="258">
        <v>0</v>
      </c>
      <c r="H126" s="258">
        <v>0</v>
      </c>
      <c r="I126" s="258">
        <v>0</v>
      </c>
      <c r="J126" s="258">
        <v>0</v>
      </c>
      <c r="K126" s="259">
        <v>0</v>
      </c>
      <c r="L126" s="258">
        <v>0</v>
      </c>
      <c r="M126" s="258">
        <v>0</v>
      </c>
      <c r="N126" s="258">
        <v>0</v>
      </c>
      <c r="O126" s="258">
        <v>329973</v>
      </c>
      <c r="P126" s="258">
        <v>0</v>
      </c>
      <c r="Q126" s="258">
        <v>0</v>
      </c>
      <c r="R126" s="258">
        <v>0</v>
      </c>
      <c r="S126" s="258">
        <v>0</v>
      </c>
      <c r="T126" s="258">
        <v>0</v>
      </c>
      <c r="U126" s="258">
        <v>0</v>
      </c>
      <c r="V126" s="258">
        <v>0</v>
      </c>
      <c r="W126" s="258">
        <v>0</v>
      </c>
      <c r="X126" s="258">
        <v>0</v>
      </c>
      <c r="Y126" s="258">
        <v>0</v>
      </c>
      <c r="Z126" s="258">
        <v>0</v>
      </c>
      <c r="AA126" s="258">
        <v>0</v>
      </c>
      <c r="AB126" s="260">
        <v>2020</v>
      </c>
    </row>
    <row r="127" spans="1:28" s="6" customFormat="1" ht="35.25" customHeight="1" x14ac:dyDescent="0.5">
      <c r="A127" s="6">
        <v>1</v>
      </c>
      <c r="B127" s="225">
        <f>SUBTOTAL(103,$A$7:A127)</f>
        <v>119</v>
      </c>
      <c r="C127" s="254" t="s">
        <v>2010</v>
      </c>
      <c r="D127" s="255">
        <f t="shared" si="4"/>
        <v>500731.2</v>
      </c>
      <c r="E127" s="258">
        <v>0</v>
      </c>
      <c r="F127" s="258">
        <v>0</v>
      </c>
      <c r="G127" s="258">
        <v>0</v>
      </c>
      <c r="H127" s="258">
        <v>0</v>
      </c>
      <c r="I127" s="258">
        <v>0</v>
      </c>
      <c r="J127" s="258">
        <v>0</v>
      </c>
      <c r="K127" s="259">
        <v>0</v>
      </c>
      <c r="L127" s="258">
        <v>0</v>
      </c>
      <c r="M127" s="258">
        <v>0</v>
      </c>
      <c r="N127" s="258">
        <v>0</v>
      </c>
      <c r="O127" s="258">
        <v>0</v>
      </c>
      <c r="P127" s="258">
        <v>500731.2</v>
      </c>
      <c r="Q127" s="258">
        <v>0</v>
      </c>
      <c r="R127" s="258">
        <v>0</v>
      </c>
      <c r="S127" s="258">
        <v>0</v>
      </c>
      <c r="T127" s="258">
        <v>0</v>
      </c>
      <c r="U127" s="258">
        <v>0</v>
      </c>
      <c r="V127" s="258">
        <v>0</v>
      </c>
      <c r="W127" s="258">
        <v>0</v>
      </c>
      <c r="X127" s="258">
        <v>0</v>
      </c>
      <c r="Y127" s="258">
        <v>0</v>
      </c>
      <c r="Z127" s="258">
        <v>0</v>
      </c>
      <c r="AA127" s="258">
        <v>0</v>
      </c>
      <c r="AB127" s="260">
        <v>2020</v>
      </c>
    </row>
    <row r="128" spans="1:28" s="6" customFormat="1" ht="35.25" customHeight="1" x14ac:dyDescent="0.5">
      <c r="A128" s="6">
        <v>1</v>
      </c>
      <c r="B128" s="225">
        <f>SUBTOTAL(103,$A$7:A128)</f>
        <v>120</v>
      </c>
      <c r="C128" s="254" t="s">
        <v>2011</v>
      </c>
      <c r="D128" s="255">
        <f t="shared" si="4"/>
        <v>169106</v>
      </c>
      <c r="E128" s="258">
        <v>0</v>
      </c>
      <c r="F128" s="258">
        <v>0</v>
      </c>
      <c r="G128" s="258">
        <v>0</v>
      </c>
      <c r="H128" s="258">
        <v>0</v>
      </c>
      <c r="I128" s="258">
        <v>0</v>
      </c>
      <c r="J128" s="258">
        <v>0</v>
      </c>
      <c r="K128" s="259">
        <v>0</v>
      </c>
      <c r="L128" s="258">
        <v>0</v>
      </c>
      <c r="M128" s="258">
        <v>169106</v>
      </c>
      <c r="N128" s="258">
        <v>0</v>
      </c>
      <c r="O128" s="258">
        <v>0</v>
      </c>
      <c r="P128" s="258">
        <v>0</v>
      </c>
      <c r="Q128" s="258">
        <v>0</v>
      </c>
      <c r="R128" s="258">
        <v>0</v>
      </c>
      <c r="S128" s="258">
        <v>0</v>
      </c>
      <c r="T128" s="258">
        <v>0</v>
      </c>
      <c r="U128" s="258">
        <v>0</v>
      </c>
      <c r="V128" s="258">
        <v>0</v>
      </c>
      <c r="W128" s="258">
        <v>0</v>
      </c>
      <c r="X128" s="258">
        <v>0</v>
      </c>
      <c r="Y128" s="258">
        <v>0</v>
      </c>
      <c r="Z128" s="258">
        <v>0</v>
      </c>
      <c r="AA128" s="258">
        <v>0</v>
      </c>
      <c r="AB128" s="260">
        <v>2020</v>
      </c>
    </row>
    <row r="129" spans="1:28" s="6" customFormat="1" ht="35.25" customHeight="1" x14ac:dyDescent="0.5">
      <c r="A129" s="6">
        <v>1</v>
      </c>
      <c r="B129" s="225">
        <f>SUBTOTAL(103,$A$7:A129)</f>
        <v>121</v>
      </c>
      <c r="C129" s="254" t="s">
        <v>1765</v>
      </c>
      <c r="D129" s="255">
        <f t="shared" si="4"/>
        <v>221206.97</v>
      </c>
      <c r="E129" s="258">
        <v>0</v>
      </c>
      <c r="F129" s="258">
        <v>159320.97</v>
      </c>
      <c r="G129" s="258">
        <v>0</v>
      </c>
      <c r="H129" s="258">
        <v>0</v>
      </c>
      <c r="I129" s="258">
        <v>0</v>
      </c>
      <c r="J129" s="258">
        <v>0</v>
      </c>
      <c r="K129" s="259">
        <v>2</v>
      </c>
      <c r="L129" s="258">
        <v>61886</v>
      </c>
      <c r="M129" s="258">
        <v>0</v>
      </c>
      <c r="N129" s="258">
        <v>0</v>
      </c>
      <c r="O129" s="258">
        <v>0</v>
      </c>
      <c r="P129" s="258">
        <v>0</v>
      </c>
      <c r="Q129" s="258">
        <v>0</v>
      </c>
      <c r="R129" s="258">
        <v>0</v>
      </c>
      <c r="S129" s="258">
        <v>0</v>
      </c>
      <c r="T129" s="258">
        <v>0</v>
      </c>
      <c r="U129" s="258">
        <v>0</v>
      </c>
      <c r="V129" s="258">
        <v>0</v>
      </c>
      <c r="W129" s="258">
        <v>0</v>
      </c>
      <c r="X129" s="258">
        <v>0</v>
      </c>
      <c r="Y129" s="258">
        <v>0</v>
      </c>
      <c r="Z129" s="258">
        <v>0</v>
      </c>
      <c r="AA129" s="258">
        <v>0</v>
      </c>
      <c r="AB129" s="260">
        <v>2020</v>
      </c>
    </row>
    <row r="130" spans="1:28" s="6" customFormat="1" ht="35.25" customHeight="1" x14ac:dyDescent="0.5">
      <c r="A130" s="6">
        <v>1</v>
      </c>
      <c r="B130" s="225">
        <f>SUBTOTAL(103,$A$7:A130)</f>
        <v>122</v>
      </c>
      <c r="C130" s="254" t="s">
        <v>2012</v>
      </c>
      <c r="D130" s="255">
        <f t="shared" si="4"/>
        <v>329415.37</v>
      </c>
      <c r="E130" s="258">
        <v>0</v>
      </c>
      <c r="F130" s="258">
        <v>0</v>
      </c>
      <c r="G130" s="258">
        <v>329415.37</v>
      </c>
      <c r="H130" s="258">
        <v>0</v>
      </c>
      <c r="I130" s="258">
        <v>0</v>
      </c>
      <c r="J130" s="258">
        <v>0</v>
      </c>
      <c r="K130" s="259">
        <v>0</v>
      </c>
      <c r="L130" s="258">
        <v>0</v>
      </c>
      <c r="M130" s="258">
        <v>0</v>
      </c>
      <c r="N130" s="258">
        <v>0</v>
      </c>
      <c r="O130" s="258">
        <v>0</v>
      </c>
      <c r="P130" s="258">
        <v>0</v>
      </c>
      <c r="Q130" s="258">
        <v>0</v>
      </c>
      <c r="R130" s="258">
        <v>0</v>
      </c>
      <c r="S130" s="258">
        <v>0</v>
      </c>
      <c r="T130" s="258">
        <v>0</v>
      </c>
      <c r="U130" s="258">
        <v>0</v>
      </c>
      <c r="V130" s="258">
        <v>0</v>
      </c>
      <c r="W130" s="258">
        <v>0</v>
      </c>
      <c r="X130" s="258">
        <v>0</v>
      </c>
      <c r="Y130" s="258">
        <v>0</v>
      </c>
      <c r="Z130" s="258">
        <v>0</v>
      </c>
      <c r="AA130" s="258">
        <v>0</v>
      </c>
      <c r="AB130" s="260">
        <v>2020</v>
      </c>
    </row>
    <row r="131" spans="1:28" s="6" customFormat="1" ht="35.25" customHeight="1" x14ac:dyDescent="0.5">
      <c r="A131" s="6">
        <v>1</v>
      </c>
      <c r="B131" s="225">
        <f>SUBTOTAL(103,$A$7:A131)</f>
        <v>123</v>
      </c>
      <c r="C131" s="254" t="s">
        <v>2013</v>
      </c>
      <c r="D131" s="255">
        <f t="shared" si="4"/>
        <v>354653</v>
      </c>
      <c r="E131" s="258">
        <v>177326.5</v>
      </c>
      <c r="F131" s="258">
        <v>177326.5</v>
      </c>
      <c r="G131" s="258">
        <v>0</v>
      </c>
      <c r="H131" s="258">
        <v>0</v>
      </c>
      <c r="I131" s="258">
        <v>0</v>
      </c>
      <c r="J131" s="258">
        <v>0</v>
      </c>
      <c r="K131" s="259">
        <v>0</v>
      </c>
      <c r="L131" s="258">
        <v>0</v>
      </c>
      <c r="M131" s="258">
        <v>0</v>
      </c>
      <c r="N131" s="258">
        <v>0</v>
      </c>
      <c r="O131" s="258">
        <v>0</v>
      </c>
      <c r="P131" s="258">
        <v>0</v>
      </c>
      <c r="Q131" s="258">
        <v>0</v>
      </c>
      <c r="R131" s="258">
        <v>0</v>
      </c>
      <c r="S131" s="258">
        <v>0</v>
      </c>
      <c r="T131" s="258">
        <v>0</v>
      </c>
      <c r="U131" s="258">
        <v>0</v>
      </c>
      <c r="V131" s="258">
        <v>0</v>
      </c>
      <c r="W131" s="258">
        <v>0</v>
      </c>
      <c r="X131" s="258">
        <v>0</v>
      </c>
      <c r="Y131" s="258">
        <v>0</v>
      </c>
      <c r="Z131" s="258">
        <v>0</v>
      </c>
      <c r="AA131" s="258">
        <v>0</v>
      </c>
      <c r="AB131" s="260">
        <v>2020</v>
      </c>
    </row>
    <row r="132" spans="1:28" s="6" customFormat="1" ht="35.25" customHeight="1" x14ac:dyDescent="0.5">
      <c r="A132" s="6">
        <v>1</v>
      </c>
      <c r="B132" s="225">
        <f>SUBTOTAL(103,$A$7:A132)</f>
        <v>124</v>
      </c>
      <c r="C132" s="254" t="s">
        <v>2014</v>
      </c>
      <c r="D132" s="255">
        <f t="shared" si="4"/>
        <v>150000</v>
      </c>
      <c r="E132" s="258">
        <v>0</v>
      </c>
      <c r="F132" s="258">
        <v>0</v>
      </c>
      <c r="G132" s="258">
        <v>0</v>
      </c>
      <c r="H132" s="258">
        <v>0</v>
      </c>
      <c r="I132" s="258">
        <v>150000</v>
      </c>
      <c r="J132" s="258">
        <v>0</v>
      </c>
      <c r="K132" s="259">
        <v>0</v>
      </c>
      <c r="L132" s="258">
        <v>0</v>
      </c>
      <c r="M132" s="258">
        <v>0</v>
      </c>
      <c r="N132" s="258">
        <v>0</v>
      </c>
      <c r="O132" s="258">
        <v>0</v>
      </c>
      <c r="P132" s="258">
        <v>0</v>
      </c>
      <c r="Q132" s="258">
        <v>0</v>
      </c>
      <c r="R132" s="258">
        <v>0</v>
      </c>
      <c r="S132" s="258">
        <v>0</v>
      </c>
      <c r="T132" s="258">
        <v>0</v>
      </c>
      <c r="U132" s="258">
        <v>0</v>
      </c>
      <c r="V132" s="258">
        <v>0</v>
      </c>
      <c r="W132" s="258">
        <v>0</v>
      </c>
      <c r="X132" s="258">
        <v>0</v>
      </c>
      <c r="Y132" s="258">
        <v>0</v>
      </c>
      <c r="Z132" s="258">
        <v>0</v>
      </c>
      <c r="AA132" s="258">
        <v>0</v>
      </c>
      <c r="AB132" s="260">
        <v>2020</v>
      </c>
    </row>
    <row r="133" spans="1:28" s="6" customFormat="1" ht="35.25" customHeight="1" x14ac:dyDescent="0.5">
      <c r="A133" s="6">
        <v>1</v>
      </c>
      <c r="B133" s="225">
        <f>SUBTOTAL(103,$A$7:A133)</f>
        <v>125</v>
      </c>
      <c r="C133" s="254" t="s">
        <v>2015</v>
      </c>
      <c r="D133" s="255">
        <f t="shared" si="4"/>
        <v>643266.46</v>
      </c>
      <c r="E133" s="258">
        <v>0</v>
      </c>
      <c r="F133" s="258">
        <v>0</v>
      </c>
      <c r="G133" s="258">
        <v>0</v>
      </c>
      <c r="H133" s="258">
        <v>0</v>
      </c>
      <c r="I133" s="258">
        <v>62413.85</v>
      </c>
      <c r="J133" s="258">
        <v>0</v>
      </c>
      <c r="K133" s="259">
        <v>0</v>
      </c>
      <c r="L133" s="258">
        <v>0</v>
      </c>
      <c r="M133" s="258">
        <v>580852.61</v>
      </c>
      <c r="N133" s="258">
        <v>0</v>
      </c>
      <c r="O133" s="258">
        <v>0</v>
      </c>
      <c r="P133" s="258">
        <v>0</v>
      </c>
      <c r="Q133" s="258">
        <v>0</v>
      </c>
      <c r="R133" s="258">
        <v>0</v>
      </c>
      <c r="S133" s="258">
        <v>0</v>
      </c>
      <c r="T133" s="258">
        <v>0</v>
      </c>
      <c r="U133" s="258">
        <v>0</v>
      </c>
      <c r="V133" s="258">
        <v>0</v>
      </c>
      <c r="W133" s="258">
        <v>0</v>
      </c>
      <c r="X133" s="258">
        <v>0</v>
      </c>
      <c r="Y133" s="258">
        <v>0</v>
      </c>
      <c r="Z133" s="258">
        <v>0</v>
      </c>
      <c r="AA133" s="258">
        <v>0</v>
      </c>
      <c r="AB133" s="260">
        <v>2020</v>
      </c>
    </row>
    <row r="134" spans="1:28" s="6" customFormat="1" ht="35.25" customHeight="1" x14ac:dyDescent="0.5">
      <c r="A134" s="6">
        <v>1</v>
      </c>
      <c r="B134" s="225">
        <f>SUBTOTAL(103,$A$7:A134)</f>
        <v>126</v>
      </c>
      <c r="C134" s="254" t="s">
        <v>2016</v>
      </c>
      <c r="D134" s="255">
        <f t="shared" si="4"/>
        <v>254624</v>
      </c>
      <c r="E134" s="258">
        <v>0</v>
      </c>
      <c r="F134" s="258">
        <v>0</v>
      </c>
      <c r="G134" s="258">
        <v>254624</v>
      </c>
      <c r="H134" s="258">
        <v>0</v>
      </c>
      <c r="I134" s="258">
        <v>0</v>
      </c>
      <c r="J134" s="258">
        <v>0</v>
      </c>
      <c r="K134" s="259">
        <v>0</v>
      </c>
      <c r="L134" s="258">
        <v>0</v>
      </c>
      <c r="M134" s="258">
        <v>0</v>
      </c>
      <c r="N134" s="258">
        <v>0</v>
      </c>
      <c r="O134" s="258">
        <v>0</v>
      </c>
      <c r="P134" s="258">
        <v>0</v>
      </c>
      <c r="Q134" s="258">
        <v>0</v>
      </c>
      <c r="R134" s="258">
        <v>0</v>
      </c>
      <c r="S134" s="258">
        <v>0</v>
      </c>
      <c r="T134" s="258">
        <v>0</v>
      </c>
      <c r="U134" s="258">
        <v>0</v>
      </c>
      <c r="V134" s="258">
        <v>0</v>
      </c>
      <c r="W134" s="258">
        <v>0</v>
      </c>
      <c r="X134" s="258">
        <v>0</v>
      </c>
      <c r="Y134" s="258">
        <v>0</v>
      </c>
      <c r="Z134" s="258">
        <v>0</v>
      </c>
      <c r="AA134" s="258">
        <v>0</v>
      </c>
      <c r="AB134" s="260">
        <v>2020</v>
      </c>
    </row>
    <row r="135" spans="1:28" s="6" customFormat="1" ht="35.25" customHeight="1" x14ac:dyDescent="0.5">
      <c r="A135" s="6">
        <v>1</v>
      </c>
      <c r="B135" s="225">
        <f>SUBTOTAL(103,$A$7:A135)</f>
        <v>127</v>
      </c>
      <c r="C135" s="254" t="s">
        <v>2017</v>
      </c>
      <c r="D135" s="255">
        <f t="shared" si="4"/>
        <v>259971</v>
      </c>
      <c r="E135" s="258">
        <v>0</v>
      </c>
      <c r="F135" s="258">
        <v>0</v>
      </c>
      <c r="G135" s="258">
        <v>0</v>
      </c>
      <c r="H135" s="258">
        <v>0</v>
      </c>
      <c r="I135" s="258">
        <v>0</v>
      </c>
      <c r="J135" s="258">
        <v>0</v>
      </c>
      <c r="K135" s="259">
        <v>0</v>
      </c>
      <c r="L135" s="258">
        <v>0</v>
      </c>
      <c r="M135" s="258">
        <v>0</v>
      </c>
      <c r="N135" s="258">
        <v>0</v>
      </c>
      <c r="O135" s="258">
        <v>259971</v>
      </c>
      <c r="P135" s="258">
        <v>0</v>
      </c>
      <c r="Q135" s="258">
        <v>0</v>
      </c>
      <c r="R135" s="258">
        <v>0</v>
      </c>
      <c r="S135" s="258">
        <v>0</v>
      </c>
      <c r="T135" s="258">
        <v>0</v>
      </c>
      <c r="U135" s="258">
        <v>0</v>
      </c>
      <c r="V135" s="258">
        <v>0</v>
      </c>
      <c r="W135" s="258">
        <v>0</v>
      </c>
      <c r="X135" s="258">
        <v>0</v>
      </c>
      <c r="Y135" s="258">
        <v>0</v>
      </c>
      <c r="Z135" s="258">
        <v>0</v>
      </c>
      <c r="AA135" s="258">
        <v>0</v>
      </c>
      <c r="AB135" s="260">
        <v>2020</v>
      </c>
    </row>
    <row r="136" spans="1:28" s="6" customFormat="1" ht="35.25" customHeight="1" x14ac:dyDescent="0.5">
      <c r="A136" s="6">
        <v>1</v>
      </c>
      <c r="B136" s="225">
        <f>SUBTOTAL(103,$A$7:A136)</f>
        <v>128</v>
      </c>
      <c r="C136" s="254" t="s">
        <v>2018</v>
      </c>
      <c r="D136" s="255">
        <f t="shared" si="4"/>
        <v>682180.8</v>
      </c>
      <c r="E136" s="258">
        <v>0</v>
      </c>
      <c r="F136" s="258">
        <v>0</v>
      </c>
      <c r="G136" s="258">
        <v>0</v>
      </c>
      <c r="H136" s="258">
        <v>0</v>
      </c>
      <c r="I136" s="258">
        <v>0</v>
      </c>
      <c r="J136" s="258">
        <v>0</v>
      </c>
      <c r="K136" s="259">
        <v>0</v>
      </c>
      <c r="L136" s="258">
        <v>0</v>
      </c>
      <c r="M136" s="258">
        <v>0</v>
      </c>
      <c r="N136" s="258">
        <v>0</v>
      </c>
      <c r="O136" s="258">
        <v>682180.8</v>
      </c>
      <c r="P136" s="258">
        <v>0</v>
      </c>
      <c r="Q136" s="258">
        <v>0</v>
      </c>
      <c r="R136" s="258">
        <v>0</v>
      </c>
      <c r="S136" s="258">
        <v>0</v>
      </c>
      <c r="T136" s="258">
        <v>0</v>
      </c>
      <c r="U136" s="258">
        <v>0</v>
      </c>
      <c r="V136" s="258">
        <v>0</v>
      </c>
      <c r="W136" s="258">
        <v>0</v>
      </c>
      <c r="X136" s="258">
        <v>0</v>
      </c>
      <c r="Y136" s="258">
        <v>0</v>
      </c>
      <c r="Z136" s="258">
        <v>0</v>
      </c>
      <c r="AA136" s="258">
        <v>0</v>
      </c>
      <c r="AB136" s="260">
        <v>2020</v>
      </c>
    </row>
    <row r="137" spans="1:28" s="6" customFormat="1" ht="35.25" customHeight="1" x14ac:dyDescent="0.5">
      <c r="A137" s="6">
        <v>1</v>
      </c>
      <c r="B137" s="225">
        <f>SUBTOTAL(103,$A$7:A137)</f>
        <v>129</v>
      </c>
      <c r="C137" s="254" t="s">
        <v>1743</v>
      </c>
      <c r="D137" s="255">
        <f t="shared" si="4"/>
        <v>7398819</v>
      </c>
      <c r="E137" s="258">
        <v>0</v>
      </c>
      <c r="F137" s="258">
        <v>0</v>
      </c>
      <c r="G137" s="258">
        <v>0</v>
      </c>
      <c r="H137" s="258">
        <v>0</v>
      </c>
      <c r="I137" s="258">
        <v>0</v>
      </c>
      <c r="J137" s="258">
        <v>0</v>
      </c>
      <c r="K137" s="259">
        <v>7</v>
      </c>
      <c r="L137" s="258">
        <v>1200000</v>
      </c>
      <c r="M137" s="258">
        <v>4954168</v>
      </c>
      <c r="N137" s="258">
        <v>0</v>
      </c>
      <c r="O137" s="258">
        <v>1244651</v>
      </c>
      <c r="P137" s="258">
        <v>0</v>
      </c>
      <c r="Q137" s="258">
        <v>0</v>
      </c>
      <c r="R137" s="258">
        <v>0</v>
      </c>
      <c r="S137" s="258">
        <v>0</v>
      </c>
      <c r="T137" s="258">
        <v>0</v>
      </c>
      <c r="U137" s="258">
        <v>0</v>
      </c>
      <c r="V137" s="258">
        <v>0</v>
      </c>
      <c r="W137" s="258">
        <v>0</v>
      </c>
      <c r="X137" s="258">
        <v>0</v>
      </c>
      <c r="Y137" s="258">
        <v>0</v>
      </c>
      <c r="Z137" s="258">
        <v>0</v>
      </c>
      <c r="AA137" s="258">
        <v>0</v>
      </c>
      <c r="AB137" s="260">
        <v>2020</v>
      </c>
    </row>
    <row r="138" spans="1:28" s="6" customFormat="1" ht="35.25" customHeight="1" x14ac:dyDescent="0.5">
      <c r="A138" s="6">
        <v>1</v>
      </c>
      <c r="B138" s="225">
        <f>SUBTOTAL(103,$A$7:A138)</f>
        <v>130</v>
      </c>
      <c r="C138" s="254" t="s">
        <v>2019</v>
      </c>
      <c r="D138" s="255">
        <f t="shared" si="4"/>
        <v>1079600</v>
      </c>
      <c r="E138" s="258">
        <v>0</v>
      </c>
      <c r="F138" s="258">
        <v>0</v>
      </c>
      <c r="G138" s="258">
        <v>0</v>
      </c>
      <c r="H138" s="258">
        <v>0</v>
      </c>
      <c r="I138" s="258">
        <v>0</v>
      </c>
      <c r="J138" s="258">
        <v>0</v>
      </c>
      <c r="K138" s="259">
        <v>0</v>
      </c>
      <c r="L138" s="258">
        <v>0</v>
      </c>
      <c r="M138" s="258">
        <v>1079600</v>
      </c>
      <c r="N138" s="258">
        <v>0</v>
      </c>
      <c r="O138" s="258">
        <v>0</v>
      </c>
      <c r="P138" s="258">
        <v>0</v>
      </c>
      <c r="Q138" s="258">
        <v>0</v>
      </c>
      <c r="R138" s="258">
        <v>0</v>
      </c>
      <c r="S138" s="258">
        <v>0</v>
      </c>
      <c r="T138" s="258">
        <v>0</v>
      </c>
      <c r="U138" s="258">
        <v>0</v>
      </c>
      <c r="V138" s="258">
        <v>0</v>
      </c>
      <c r="W138" s="258">
        <v>0</v>
      </c>
      <c r="X138" s="258">
        <v>0</v>
      </c>
      <c r="Y138" s="258">
        <v>0</v>
      </c>
      <c r="Z138" s="258">
        <v>0</v>
      </c>
      <c r="AA138" s="258">
        <v>0</v>
      </c>
      <c r="AB138" s="260">
        <v>2020</v>
      </c>
    </row>
    <row r="139" spans="1:28" s="6" customFormat="1" ht="35.25" customHeight="1" x14ac:dyDescent="0.5">
      <c r="A139" s="6">
        <v>1</v>
      </c>
      <c r="B139" s="225">
        <f>SUBTOTAL(103,$A$7:A139)</f>
        <v>131</v>
      </c>
      <c r="C139" s="254" t="s">
        <v>2020</v>
      </c>
      <c r="D139" s="255">
        <f t="shared" si="4"/>
        <v>285704</v>
      </c>
      <c r="E139" s="258">
        <v>0</v>
      </c>
      <c r="F139" s="258">
        <v>0</v>
      </c>
      <c r="G139" s="258">
        <v>0</v>
      </c>
      <c r="H139" s="258">
        <v>0</v>
      </c>
      <c r="I139" s="258">
        <v>0</v>
      </c>
      <c r="J139" s="258">
        <v>0</v>
      </c>
      <c r="K139" s="259">
        <v>0</v>
      </c>
      <c r="L139" s="258">
        <v>0</v>
      </c>
      <c r="M139" s="258">
        <v>0</v>
      </c>
      <c r="N139" s="258">
        <v>68000</v>
      </c>
      <c r="O139" s="258">
        <v>217704</v>
      </c>
      <c r="P139" s="258">
        <v>0</v>
      </c>
      <c r="Q139" s="258">
        <v>0</v>
      </c>
      <c r="R139" s="258">
        <v>0</v>
      </c>
      <c r="S139" s="258">
        <v>0</v>
      </c>
      <c r="T139" s="258">
        <v>0</v>
      </c>
      <c r="U139" s="258">
        <v>0</v>
      </c>
      <c r="V139" s="258">
        <v>0</v>
      </c>
      <c r="W139" s="258">
        <v>0</v>
      </c>
      <c r="X139" s="258">
        <v>0</v>
      </c>
      <c r="Y139" s="258">
        <v>0</v>
      </c>
      <c r="Z139" s="258">
        <v>0</v>
      </c>
      <c r="AA139" s="258">
        <v>0</v>
      </c>
      <c r="AB139" s="260">
        <v>2020</v>
      </c>
    </row>
    <row r="140" spans="1:28" s="6" customFormat="1" ht="35.25" customHeight="1" x14ac:dyDescent="0.5">
      <c r="A140" s="6">
        <v>1</v>
      </c>
      <c r="B140" s="225">
        <f>SUBTOTAL(103,$A$7:A140)</f>
        <v>132</v>
      </c>
      <c r="C140" s="254" t="s">
        <v>2021</v>
      </c>
      <c r="D140" s="255">
        <f t="shared" si="4"/>
        <v>165037</v>
      </c>
      <c r="E140" s="258">
        <v>0</v>
      </c>
      <c r="F140" s="258">
        <v>165037</v>
      </c>
      <c r="G140" s="258">
        <v>0</v>
      </c>
      <c r="H140" s="258">
        <v>0</v>
      </c>
      <c r="I140" s="258">
        <v>0</v>
      </c>
      <c r="J140" s="258">
        <v>0</v>
      </c>
      <c r="K140" s="259">
        <v>0</v>
      </c>
      <c r="L140" s="258">
        <v>0</v>
      </c>
      <c r="M140" s="258">
        <v>0</v>
      </c>
      <c r="N140" s="258">
        <v>0</v>
      </c>
      <c r="O140" s="258">
        <v>0</v>
      </c>
      <c r="P140" s="258">
        <v>0</v>
      </c>
      <c r="Q140" s="258">
        <v>0</v>
      </c>
      <c r="R140" s="258">
        <v>0</v>
      </c>
      <c r="S140" s="258">
        <v>0</v>
      </c>
      <c r="T140" s="258">
        <v>0</v>
      </c>
      <c r="U140" s="258">
        <v>0</v>
      </c>
      <c r="V140" s="258">
        <v>0</v>
      </c>
      <c r="W140" s="258">
        <v>0</v>
      </c>
      <c r="X140" s="258">
        <v>0</v>
      </c>
      <c r="Y140" s="258">
        <v>0</v>
      </c>
      <c r="Z140" s="258">
        <v>0</v>
      </c>
      <c r="AA140" s="258">
        <v>0</v>
      </c>
      <c r="AB140" s="260">
        <v>2020</v>
      </c>
    </row>
    <row r="141" spans="1:28" s="6" customFormat="1" ht="35.25" customHeight="1" x14ac:dyDescent="0.5">
      <c r="A141" s="6">
        <v>1</v>
      </c>
      <c r="B141" s="225">
        <f>SUBTOTAL(103,$A$7:A141)</f>
        <v>133</v>
      </c>
      <c r="C141" s="254" t="s">
        <v>2022</v>
      </c>
      <c r="D141" s="255">
        <f t="shared" si="4"/>
        <v>589000</v>
      </c>
      <c r="E141" s="258">
        <v>0</v>
      </c>
      <c r="F141" s="258">
        <v>0</v>
      </c>
      <c r="G141" s="258">
        <v>0</v>
      </c>
      <c r="H141" s="258">
        <v>0</v>
      </c>
      <c r="I141" s="258">
        <v>589000</v>
      </c>
      <c r="J141" s="258">
        <v>0</v>
      </c>
      <c r="K141" s="259">
        <v>0</v>
      </c>
      <c r="L141" s="258">
        <v>0</v>
      </c>
      <c r="M141" s="258">
        <v>0</v>
      </c>
      <c r="N141" s="258">
        <v>0</v>
      </c>
      <c r="O141" s="258">
        <v>0</v>
      </c>
      <c r="P141" s="258">
        <v>0</v>
      </c>
      <c r="Q141" s="258">
        <v>0</v>
      </c>
      <c r="R141" s="258">
        <v>0</v>
      </c>
      <c r="S141" s="258">
        <v>0</v>
      </c>
      <c r="T141" s="258">
        <v>0</v>
      </c>
      <c r="U141" s="258">
        <v>0</v>
      </c>
      <c r="V141" s="258">
        <v>0</v>
      </c>
      <c r="W141" s="258">
        <v>0</v>
      </c>
      <c r="X141" s="258">
        <v>0</v>
      </c>
      <c r="Y141" s="258">
        <v>0</v>
      </c>
      <c r="Z141" s="258">
        <v>0</v>
      </c>
      <c r="AA141" s="258">
        <v>0</v>
      </c>
      <c r="AB141" s="260">
        <v>2020</v>
      </c>
    </row>
    <row r="142" spans="1:28" s="6" customFormat="1" ht="35.25" customHeight="1" x14ac:dyDescent="0.5">
      <c r="A142" s="6">
        <v>1</v>
      </c>
      <c r="B142" s="225">
        <f>SUBTOTAL(103,$A$7:A142)</f>
        <v>134</v>
      </c>
      <c r="C142" s="254" t="s">
        <v>2023</v>
      </c>
      <c r="D142" s="255">
        <f t="shared" si="4"/>
        <v>906097.15999999992</v>
      </c>
      <c r="E142" s="258">
        <v>0</v>
      </c>
      <c r="F142" s="258">
        <v>89686.6</v>
      </c>
      <c r="G142" s="258">
        <v>538073.86</v>
      </c>
      <c r="H142" s="258">
        <v>278336.7</v>
      </c>
      <c r="I142" s="258">
        <v>0</v>
      </c>
      <c r="J142" s="258">
        <v>0</v>
      </c>
      <c r="K142" s="259">
        <v>0</v>
      </c>
      <c r="L142" s="258">
        <v>0</v>
      </c>
      <c r="M142" s="258">
        <v>0</v>
      </c>
      <c r="N142" s="258">
        <v>0</v>
      </c>
      <c r="O142" s="258">
        <v>0</v>
      </c>
      <c r="P142" s="258">
        <v>0</v>
      </c>
      <c r="Q142" s="258">
        <v>0</v>
      </c>
      <c r="R142" s="258">
        <v>0</v>
      </c>
      <c r="S142" s="258">
        <v>0</v>
      </c>
      <c r="T142" s="258">
        <v>0</v>
      </c>
      <c r="U142" s="258">
        <v>0</v>
      </c>
      <c r="V142" s="258">
        <v>0</v>
      </c>
      <c r="W142" s="258">
        <v>0</v>
      </c>
      <c r="X142" s="258">
        <v>0</v>
      </c>
      <c r="Y142" s="258">
        <v>0</v>
      </c>
      <c r="Z142" s="258">
        <v>0</v>
      </c>
      <c r="AA142" s="258">
        <v>0</v>
      </c>
      <c r="AB142" s="260">
        <v>2020</v>
      </c>
    </row>
    <row r="143" spans="1:28" s="6" customFormat="1" ht="35.25" customHeight="1" x14ac:dyDescent="0.5">
      <c r="A143" s="6">
        <v>1</v>
      </c>
      <c r="B143" s="225">
        <f>SUBTOTAL(103,$A$7:A143)</f>
        <v>135</v>
      </c>
      <c r="C143" s="254" t="s">
        <v>2024</v>
      </c>
      <c r="D143" s="255">
        <f t="shared" si="4"/>
        <v>322432.34999999998</v>
      </c>
      <c r="E143" s="258">
        <v>0</v>
      </c>
      <c r="F143" s="258">
        <v>0</v>
      </c>
      <c r="G143" s="258">
        <v>0</v>
      </c>
      <c r="H143" s="258">
        <v>0</v>
      </c>
      <c r="I143" s="258">
        <v>0</v>
      </c>
      <c r="J143" s="258">
        <v>0</v>
      </c>
      <c r="K143" s="259">
        <v>0</v>
      </c>
      <c r="L143" s="258">
        <v>0</v>
      </c>
      <c r="M143" s="258">
        <v>322432.34999999998</v>
      </c>
      <c r="N143" s="258">
        <v>0</v>
      </c>
      <c r="O143" s="258">
        <v>0</v>
      </c>
      <c r="P143" s="258">
        <v>0</v>
      </c>
      <c r="Q143" s="258">
        <v>0</v>
      </c>
      <c r="R143" s="258">
        <v>0</v>
      </c>
      <c r="S143" s="258">
        <v>0</v>
      </c>
      <c r="T143" s="258">
        <v>0</v>
      </c>
      <c r="U143" s="258">
        <v>0</v>
      </c>
      <c r="V143" s="258">
        <v>0</v>
      </c>
      <c r="W143" s="258">
        <v>0</v>
      </c>
      <c r="X143" s="258">
        <v>0</v>
      </c>
      <c r="Y143" s="258">
        <v>0</v>
      </c>
      <c r="Z143" s="258">
        <v>0</v>
      </c>
      <c r="AA143" s="258">
        <v>0</v>
      </c>
      <c r="AB143" s="260">
        <v>2020</v>
      </c>
    </row>
    <row r="144" spans="1:28" s="6" customFormat="1" ht="35.25" customHeight="1" x14ac:dyDescent="0.5">
      <c r="A144" s="6">
        <v>1</v>
      </c>
      <c r="B144" s="225">
        <f>SUBTOTAL(103,$A$7:A144)</f>
        <v>136</v>
      </c>
      <c r="C144" s="254" t="s">
        <v>2025</v>
      </c>
      <c r="D144" s="255">
        <f t="shared" si="4"/>
        <v>64270.13</v>
      </c>
      <c r="E144" s="258">
        <v>0</v>
      </c>
      <c r="F144" s="258">
        <v>0</v>
      </c>
      <c r="G144" s="258">
        <v>64270.13</v>
      </c>
      <c r="H144" s="258">
        <v>0</v>
      </c>
      <c r="I144" s="258">
        <v>0</v>
      </c>
      <c r="J144" s="258">
        <v>0</v>
      </c>
      <c r="K144" s="259">
        <v>0</v>
      </c>
      <c r="L144" s="258">
        <v>0</v>
      </c>
      <c r="M144" s="258">
        <v>0</v>
      </c>
      <c r="N144" s="258">
        <v>0</v>
      </c>
      <c r="O144" s="258">
        <v>0</v>
      </c>
      <c r="P144" s="258">
        <v>0</v>
      </c>
      <c r="Q144" s="258">
        <v>0</v>
      </c>
      <c r="R144" s="258">
        <v>0</v>
      </c>
      <c r="S144" s="258">
        <v>0</v>
      </c>
      <c r="T144" s="258">
        <v>0</v>
      </c>
      <c r="U144" s="258">
        <v>0</v>
      </c>
      <c r="V144" s="258">
        <v>0</v>
      </c>
      <c r="W144" s="258">
        <v>0</v>
      </c>
      <c r="X144" s="258">
        <v>0</v>
      </c>
      <c r="Y144" s="258">
        <v>0</v>
      </c>
      <c r="Z144" s="258">
        <v>0</v>
      </c>
      <c r="AA144" s="258">
        <v>0</v>
      </c>
      <c r="AB144" s="260">
        <v>2020</v>
      </c>
    </row>
    <row r="145" spans="1:28" s="6" customFormat="1" ht="35.25" customHeight="1" x14ac:dyDescent="0.5">
      <c r="A145" s="6">
        <v>1</v>
      </c>
      <c r="B145" s="225">
        <f>SUBTOTAL(103,$A$7:A145)</f>
        <v>137</v>
      </c>
      <c r="C145" s="254" t="s">
        <v>2026</v>
      </c>
      <c r="D145" s="255">
        <f t="shared" si="4"/>
        <v>512800</v>
      </c>
      <c r="E145" s="258">
        <v>0</v>
      </c>
      <c r="F145" s="258">
        <v>0</v>
      </c>
      <c r="G145" s="258">
        <v>0</v>
      </c>
      <c r="H145" s="258">
        <v>0</v>
      </c>
      <c r="I145" s="258">
        <v>0</v>
      </c>
      <c r="J145" s="258">
        <v>0</v>
      </c>
      <c r="K145" s="259">
        <v>0</v>
      </c>
      <c r="L145" s="258">
        <v>0</v>
      </c>
      <c r="M145" s="258">
        <v>0</v>
      </c>
      <c r="N145" s="258">
        <v>0</v>
      </c>
      <c r="O145" s="258">
        <v>512800</v>
      </c>
      <c r="P145" s="258">
        <v>0</v>
      </c>
      <c r="Q145" s="258">
        <v>0</v>
      </c>
      <c r="R145" s="258">
        <v>0</v>
      </c>
      <c r="S145" s="258">
        <v>0</v>
      </c>
      <c r="T145" s="258">
        <v>0</v>
      </c>
      <c r="U145" s="258">
        <v>0</v>
      </c>
      <c r="V145" s="258">
        <v>0</v>
      </c>
      <c r="W145" s="258">
        <v>0</v>
      </c>
      <c r="X145" s="258">
        <v>0</v>
      </c>
      <c r="Y145" s="258">
        <v>0</v>
      </c>
      <c r="Z145" s="258">
        <v>0</v>
      </c>
      <c r="AA145" s="258">
        <v>0</v>
      </c>
      <c r="AB145" s="260">
        <v>2020</v>
      </c>
    </row>
    <row r="146" spans="1:28" s="6" customFormat="1" ht="35.25" customHeight="1" x14ac:dyDescent="0.5">
      <c r="A146" s="6">
        <v>1</v>
      </c>
      <c r="B146" s="225">
        <f>SUBTOTAL(103,$A$7:A146)</f>
        <v>138</v>
      </c>
      <c r="C146" s="254" t="s">
        <v>2027</v>
      </c>
      <c r="D146" s="255">
        <f t="shared" si="4"/>
        <v>92047.5</v>
      </c>
      <c r="E146" s="258">
        <v>0</v>
      </c>
      <c r="F146" s="258">
        <v>0</v>
      </c>
      <c r="G146" s="258">
        <v>0</v>
      </c>
      <c r="H146" s="258">
        <v>0</v>
      </c>
      <c r="I146" s="258">
        <v>0</v>
      </c>
      <c r="J146" s="258">
        <v>0</v>
      </c>
      <c r="K146" s="259">
        <v>0</v>
      </c>
      <c r="L146" s="258">
        <v>0</v>
      </c>
      <c r="M146" s="258">
        <v>0</v>
      </c>
      <c r="N146" s="258">
        <v>55807.5</v>
      </c>
      <c r="O146" s="258">
        <v>36240</v>
      </c>
      <c r="P146" s="258">
        <v>0</v>
      </c>
      <c r="Q146" s="258">
        <v>0</v>
      </c>
      <c r="R146" s="258">
        <v>0</v>
      </c>
      <c r="S146" s="258">
        <v>0</v>
      </c>
      <c r="T146" s="258">
        <v>0</v>
      </c>
      <c r="U146" s="258">
        <v>0</v>
      </c>
      <c r="V146" s="258">
        <v>0</v>
      </c>
      <c r="W146" s="258">
        <v>0</v>
      </c>
      <c r="X146" s="258">
        <v>0</v>
      </c>
      <c r="Y146" s="258">
        <v>0</v>
      </c>
      <c r="Z146" s="258">
        <v>0</v>
      </c>
      <c r="AA146" s="258">
        <v>0</v>
      </c>
      <c r="AB146" s="260">
        <v>2020</v>
      </c>
    </row>
    <row r="147" spans="1:28" s="6" customFormat="1" ht="35.25" customHeight="1" x14ac:dyDescent="0.5">
      <c r="A147" s="6">
        <v>1</v>
      </c>
      <c r="B147" s="225">
        <f>SUBTOTAL(103,$A$7:A147)</f>
        <v>139</v>
      </c>
      <c r="C147" s="254" t="s">
        <v>2028</v>
      </c>
      <c r="D147" s="255">
        <f t="shared" si="4"/>
        <v>96754</v>
      </c>
      <c r="E147" s="258">
        <v>48377</v>
      </c>
      <c r="F147" s="258">
        <v>48377</v>
      </c>
      <c r="G147" s="258">
        <v>0</v>
      </c>
      <c r="H147" s="258">
        <v>0</v>
      </c>
      <c r="I147" s="258">
        <v>0</v>
      </c>
      <c r="J147" s="258">
        <v>0</v>
      </c>
      <c r="K147" s="259">
        <v>0</v>
      </c>
      <c r="L147" s="258">
        <v>0</v>
      </c>
      <c r="M147" s="258">
        <v>0</v>
      </c>
      <c r="N147" s="258">
        <v>0</v>
      </c>
      <c r="O147" s="258">
        <v>0</v>
      </c>
      <c r="P147" s="258">
        <v>0</v>
      </c>
      <c r="Q147" s="258">
        <v>0</v>
      </c>
      <c r="R147" s="258">
        <v>0</v>
      </c>
      <c r="S147" s="258">
        <v>0</v>
      </c>
      <c r="T147" s="258">
        <v>0</v>
      </c>
      <c r="U147" s="258">
        <v>0</v>
      </c>
      <c r="V147" s="258">
        <v>0</v>
      </c>
      <c r="W147" s="258">
        <v>0</v>
      </c>
      <c r="X147" s="258">
        <v>0</v>
      </c>
      <c r="Y147" s="258">
        <v>0</v>
      </c>
      <c r="Z147" s="258">
        <v>0</v>
      </c>
      <c r="AA147" s="258">
        <v>0</v>
      </c>
      <c r="AB147" s="260">
        <v>2020</v>
      </c>
    </row>
    <row r="148" spans="1:28" s="6" customFormat="1" ht="35.25" customHeight="1" x14ac:dyDescent="0.5">
      <c r="A148" s="6">
        <v>1</v>
      </c>
      <c r="B148" s="225">
        <f>SUBTOTAL(103,$A$7:A148)</f>
        <v>140</v>
      </c>
      <c r="C148" s="254" t="s">
        <v>2029</v>
      </c>
      <c r="D148" s="255">
        <f t="shared" si="4"/>
        <v>143710.21</v>
      </c>
      <c r="E148" s="258">
        <v>143710.21</v>
      </c>
      <c r="F148" s="258">
        <v>0</v>
      </c>
      <c r="G148" s="258">
        <v>0</v>
      </c>
      <c r="H148" s="258">
        <v>0</v>
      </c>
      <c r="I148" s="258">
        <v>0</v>
      </c>
      <c r="J148" s="258">
        <v>0</v>
      </c>
      <c r="K148" s="259">
        <v>0</v>
      </c>
      <c r="L148" s="258">
        <v>0</v>
      </c>
      <c r="M148" s="258">
        <v>0</v>
      </c>
      <c r="N148" s="258">
        <v>0</v>
      </c>
      <c r="O148" s="258">
        <v>0</v>
      </c>
      <c r="P148" s="258">
        <v>0</v>
      </c>
      <c r="Q148" s="258">
        <v>0</v>
      </c>
      <c r="R148" s="258">
        <v>0</v>
      </c>
      <c r="S148" s="258">
        <v>0</v>
      </c>
      <c r="T148" s="258">
        <v>0</v>
      </c>
      <c r="U148" s="258">
        <v>0</v>
      </c>
      <c r="V148" s="258">
        <v>0</v>
      </c>
      <c r="W148" s="258">
        <v>0</v>
      </c>
      <c r="X148" s="258">
        <v>0</v>
      </c>
      <c r="Y148" s="258">
        <v>0</v>
      </c>
      <c r="Z148" s="258">
        <v>0</v>
      </c>
      <c r="AA148" s="258">
        <v>0</v>
      </c>
      <c r="AB148" s="260">
        <v>2020</v>
      </c>
    </row>
    <row r="149" spans="1:28" s="6" customFormat="1" ht="35.25" customHeight="1" x14ac:dyDescent="0.5">
      <c r="A149" s="6">
        <v>1</v>
      </c>
      <c r="B149" s="225">
        <f>SUBTOTAL(103,$A$7:A149)</f>
        <v>141</v>
      </c>
      <c r="C149" s="254" t="s">
        <v>2030</v>
      </c>
      <c r="D149" s="255">
        <f t="shared" si="4"/>
        <v>129672.73</v>
      </c>
      <c r="E149" s="258">
        <v>0</v>
      </c>
      <c r="F149" s="258">
        <v>0</v>
      </c>
      <c r="G149" s="258">
        <v>0</v>
      </c>
      <c r="H149" s="258">
        <v>0</v>
      </c>
      <c r="I149" s="258">
        <v>0</v>
      </c>
      <c r="J149" s="258">
        <v>0</v>
      </c>
      <c r="K149" s="259">
        <v>0</v>
      </c>
      <c r="L149" s="258">
        <v>0</v>
      </c>
      <c r="M149" s="258">
        <v>0</v>
      </c>
      <c r="N149" s="258">
        <v>0</v>
      </c>
      <c r="O149" s="258">
        <v>129672.73</v>
      </c>
      <c r="P149" s="258">
        <v>0</v>
      </c>
      <c r="Q149" s="258">
        <v>0</v>
      </c>
      <c r="R149" s="258">
        <v>0</v>
      </c>
      <c r="S149" s="258">
        <v>0</v>
      </c>
      <c r="T149" s="258">
        <v>0</v>
      </c>
      <c r="U149" s="258">
        <v>0</v>
      </c>
      <c r="V149" s="258">
        <v>0</v>
      </c>
      <c r="W149" s="258">
        <v>0</v>
      </c>
      <c r="X149" s="258">
        <v>0</v>
      </c>
      <c r="Y149" s="258">
        <v>0</v>
      </c>
      <c r="Z149" s="258">
        <v>0</v>
      </c>
      <c r="AA149" s="258">
        <v>0</v>
      </c>
      <c r="AB149" s="260">
        <v>2020</v>
      </c>
    </row>
    <row r="150" spans="1:28" s="6" customFormat="1" ht="35.25" customHeight="1" x14ac:dyDescent="0.5">
      <c r="A150" s="6">
        <v>1</v>
      </c>
      <c r="B150" s="225">
        <f>SUBTOTAL(103,$A$7:A150)</f>
        <v>142</v>
      </c>
      <c r="C150" s="254" t="s">
        <v>2031</v>
      </c>
      <c r="D150" s="255">
        <f t="shared" si="4"/>
        <v>338000</v>
      </c>
      <c r="E150" s="258">
        <v>0</v>
      </c>
      <c r="F150" s="258">
        <v>0</v>
      </c>
      <c r="G150" s="258">
        <v>0</v>
      </c>
      <c r="H150" s="258">
        <v>0</v>
      </c>
      <c r="I150" s="258">
        <v>0</v>
      </c>
      <c r="J150" s="258">
        <v>0</v>
      </c>
      <c r="K150" s="259">
        <v>0</v>
      </c>
      <c r="L150" s="258">
        <v>0</v>
      </c>
      <c r="M150" s="258">
        <v>0</v>
      </c>
      <c r="N150" s="258">
        <v>0</v>
      </c>
      <c r="O150" s="258">
        <v>338000</v>
      </c>
      <c r="P150" s="258">
        <v>0</v>
      </c>
      <c r="Q150" s="258">
        <v>0</v>
      </c>
      <c r="R150" s="258">
        <v>0</v>
      </c>
      <c r="S150" s="258">
        <v>0</v>
      </c>
      <c r="T150" s="258">
        <v>0</v>
      </c>
      <c r="U150" s="258">
        <v>0</v>
      </c>
      <c r="V150" s="258">
        <v>0</v>
      </c>
      <c r="W150" s="258">
        <v>0</v>
      </c>
      <c r="X150" s="258">
        <v>0</v>
      </c>
      <c r="Y150" s="258">
        <v>0</v>
      </c>
      <c r="Z150" s="258">
        <v>0</v>
      </c>
      <c r="AA150" s="258">
        <v>0</v>
      </c>
      <c r="AB150" s="260">
        <v>2020</v>
      </c>
    </row>
    <row r="151" spans="1:28" s="6" customFormat="1" ht="35.25" customHeight="1" x14ac:dyDescent="0.5">
      <c r="A151" s="6">
        <v>1</v>
      </c>
      <c r="B151" s="225">
        <f>SUBTOTAL(103,$A$7:A151)</f>
        <v>143</v>
      </c>
      <c r="C151" s="254" t="s">
        <v>2032</v>
      </c>
      <c r="D151" s="255">
        <f t="shared" si="4"/>
        <v>56014</v>
      </c>
      <c r="E151" s="258">
        <v>0</v>
      </c>
      <c r="F151" s="258">
        <v>0</v>
      </c>
      <c r="G151" s="258">
        <v>0</v>
      </c>
      <c r="H151" s="258">
        <v>0</v>
      </c>
      <c r="I151" s="258">
        <v>0</v>
      </c>
      <c r="J151" s="258">
        <v>0</v>
      </c>
      <c r="K151" s="259">
        <v>0</v>
      </c>
      <c r="L151" s="258">
        <v>0</v>
      </c>
      <c r="M151" s="258">
        <v>0</v>
      </c>
      <c r="N151" s="258">
        <v>0</v>
      </c>
      <c r="O151" s="258">
        <v>56014</v>
      </c>
      <c r="P151" s="258">
        <v>0</v>
      </c>
      <c r="Q151" s="258">
        <v>0</v>
      </c>
      <c r="R151" s="258">
        <v>0</v>
      </c>
      <c r="S151" s="258">
        <v>0</v>
      </c>
      <c r="T151" s="258">
        <v>0</v>
      </c>
      <c r="U151" s="258">
        <v>0</v>
      </c>
      <c r="V151" s="258">
        <v>0</v>
      </c>
      <c r="W151" s="258">
        <v>0</v>
      </c>
      <c r="X151" s="258">
        <v>0</v>
      </c>
      <c r="Y151" s="258">
        <v>0</v>
      </c>
      <c r="Z151" s="258">
        <v>0</v>
      </c>
      <c r="AA151" s="258">
        <v>0</v>
      </c>
      <c r="AB151" s="260">
        <v>2020</v>
      </c>
    </row>
    <row r="152" spans="1:28" s="6" customFormat="1" ht="35.25" customHeight="1" x14ac:dyDescent="0.5">
      <c r="A152" s="6">
        <v>1</v>
      </c>
      <c r="B152" s="225">
        <f>SUBTOTAL(103,$A$7:A152)</f>
        <v>144</v>
      </c>
      <c r="C152" s="254" t="s">
        <v>2033</v>
      </c>
      <c r="D152" s="255">
        <f t="shared" si="4"/>
        <v>1050000</v>
      </c>
      <c r="E152" s="258">
        <v>0</v>
      </c>
      <c r="F152" s="258">
        <v>0</v>
      </c>
      <c r="G152" s="258">
        <v>0</v>
      </c>
      <c r="H152" s="258">
        <v>0</v>
      </c>
      <c r="I152" s="258">
        <v>0</v>
      </c>
      <c r="J152" s="258">
        <v>0</v>
      </c>
      <c r="K152" s="259">
        <v>0</v>
      </c>
      <c r="L152" s="258">
        <v>0</v>
      </c>
      <c r="M152" s="258">
        <v>1050000</v>
      </c>
      <c r="N152" s="258">
        <v>0</v>
      </c>
      <c r="O152" s="258">
        <v>0</v>
      </c>
      <c r="P152" s="258">
        <v>0</v>
      </c>
      <c r="Q152" s="258">
        <v>0</v>
      </c>
      <c r="R152" s="258">
        <v>0</v>
      </c>
      <c r="S152" s="258">
        <v>0</v>
      </c>
      <c r="T152" s="258">
        <v>0</v>
      </c>
      <c r="U152" s="258">
        <v>0</v>
      </c>
      <c r="V152" s="258">
        <v>0</v>
      </c>
      <c r="W152" s="258">
        <v>0</v>
      </c>
      <c r="X152" s="258">
        <v>0</v>
      </c>
      <c r="Y152" s="258">
        <v>0</v>
      </c>
      <c r="Z152" s="258">
        <v>0</v>
      </c>
      <c r="AA152" s="258">
        <v>0</v>
      </c>
      <c r="AB152" s="260">
        <v>2020</v>
      </c>
    </row>
    <row r="153" spans="1:28" s="6" customFormat="1" ht="35.25" customHeight="1" x14ac:dyDescent="0.5">
      <c r="A153" s="6">
        <v>1</v>
      </c>
      <c r="B153" s="225">
        <f>SUBTOTAL(103,$A$7:A153)</f>
        <v>145</v>
      </c>
      <c r="C153" s="254" t="s">
        <v>2034</v>
      </c>
      <c r="D153" s="255">
        <f t="shared" si="4"/>
        <v>533500</v>
      </c>
      <c r="E153" s="258">
        <v>0</v>
      </c>
      <c r="F153" s="258">
        <v>0</v>
      </c>
      <c r="G153" s="258">
        <v>0</v>
      </c>
      <c r="H153" s="258">
        <v>0</v>
      </c>
      <c r="I153" s="258">
        <v>0</v>
      </c>
      <c r="J153" s="258">
        <v>0</v>
      </c>
      <c r="K153" s="259">
        <v>0</v>
      </c>
      <c r="L153" s="258">
        <v>0</v>
      </c>
      <c r="M153" s="258">
        <v>533500</v>
      </c>
      <c r="N153" s="258">
        <v>0</v>
      </c>
      <c r="O153" s="258">
        <v>0</v>
      </c>
      <c r="P153" s="258">
        <v>0</v>
      </c>
      <c r="Q153" s="258">
        <v>0</v>
      </c>
      <c r="R153" s="258">
        <v>0</v>
      </c>
      <c r="S153" s="258">
        <v>0</v>
      </c>
      <c r="T153" s="258">
        <v>0</v>
      </c>
      <c r="U153" s="258">
        <v>0</v>
      </c>
      <c r="V153" s="258">
        <v>0</v>
      </c>
      <c r="W153" s="258">
        <v>0</v>
      </c>
      <c r="X153" s="258">
        <v>0</v>
      </c>
      <c r="Y153" s="258">
        <v>0</v>
      </c>
      <c r="Z153" s="258">
        <v>0</v>
      </c>
      <c r="AA153" s="258">
        <v>0</v>
      </c>
      <c r="AB153" s="260">
        <v>2020</v>
      </c>
    </row>
    <row r="154" spans="1:28" s="6" customFormat="1" ht="35.25" customHeight="1" x14ac:dyDescent="0.5">
      <c r="A154" s="6">
        <v>1</v>
      </c>
      <c r="B154" s="225">
        <f>SUBTOTAL(103,$A$7:A154)</f>
        <v>146</v>
      </c>
      <c r="C154" s="254" t="s">
        <v>2035</v>
      </c>
      <c r="D154" s="255">
        <f t="shared" si="4"/>
        <v>126461.17</v>
      </c>
      <c r="E154" s="258">
        <v>0</v>
      </c>
      <c r="F154" s="258">
        <v>0</v>
      </c>
      <c r="G154" s="258">
        <v>0</v>
      </c>
      <c r="H154" s="258">
        <v>0</v>
      </c>
      <c r="I154" s="258">
        <v>0</v>
      </c>
      <c r="J154" s="258">
        <v>0</v>
      </c>
      <c r="K154" s="259">
        <v>0</v>
      </c>
      <c r="L154" s="258">
        <v>0</v>
      </c>
      <c r="M154" s="258">
        <v>0</v>
      </c>
      <c r="N154" s="258">
        <v>0</v>
      </c>
      <c r="O154" s="258">
        <v>126461.17</v>
      </c>
      <c r="P154" s="258">
        <v>0</v>
      </c>
      <c r="Q154" s="258">
        <v>0</v>
      </c>
      <c r="R154" s="258">
        <v>0</v>
      </c>
      <c r="S154" s="258">
        <v>0</v>
      </c>
      <c r="T154" s="258">
        <v>0</v>
      </c>
      <c r="U154" s="258">
        <v>0</v>
      </c>
      <c r="V154" s="258">
        <v>0</v>
      </c>
      <c r="W154" s="258">
        <v>0</v>
      </c>
      <c r="X154" s="258">
        <v>0</v>
      </c>
      <c r="Y154" s="258">
        <v>0</v>
      </c>
      <c r="Z154" s="258">
        <v>0</v>
      </c>
      <c r="AA154" s="258">
        <v>0</v>
      </c>
      <c r="AB154" s="260">
        <v>2020</v>
      </c>
    </row>
    <row r="155" spans="1:28" s="6" customFormat="1" ht="35.25" customHeight="1" x14ac:dyDescent="0.5">
      <c r="A155" s="6">
        <v>1</v>
      </c>
      <c r="B155" s="225">
        <f>SUBTOTAL(103,$A$7:A155)</f>
        <v>147</v>
      </c>
      <c r="C155" s="254" t="s">
        <v>2036</v>
      </c>
      <c r="D155" s="255">
        <f t="shared" si="4"/>
        <v>1330416</v>
      </c>
      <c r="E155" s="258">
        <v>0</v>
      </c>
      <c r="F155" s="258">
        <v>0</v>
      </c>
      <c r="G155" s="258">
        <v>0</v>
      </c>
      <c r="H155" s="258">
        <v>0</v>
      </c>
      <c r="I155" s="258">
        <v>0</v>
      </c>
      <c r="J155" s="258">
        <v>0</v>
      </c>
      <c r="K155" s="259">
        <v>0</v>
      </c>
      <c r="L155" s="258">
        <v>0</v>
      </c>
      <c r="M155" s="258">
        <v>238341</v>
      </c>
      <c r="N155" s="258">
        <v>0</v>
      </c>
      <c r="O155" s="258">
        <v>0</v>
      </c>
      <c r="P155" s="258">
        <v>1092075</v>
      </c>
      <c r="Q155" s="258">
        <v>0</v>
      </c>
      <c r="R155" s="258">
        <v>0</v>
      </c>
      <c r="S155" s="258">
        <v>0</v>
      </c>
      <c r="T155" s="258">
        <v>0</v>
      </c>
      <c r="U155" s="258">
        <v>0</v>
      </c>
      <c r="V155" s="258">
        <v>0</v>
      </c>
      <c r="W155" s="258">
        <v>0</v>
      </c>
      <c r="X155" s="258">
        <v>0</v>
      </c>
      <c r="Y155" s="258">
        <v>0</v>
      </c>
      <c r="Z155" s="258">
        <v>0</v>
      </c>
      <c r="AA155" s="258">
        <v>0</v>
      </c>
      <c r="AB155" s="260">
        <v>2020</v>
      </c>
    </row>
    <row r="156" spans="1:28" s="6" customFormat="1" ht="35.25" customHeight="1" x14ac:dyDescent="0.5">
      <c r="A156" s="6">
        <v>1</v>
      </c>
      <c r="B156" s="225">
        <f>SUBTOTAL(103,$A$7:A156)</f>
        <v>148</v>
      </c>
      <c r="C156" s="254" t="s">
        <v>1754</v>
      </c>
      <c r="D156" s="255">
        <f t="shared" si="4"/>
        <v>1800000</v>
      </c>
      <c r="E156" s="258">
        <v>0</v>
      </c>
      <c r="F156" s="258">
        <v>0</v>
      </c>
      <c r="G156" s="258">
        <v>0</v>
      </c>
      <c r="H156" s="258">
        <v>0</v>
      </c>
      <c r="I156" s="258">
        <v>0</v>
      </c>
      <c r="J156" s="258">
        <v>0</v>
      </c>
      <c r="K156" s="259">
        <v>1</v>
      </c>
      <c r="L156" s="258">
        <v>1800000</v>
      </c>
      <c r="M156" s="258">
        <v>0</v>
      </c>
      <c r="N156" s="258">
        <v>0</v>
      </c>
      <c r="O156" s="258">
        <v>0</v>
      </c>
      <c r="P156" s="258">
        <v>0</v>
      </c>
      <c r="Q156" s="258">
        <v>0</v>
      </c>
      <c r="R156" s="258">
        <v>0</v>
      </c>
      <c r="S156" s="258">
        <v>0</v>
      </c>
      <c r="T156" s="258">
        <v>0</v>
      </c>
      <c r="U156" s="258">
        <v>0</v>
      </c>
      <c r="V156" s="258">
        <v>0</v>
      </c>
      <c r="W156" s="258">
        <v>0</v>
      </c>
      <c r="X156" s="258">
        <v>0</v>
      </c>
      <c r="Y156" s="258">
        <v>0</v>
      </c>
      <c r="Z156" s="258">
        <v>0</v>
      </c>
      <c r="AA156" s="258">
        <v>0</v>
      </c>
      <c r="AB156" s="260">
        <v>2020</v>
      </c>
    </row>
    <row r="157" spans="1:28" s="6" customFormat="1" ht="35.25" customHeight="1" x14ac:dyDescent="0.5">
      <c r="A157" s="6">
        <v>1</v>
      </c>
      <c r="B157" s="225">
        <f>SUBTOTAL(103,$A$7:A157)</f>
        <v>149</v>
      </c>
      <c r="C157" s="254" t="s">
        <v>2037</v>
      </c>
      <c r="D157" s="255">
        <f t="shared" si="4"/>
        <v>1842506</v>
      </c>
      <c r="E157" s="258">
        <v>0</v>
      </c>
      <c r="F157" s="258">
        <v>0</v>
      </c>
      <c r="G157" s="258">
        <v>0</v>
      </c>
      <c r="H157" s="258">
        <v>0</v>
      </c>
      <c r="I157" s="258">
        <v>0</v>
      </c>
      <c r="J157" s="258">
        <v>0</v>
      </c>
      <c r="K157" s="259">
        <v>0</v>
      </c>
      <c r="L157" s="258">
        <v>0</v>
      </c>
      <c r="M157" s="258">
        <v>0</v>
      </c>
      <c r="N157" s="258">
        <v>0</v>
      </c>
      <c r="O157" s="258">
        <v>1842506</v>
      </c>
      <c r="P157" s="258">
        <v>0</v>
      </c>
      <c r="Q157" s="258">
        <v>0</v>
      </c>
      <c r="R157" s="258">
        <v>0</v>
      </c>
      <c r="S157" s="258">
        <v>0</v>
      </c>
      <c r="T157" s="258">
        <v>0</v>
      </c>
      <c r="U157" s="258">
        <v>0</v>
      </c>
      <c r="V157" s="258">
        <v>0</v>
      </c>
      <c r="W157" s="258">
        <v>0</v>
      </c>
      <c r="X157" s="258">
        <v>0</v>
      </c>
      <c r="Y157" s="258">
        <v>0</v>
      </c>
      <c r="Z157" s="258">
        <v>0</v>
      </c>
      <c r="AA157" s="258">
        <v>0</v>
      </c>
      <c r="AB157" s="260">
        <v>2020</v>
      </c>
    </row>
    <row r="158" spans="1:28" s="6" customFormat="1" ht="35.25" customHeight="1" x14ac:dyDescent="0.5">
      <c r="A158" s="6">
        <v>1</v>
      </c>
      <c r="B158" s="225">
        <f>SUBTOTAL(103,$A$7:A158)</f>
        <v>150</v>
      </c>
      <c r="C158" s="254" t="s">
        <v>2038</v>
      </c>
      <c r="D158" s="255">
        <f t="shared" si="4"/>
        <v>327139.40000000002</v>
      </c>
      <c r="E158" s="258">
        <v>0</v>
      </c>
      <c r="F158" s="258">
        <v>0</v>
      </c>
      <c r="G158" s="258">
        <v>0</v>
      </c>
      <c r="H158" s="258">
        <v>0</v>
      </c>
      <c r="I158" s="258">
        <v>0</v>
      </c>
      <c r="J158" s="258">
        <v>0</v>
      </c>
      <c r="K158" s="259">
        <v>0</v>
      </c>
      <c r="L158" s="258">
        <v>0</v>
      </c>
      <c r="M158" s="258">
        <v>327139.40000000002</v>
      </c>
      <c r="N158" s="258">
        <v>0</v>
      </c>
      <c r="O158" s="258">
        <v>0</v>
      </c>
      <c r="P158" s="258">
        <v>0</v>
      </c>
      <c r="Q158" s="258">
        <v>0</v>
      </c>
      <c r="R158" s="258">
        <v>0</v>
      </c>
      <c r="S158" s="258">
        <v>0</v>
      </c>
      <c r="T158" s="258">
        <v>0</v>
      </c>
      <c r="U158" s="258">
        <v>0</v>
      </c>
      <c r="V158" s="258">
        <v>0</v>
      </c>
      <c r="W158" s="258">
        <v>0</v>
      </c>
      <c r="X158" s="258">
        <v>0</v>
      </c>
      <c r="Y158" s="258">
        <v>0</v>
      </c>
      <c r="Z158" s="258">
        <v>0</v>
      </c>
      <c r="AA158" s="258">
        <v>0</v>
      </c>
      <c r="AB158" s="260">
        <v>2020</v>
      </c>
    </row>
    <row r="159" spans="1:28" s="6" customFormat="1" ht="35.25" customHeight="1" x14ac:dyDescent="0.5">
      <c r="A159" s="6">
        <v>1</v>
      </c>
      <c r="B159" s="225">
        <f>SUBTOTAL(103,$A$7:A159)</f>
        <v>151</v>
      </c>
      <c r="C159" s="254" t="s">
        <v>2039</v>
      </c>
      <c r="D159" s="255">
        <f t="shared" si="4"/>
        <v>284860</v>
      </c>
      <c r="E159" s="258">
        <v>41758</v>
      </c>
      <c r="F159" s="258">
        <v>0</v>
      </c>
      <c r="G159" s="258">
        <v>0</v>
      </c>
      <c r="H159" s="258">
        <v>0</v>
      </c>
      <c r="I159" s="258">
        <v>0</v>
      </c>
      <c r="J159" s="258">
        <v>0</v>
      </c>
      <c r="K159" s="259">
        <v>0</v>
      </c>
      <c r="L159" s="258">
        <v>0</v>
      </c>
      <c r="M159" s="258">
        <v>0</v>
      </c>
      <c r="N159" s="258">
        <v>0</v>
      </c>
      <c r="O159" s="258">
        <v>243102</v>
      </c>
      <c r="P159" s="258">
        <v>0</v>
      </c>
      <c r="Q159" s="258">
        <v>0</v>
      </c>
      <c r="R159" s="258">
        <v>0</v>
      </c>
      <c r="S159" s="258">
        <v>0</v>
      </c>
      <c r="T159" s="258">
        <v>0</v>
      </c>
      <c r="U159" s="258">
        <v>0</v>
      </c>
      <c r="V159" s="258">
        <v>0</v>
      </c>
      <c r="W159" s="258">
        <v>0</v>
      </c>
      <c r="X159" s="258">
        <v>0</v>
      </c>
      <c r="Y159" s="258">
        <v>0</v>
      </c>
      <c r="Z159" s="258">
        <v>0</v>
      </c>
      <c r="AA159" s="258">
        <v>0</v>
      </c>
      <c r="AB159" s="260">
        <v>2020</v>
      </c>
    </row>
    <row r="160" spans="1:28" s="6" customFormat="1" ht="35.25" customHeight="1" x14ac:dyDescent="0.5">
      <c r="A160" s="6">
        <v>1</v>
      </c>
      <c r="B160" s="225">
        <f>SUBTOTAL(103,$A$7:A160)</f>
        <v>152</v>
      </c>
      <c r="C160" s="254" t="s">
        <v>2040</v>
      </c>
      <c r="D160" s="255">
        <f t="shared" si="4"/>
        <v>562718</v>
      </c>
      <c r="E160" s="258">
        <v>0</v>
      </c>
      <c r="F160" s="258">
        <v>0</v>
      </c>
      <c r="G160" s="258">
        <v>0</v>
      </c>
      <c r="H160" s="258">
        <v>0</v>
      </c>
      <c r="I160" s="258">
        <v>0</v>
      </c>
      <c r="J160" s="258">
        <v>0</v>
      </c>
      <c r="K160" s="259">
        <v>0</v>
      </c>
      <c r="L160" s="258">
        <v>0</v>
      </c>
      <c r="M160" s="258">
        <v>0</v>
      </c>
      <c r="N160" s="258">
        <v>562718</v>
      </c>
      <c r="O160" s="258">
        <v>0</v>
      </c>
      <c r="P160" s="258">
        <v>0</v>
      </c>
      <c r="Q160" s="258">
        <v>0</v>
      </c>
      <c r="R160" s="258">
        <v>0</v>
      </c>
      <c r="S160" s="258">
        <v>0</v>
      </c>
      <c r="T160" s="258">
        <v>0</v>
      </c>
      <c r="U160" s="258">
        <v>0</v>
      </c>
      <c r="V160" s="258">
        <v>0</v>
      </c>
      <c r="W160" s="258">
        <v>0</v>
      </c>
      <c r="X160" s="258">
        <v>0</v>
      </c>
      <c r="Y160" s="258">
        <v>0</v>
      </c>
      <c r="Z160" s="258">
        <v>0</v>
      </c>
      <c r="AA160" s="258">
        <v>0</v>
      </c>
      <c r="AB160" s="260">
        <v>2020</v>
      </c>
    </row>
    <row r="161" spans="1:28" s="6" customFormat="1" ht="35.25" customHeight="1" x14ac:dyDescent="0.5">
      <c r="A161" s="6">
        <v>1</v>
      </c>
      <c r="B161" s="225">
        <f>SUBTOTAL(103,$A$7:A161)</f>
        <v>153</v>
      </c>
      <c r="C161" s="254" t="s">
        <v>2041</v>
      </c>
      <c r="D161" s="255">
        <f t="shared" si="4"/>
        <v>523273.69</v>
      </c>
      <c r="E161" s="258">
        <v>0</v>
      </c>
      <c r="F161" s="258">
        <v>0</v>
      </c>
      <c r="G161" s="258">
        <v>0</v>
      </c>
      <c r="H161" s="258">
        <v>0</v>
      </c>
      <c r="I161" s="258">
        <v>0</v>
      </c>
      <c r="J161" s="258">
        <v>0</v>
      </c>
      <c r="K161" s="259">
        <v>0</v>
      </c>
      <c r="L161" s="258">
        <v>0</v>
      </c>
      <c r="M161" s="258">
        <v>523273.69</v>
      </c>
      <c r="N161" s="258">
        <v>0</v>
      </c>
      <c r="O161" s="258">
        <v>0</v>
      </c>
      <c r="P161" s="258">
        <v>0</v>
      </c>
      <c r="Q161" s="258">
        <v>0</v>
      </c>
      <c r="R161" s="258">
        <v>0</v>
      </c>
      <c r="S161" s="258">
        <v>0</v>
      </c>
      <c r="T161" s="258">
        <v>0</v>
      </c>
      <c r="U161" s="258">
        <v>0</v>
      </c>
      <c r="V161" s="258">
        <v>0</v>
      </c>
      <c r="W161" s="258">
        <v>0</v>
      </c>
      <c r="X161" s="258">
        <v>0</v>
      </c>
      <c r="Y161" s="258">
        <v>0</v>
      </c>
      <c r="Z161" s="258">
        <v>0</v>
      </c>
      <c r="AA161" s="258">
        <v>0</v>
      </c>
      <c r="AB161" s="260">
        <v>2020</v>
      </c>
    </row>
    <row r="162" spans="1:28" s="6" customFormat="1" ht="35.25" customHeight="1" x14ac:dyDescent="0.5">
      <c r="A162" s="6">
        <v>1</v>
      </c>
      <c r="B162" s="225">
        <f>SUBTOTAL(103,$A$7:A162)</f>
        <v>154</v>
      </c>
      <c r="C162" s="254" t="s">
        <v>2042</v>
      </c>
      <c r="D162" s="255">
        <f t="shared" si="4"/>
        <v>405244</v>
      </c>
      <c r="E162" s="258">
        <v>0</v>
      </c>
      <c r="F162" s="258">
        <v>405244</v>
      </c>
      <c r="G162" s="258">
        <v>0</v>
      </c>
      <c r="H162" s="258">
        <v>0</v>
      </c>
      <c r="I162" s="258">
        <v>0</v>
      </c>
      <c r="J162" s="258">
        <v>0</v>
      </c>
      <c r="K162" s="259">
        <v>0</v>
      </c>
      <c r="L162" s="258">
        <v>0</v>
      </c>
      <c r="M162" s="258">
        <v>0</v>
      </c>
      <c r="N162" s="258">
        <v>0</v>
      </c>
      <c r="O162" s="258">
        <v>0</v>
      </c>
      <c r="P162" s="258">
        <v>0</v>
      </c>
      <c r="Q162" s="258">
        <v>0</v>
      </c>
      <c r="R162" s="258">
        <v>0</v>
      </c>
      <c r="S162" s="258">
        <v>0</v>
      </c>
      <c r="T162" s="258">
        <v>0</v>
      </c>
      <c r="U162" s="258">
        <v>0</v>
      </c>
      <c r="V162" s="258">
        <v>0</v>
      </c>
      <c r="W162" s="258">
        <v>0</v>
      </c>
      <c r="X162" s="258">
        <v>0</v>
      </c>
      <c r="Y162" s="258">
        <v>0</v>
      </c>
      <c r="Z162" s="258">
        <v>0</v>
      </c>
      <c r="AA162" s="258">
        <v>0</v>
      </c>
      <c r="AB162" s="260">
        <v>2020</v>
      </c>
    </row>
    <row r="163" spans="1:28" s="6" customFormat="1" ht="35.25" customHeight="1" x14ac:dyDescent="0.5">
      <c r="A163" s="6">
        <v>1</v>
      </c>
      <c r="B163" s="225">
        <f>SUBTOTAL(103,$A$7:A163)</f>
        <v>155</v>
      </c>
      <c r="C163" s="254" t="s">
        <v>2043</v>
      </c>
      <c r="D163" s="255">
        <f t="shared" si="4"/>
        <v>31500</v>
      </c>
      <c r="E163" s="258">
        <v>0</v>
      </c>
      <c r="F163" s="258">
        <v>0</v>
      </c>
      <c r="G163" s="258">
        <v>0</v>
      </c>
      <c r="H163" s="258">
        <v>0</v>
      </c>
      <c r="I163" s="258">
        <v>0</v>
      </c>
      <c r="J163" s="258">
        <v>0</v>
      </c>
      <c r="K163" s="259">
        <v>0</v>
      </c>
      <c r="L163" s="258">
        <v>0</v>
      </c>
      <c r="M163" s="258">
        <v>31500</v>
      </c>
      <c r="N163" s="258">
        <v>0</v>
      </c>
      <c r="O163" s="258">
        <v>0</v>
      </c>
      <c r="P163" s="258">
        <v>0</v>
      </c>
      <c r="Q163" s="258">
        <v>0</v>
      </c>
      <c r="R163" s="258">
        <v>0</v>
      </c>
      <c r="S163" s="258">
        <v>0</v>
      </c>
      <c r="T163" s="258">
        <v>0</v>
      </c>
      <c r="U163" s="258">
        <v>0</v>
      </c>
      <c r="V163" s="258">
        <v>0</v>
      </c>
      <c r="W163" s="258">
        <v>0</v>
      </c>
      <c r="X163" s="258">
        <v>0</v>
      </c>
      <c r="Y163" s="258">
        <v>0</v>
      </c>
      <c r="Z163" s="258">
        <v>0</v>
      </c>
      <c r="AA163" s="258">
        <v>0</v>
      </c>
      <c r="AB163" s="260">
        <v>2020</v>
      </c>
    </row>
    <row r="164" spans="1:28" s="6" customFormat="1" ht="35.25" customHeight="1" x14ac:dyDescent="0.5">
      <c r="A164" s="6">
        <v>1</v>
      </c>
      <c r="B164" s="225">
        <f>SUBTOTAL(103,$A$7:A164)</f>
        <v>156</v>
      </c>
      <c r="C164" s="254" t="s">
        <v>1759</v>
      </c>
      <c r="D164" s="255">
        <f t="shared" si="4"/>
        <v>597216.73</v>
      </c>
      <c r="E164" s="258">
        <v>0</v>
      </c>
      <c r="F164" s="258">
        <v>0</v>
      </c>
      <c r="G164" s="258">
        <v>0</v>
      </c>
      <c r="H164" s="258">
        <v>0</v>
      </c>
      <c r="I164" s="258">
        <v>0</v>
      </c>
      <c r="J164" s="258">
        <v>0</v>
      </c>
      <c r="K164" s="259">
        <v>1</v>
      </c>
      <c r="L164" s="258">
        <v>85000</v>
      </c>
      <c r="M164" s="258">
        <v>247409</v>
      </c>
      <c r="N164" s="258">
        <v>0</v>
      </c>
      <c r="O164" s="258">
        <v>264807.73</v>
      </c>
      <c r="P164" s="258">
        <v>0</v>
      </c>
      <c r="Q164" s="258">
        <v>0</v>
      </c>
      <c r="R164" s="258">
        <v>0</v>
      </c>
      <c r="S164" s="258">
        <v>0</v>
      </c>
      <c r="T164" s="258">
        <v>0</v>
      </c>
      <c r="U164" s="258">
        <v>0</v>
      </c>
      <c r="V164" s="258">
        <v>0</v>
      </c>
      <c r="W164" s="258">
        <v>0</v>
      </c>
      <c r="X164" s="258">
        <v>0</v>
      </c>
      <c r="Y164" s="258">
        <v>0</v>
      </c>
      <c r="Z164" s="258">
        <v>0</v>
      </c>
      <c r="AA164" s="258">
        <v>0</v>
      </c>
      <c r="AB164" s="260">
        <v>2020</v>
      </c>
    </row>
    <row r="165" spans="1:28" s="6" customFormat="1" ht="35.25" customHeight="1" x14ac:dyDescent="0.5">
      <c r="A165" s="6">
        <v>1</v>
      </c>
      <c r="B165" s="225">
        <f>SUBTOTAL(103,$A$7:A165)</f>
        <v>157</v>
      </c>
      <c r="C165" s="254" t="s">
        <v>2044</v>
      </c>
      <c r="D165" s="255">
        <f t="shared" si="4"/>
        <v>389342</v>
      </c>
      <c r="E165" s="258">
        <v>0</v>
      </c>
      <c r="F165" s="258">
        <v>0</v>
      </c>
      <c r="G165" s="258">
        <v>0</v>
      </c>
      <c r="H165" s="258">
        <v>0</v>
      </c>
      <c r="I165" s="258">
        <v>0</v>
      </c>
      <c r="J165" s="258">
        <v>0</v>
      </c>
      <c r="K165" s="259">
        <v>0</v>
      </c>
      <c r="L165" s="258">
        <v>0</v>
      </c>
      <c r="M165" s="258">
        <v>0</v>
      </c>
      <c r="N165" s="258">
        <v>0</v>
      </c>
      <c r="O165" s="258">
        <v>389342</v>
      </c>
      <c r="P165" s="258">
        <v>0</v>
      </c>
      <c r="Q165" s="258">
        <v>0</v>
      </c>
      <c r="R165" s="258">
        <v>0</v>
      </c>
      <c r="S165" s="258">
        <v>0</v>
      </c>
      <c r="T165" s="258">
        <v>0</v>
      </c>
      <c r="U165" s="258">
        <v>0</v>
      </c>
      <c r="V165" s="258">
        <v>0</v>
      </c>
      <c r="W165" s="258">
        <v>0</v>
      </c>
      <c r="X165" s="258">
        <v>0</v>
      </c>
      <c r="Y165" s="258">
        <v>0</v>
      </c>
      <c r="Z165" s="258">
        <v>0</v>
      </c>
      <c r="AA165" s="258">
        <v>0</v>
      </c>
      <c r="AB165" s="260">
        <v>2020</v>
      </c>
    </row>
    <row r="166" spans="1:28" s="6" customFormat="1" ht="35.25" customHeight="1" x14ac:dyDescent="0.5">
      <c r="A166" s="6">
        <v>1</v>
      </c>
      <c r="B166" s="225">
        <f>SUBTOTAL(103,$A$7:A166)</f>
        <v>158</v>
      </c>
      <c r="C166" s="254" t="s">
        <v>2045</v>
      </c>
      <c r="D166" s="255">
        <f t="shared" si="4"/>
        <v>425173.92000000004</v>
      </c>
      <c r="E166" s="258">
        <v>0</v>
      </c>
      <c r="F166" s="258">
        <v>0</v>
      </c>
      <c r="G166" s="258">
        <v>192500</v>
      </c>
      <c r="H166" s="258">
        <v>0</v>
      </c>
      <c r="I166" s="258">
        <v>0</v>
      </c>
      <c r="J166" s="258">
        <v>0</v>
      </c>
      <c r="K166" s="259">
        <v>0</v>
      </c>
      <c r="L166" s="258">
        <v>0</v>
      </c>
      <c r="M166" s="258">
        <v>0</v>
      </c>
      <c r="N166" s="258">
        <v>0</v>
      </c>
      <c r="O166" s="258">
        <v>232673.92000000001</v>
      </c>
      <c r="P166" s="258">
        <v>0</v>
      </c>
      <c r="Q166" s="258">
        <v>0</v>
      </c>
      <c r="R166" s="258">
        <v>0</v>
      </c>
      <c r="S166" s="258">
        <v>0</v>
      </c>
      <c r="T166" s="258">
        <v>0</v>
      </c>
      <c r="U166" s="258">
        <v>0</v>
      </c>
      <c r="V166" s="258">
        <v>0</v>
      </c>
      <c r="W166" s="258">
        <v>0</v>
      </c>
      <c r="X166" s="258">
        <v>0</v>
      </c>
      <c r="Y166" s="258">
        <v>0</v>
      </c>
      <c r="Z166" s="258">
        <v>0</v>
      </c>
      <c r="AA166" s="258">
        <v>0</v>
      </c>
      <c r="AB166" s="260">
        <v>2020</v>
      </c>
    </row>
    <row r="167" spans="1:28" s="6" customFormat="1" ht="35.25" customHeight="1" x14ac:dyDescent="0.5">
      <c r="A167" s="6">
        <v>1</v>
      </c>
      <c r="B167" s="225">
        <f>SUBTOTAL(103,$A$7:A167)</f>
        <v>159</v>
      </c>
      <c r="C167" s="254" t="s">
        <v>2046</v>
      </c>
      <c r="D167" s="255">
        <f t="shared" si="4"/>
        <v>1855885.31</v>
      </c>
      <c r="E167" s="258">
        <v>0</v>
      </c>
      <c r="F167" s="258">
        <v>0</v>
      </c>
      <c r="G167" s="258">
        <v>0</v>
      </c>
      <c r="H167" s="258">
        <v>0</v>
      </c>
      <c r="I167" s="258">
        <v>0</v>
      </c>
      <c r="J167" s="258">
        <v>0</v>
      </c>
      <c r="K167" s="259">
        <v>0</v>
      </c>
      <c r="L167" s="258">
        <v>0</v>
      </c>
      <c r="M167" s="258">
        <v>1768030</v>
      </c>
      <c r="N167" s="258">
        <v>0</v>
      </c>
      <c r="O167" s="258">
        <v>87855.31</v>
      </c>
      <c r="P167" s="258">
        <v>0</v>
      </c>
      <c r="Q167" s="258">
        <v>0</v>
      </c>
      <c r="R167" s="258">
        <v>0</v>
      </c>
      <c r="S167" s="258">
        <v>0</v>
      </c>
      <c r="T167" s="258">
        <v>0</v>
      </c>
      <c r="U167" s="258">
        <v>0</v>
      </c>
      <c r="V167" s="258">
        <v>0</v>
      </c>
      <c r="W167" s="258">
        <v>0</v>
      </c>
      <c r="X167" s="258">
        <v>0</v>
      </c>
      <c r="Y167" s="258">
        <v>0</v>
      </c>
      <c r="Z167" s="258">
        <v>0</v>
      </c>
      <c r="AA167" s="258">
        <v>0</v>
      </c>
      <c r="AB167" s="260">
        <v>2020</v>
      </c>
    </row>
    <row r="168" spans="1:28" s="6" customFormat="1" ht="35.25" customHeight="1" x14ac:dyDescent="0.5">
      <c r="A168" s="6">
        <v>1</v>
      </c>
      <c r="B168" s="225">
        <f>SUBTOTAL(103,$A$7:A168)</f>
        <v>160</v>
      </c>
      <c r="C168" s="254" t="s">
        <v>2047</v>
      </c>
      <c r="D168" s="255">
        <f t="shared" si="4"/>
        <v>498750</v>
      </c>
      <c r="E168" s="258">
        <v>0</v>
      </c>
      <c r="F168" s="258">
        <v>0</v>
      </c>
      <c r="G168" s="258">
        <v>0</v>
      </c>
      <c r="H168" s="258">
        <v>0</v>
      </c>
      <c r="I168" s="258">
        <v>0</v>
      </c>
      <c r="J168" s="258">
        <v>0</v>
      </c>
      <c r="K168" s="259">
        <v>0</v>
      </c>
      <c r="L168" s="258">
        <v>0</v>
      </c>
      <c r="M168" s="258">
        <v>0</v>
      </c>
      <c r="N168" s="258">
        <v>0</v>
      </c>
      <c r="O168" s="258">
        <v>498750</v>
      </c>
      <c r="P168" s="258">
        <v>0</v>
      </c>
      <c r="Q168" s="258">
        <v>0</v>
      </c>
      <c r="R168" s="258">
        <v>0</v>
      </c>
      <c r="S168" s="258">
        <v>0</v>
      </c>
      <c r="T168" s="258">
        <v>0</v>
      </c>
      <c r="U168" s="258">
        <v>0</v>
      </c>
      <c r="V168" s="258">
        <v>0</v>
      </c>
      <c r="W168" s="258">
        <v>0</v>
      </c>
      <c r="X168" s="258">
        <v>0</v>
      </c>
      <c r="Y168" s="258">
        <v>0</v>
      </c>
      <c r="Z168" s="258">
        <v>0</v>
      </c>
      <c r="AA168" s="258">
        <v>0</v>
      </c>
      <c r="AB168" s="260">
        <v>2020</v>
      </c>
    </row>
    <row r="169" spans="1:28" s="6" customFormat="1" ht="35.25" customHeight="1" x14ac:dyDescent="0.5">
      <c r="A169" s="6">
        <v>1</v>
      </c>
      <c r="B169" s="225">
        <f>SUBTOTAL(103,$A$7:A169)</f>
        <v>161</v>
      </c>
      <c r="C169" s="254" t="s">
        <v>2048</v>
      </c>
      <c r="D169" s="255">
        <f t="shared" ref="D169:D173" si="5">E169+F169+G169+H169+I169+J169+L169+M169+N169+O169+P169+Q169+R169+S169+T169+U169+V169+W169+X169+Y169+Z169+AA169</f>
        <v>781837.52</v>
      </c>
      <c r="E169" s="258">
        <v>0</v>
      </c>
      <c r="F169" s="258">
        <v>0</v>
      </c>
      <c r="G169" s="258">
        <v>0</v>
      </c>
      <c r="H169" s="258">
        <v>0</v>
      </c>
      <c r="I169" s="258">
        <v>0</v>
      </c>
      <c r="J169" s="258">
        <v>0</v>
      </c>
      <c r="K169" s="259">
        <v>0</v>
      </c>
      <c r="L169" s="258">
        <v>0</v>
      </c>
      <c r="M169" s="258">
        <v>72227.39</v>
      </c>
      <c r="N169" s="258">
        <v>380731.18</v>
      </c>
      <c r="O169" s="258">
        <v>328878.95</v>
      </c>
      <c r="P169" s="258">
        <v>0</v>
      </c>
      <c r="Q169" s="258">
        <v>0</v>
      </c>
      <c r="R169" s="258">
        <v>0</v>
      </c>
      <c r="S169" s="258">
        <v>0</v>
      </c>
      <c r="T169" s="258">
        <v>0</v>
      </c>
      <c r="U169" s="258">
        <v>0</v>
      </c>
      <c r="V169" s="258">
        <v>0</v>
      </c>
      <c r="W169" s="258">
        <v>0</v>
      </c>
      <c r="X169" s="258">
        <v>0</v>
      </c>
      <c r="Y169" s="258">
        <v>0</v>
      </c>
      <c r="Z169" s="258">
        <v>0</v>
      </c>
      <c r="AA169" s="258">
        <v>0</v>
      </c>
      <c r="AB169" s="260">
        <v>2020</v>
      </c>
    </row>
    <row r="170" spans="1:28" s="6" customFormat="1" ht="35.25" customHeight="1" x14ac:dyDescent="0.5">
      <c r="A170" s="6">
        <v>1</v>
      </c>
      <c r="B170" s="225">
        <f>SUBTOTAL(103,$A$7:A170)</f>
        <v>162</v>
      </c>
      <c r="C170" s="254" t="s">
        <v>2049</v>
      </c>
      <c r="D170" s="255">
        <f t="shared" si="5"/>
        <v>105000</v>
      </c>
      <c r="E170" s="258">
        <v>105000</v>
      </c>
      <c r="F170" s="258">
        <v>0</v>
      </c>
      <c r="G170" s="258">
        <v>0</v>
      </c>
      <c r="H170" s="258">
        <v>0</v>
      </c>
      <c r="I170" s="258">
        <v>0</v>
      </c>
      <c r="J170" s="258">
        <v>0</v>
      </c>
      <c r="K170" s="259">
        <v>0</v>
      </c>
      <c r="L170" s="258">
        <v>0</v>
      </c>
      <c r="M170" s="258">
        <v>0</v>
      </c>
      <c r="N170" s="258">
        <v>0</v>
      </c>
      <c r="O170" s="258">
        <v>0</v>
      </c>
      <c r="P170" s="258">
        <v>0</v>
      </c>
      <c r="Q170" s="258">
        <v>0</v>
      </c>
      <c r="R170" s="258">
        <v>0</v>
      </c>
      <c r="S170" s="258">
        <v>0</v>
      </c>
      <c r="T170" s="258">
        <v>0</v>
      </c>
      <c r="U170" s="258">
        <v>0</v>
      </c>
      <c r="V170" s="258">
        <v>0</v>
      </c>
      <c r="W170" s="258">
        <v>0</v>
      </c>
      <c r="X170" s="258">
        <v>0</v>
      </c>
      <c r="Y170" s="258">
        <v>0</v>
      </c>
      <c r="Z170" s="258">
        <v>0</v>
      </c>
      <c r="AA170" s="258">
        <v>0</v>
      </c>
      <c r="AB170" s="260">
        <v>2020</v>
      </c>
    </row>
    <row r="171" spans="1:28" s="6" customFormat="1" ht="35.25" customHeight="1" x14ac:dyDescent="0.5">
      <c r="A171" s="6">
        <v>1</v>
      </c>
      <c r="B171" s="225">
        <f>SUBTOTAL(103,$A$7:A171)</f>
        <v>163</v>
      </c>
      <c r="C171" s="254" t="s">
        <v>2050</v>
      </c>
      <c r="D171" s="255">
        <f t="shared" si="5"/>
        <v>525162</v>
      </c>
      <c r="E171" s="258">
        <v>0</v>
      </c>
      <c r="F171" s="258">
        <v>0</v>
      </c>
      <c r="G171" s="258">
        <v>0</v>
      </c>
      <c r="H171" s="258">
        <v>0</v>
      </c>
      <c r="I171" s="258">
        <v>0</v>
      </c>
      <c r="J171" s="258">
        <v>0</v>
      </c>
      <c r="K171" s="259">
        <v>0</v>
      </c>
      <c r="L171" s="258">
        <v>0</v>
      </c>
      <c r="M171" s="258">
        <v>525162</v>
      </c>
      <c r="N171" s="258">
        <v>0</v>
      </c>
      <c r="O171" s="258">
        <v>0</v>
      </c>
      <c r="P171" s="258">
        <v>0</v>
      </c>
      <c r="Q171" s="258">
        <v>0</v>
      </c>
      <c r="R171" s="258">
        <v>0</v>
      </c>
      <c r="S171" s="258">
        <v>0</v>
      </c>
      <c r="T171" s="258">
        <v>0</v>
      </c>
      <c r="U171" s="258">
        <v>0</v>
      </c>
      <c r="V171" s="258">
        <v>0</v>
      </c>
      <c r="W171" s="258">
        <v>0</v>
      </c>
      <c r="X171" s="258">
        <v>0</v>
      </c>
      <c r="Y171" s="258">
        <v>0</v>
      </c>
      <c r="Z171" s="258">
        <v>0</v>
      </c>
      <c r="AA171" s="258">
        <v>0</v>
      </c>
      <c r="AB171" s="260">
        <v>2020</v>
      </c>
    </row>
    <row r="172" spans="1:28" s="6" customFormat="1" ht="35.25" customHeight="1" x14ac:dyDescent="0.5">
      <c r="A172" s="6">
        <v>1</v>
      </c>
      <c r="B172" s="225">
        <f>SUBTOTAL(103,$A$7:A172)</f>
        <v>164</v>
      </c>
      <c r="C172" s="254" t="s">
        <v>1763</v>
      </c>
      <c r="D172" s="255">
        <f t="shared" si="5"/>
        <v>1389500</v>
      </c>
      <c r="E172" s="258">
        <v>0</v>
      </c>
      <c r="F172" s="258">
        <v>0</v>
      </c>
      <c r="G172" s="258">
        <v>0</v>
      </c>
      <c r="H172" s="258">
        <v>0</v>
      </c>
      <c r="I172" s="258">
        <v>0</v>
      </c>
      <c r="J172" s="258">
        <v>0</v>
      </c>
      <c r="K172" s="259">
        <v>0</v>
      </c>
      <c r="L172" s="258">
        <v>0</v>
      </c>
      <c r="M172" s="258">
        <v>1389500</v>
      </c>
      <c r="N172" s="258">
        <v>0</v>
      </c>
      <c r="O172" s="258">
        <v>0</v>
      </c>
      <c r="P172" s="258">
        <v>0</v>
      </c>
      <c r="Q172" s="258">
        <v>0</v>
      </c>
      <c r="R172" s="258">
        <v>0</v>
      </c>
      <c r="S172" s="258">
        <v>0</v>
      </c>
      <c r="T172" s="258">
        <v>0</v>
      </c>
      <c r="U172" s="258">
        <v>0</v>
      </c>
      <c r="V172" s="258">
        <v>0</v>
      </c>
      <c r="W172" s="258">
        <v>0</v>
      </c>
      <c r="X172" s="258">
        <v>0</v>
      </c>
      <c r="Y172" s="258">
        <v>0</v>
      </c>
      <c r="Z172" s="258">
        <v>0</v>
      </c>
      <c r="AA172" s="258">
        <v>0</v>
      </c>
      <c r="AB172" s="260">
        <v>2020</v>
      </c>
    </row>
    <row r="173" spans="1:28" s="6" customFormat="1" ht="35.25" customHeight="1" x14ac:dyDescent="0.5">
      <c r="A173" s="6">
        <v>1</v>
      </c>
      <c r="B173" s="225">
        <f>SUBTOTAL(103,$A$7:A173)</f>
        <v>165</v>
      </c>
      <c r="C173" s="254" t="s">
        <v>1764</v>
      </c>
      <c r="D173" s="255">
        <f t="shared" si="5"/>
        <v>1078705</v>
      </c>
      <c r="E173" s="258">
        <v>215265</v>
      </c>
      <c r="F173" s="258">
        <v>85000</v>
      </c>
      <c r="G173" s="258">
        <v>0</v>
      </c>
      <c r="H173" s="258">
        <v>0</v>
      </c>
      <c r="I173" s="258">
        <v>121325</v>
      </c>
      <c r="J173" s="258">
        <v>0</v>
      </c>
      <c r="K173" s="259">
        <v>0</v>
      </c>
      <c r="L173" s="258">
        <v>0</v>
      </c>
      <c r="M173" s="258">
        <v>450000</v>
      </c>
      <c r="N173" s="258">
        <v>174615</v>
      </c>
      <c r="O173" s="258">
        <v>32500</v>
      </c>
      <c r="P173" s="258">
        <v>0</v>
      </c>
      <c r="Q173" s="258">
        <v>0</v>
      </c>
      <c r="R173" s="258">
        <v>0</v>
      </c>
      <c r="S173" s="258">
        <v>0</v>
      </c>
      <c r="T173" s="258">
        <v>0</v>
      </c>
      <c r="U173" s="258">
        <v>0</v>
      </c>
      <c r="V173" s="258">
        <v>0</v>
      </c>
      <c r="W173" s="258">
        <v>0</v>
      </c>
      <c r="X173" s="258">
        <v>0</v>
      </c>
      <c r="Y173" s="258">
        <v>0</v>
      </c>
      <c r="Z173" s="258">
        <v>0</v>
      </c>
      <c r="AA173" s="258">
        <v>0</v>
      </c>
      <c r="AB173" s="260">
        <v>2020</v>
      </c>
    </row>
    <row r="174" spans="1:28" s="6" customFormat="1" ht="35.25" customHeight="1" x14ac:dyDescent="0.5">
      <c r="A174" s="6">
        <v>1</v>
      </c>
      <c r="B174" s="225">
        <f>SUBTOTAL(103,$A$7:A174)</f>
        <v>166</v>
      </c>
      <c r="C174" s="254" t="s">
        <v>2051</v>
      </c>
      <c r="D174" s="255">
        <f>E174+F174+G174+H174+I174+J174+L174+M174+N174+O174+P174+Q174+R174+S174+T174+U174+V174+W174+X174+Y174+Z174+AA174</f>
        <v>403507.08</v>
      </c>
      <c r="E174" s="258">
        <v>201753.54</v>
      </c>
      <c r="F174" s="258">
        <v>201753.54</v>
      </c>
      <c r="G174" s="258">
        <v>0</v>
      </c>
      <c r="H174" s="258">
        <v>0</v>
      </c>
      <c r="I174" s="258">
        <v>0</v>
      </c>
      <c r="J174" s="258">
        <v>0</v>
      </c>
      <c r="K174" s="259">
        <v>0</v>
      </c>
      <c r="L174" s="258">
        <v>0</v>
      </c>
      <c r="M174" s="258">
        <v>0</v>
      </c>
      <c r="N174" s="258">
        <v>0</v>
      </c>
      <c r="O174" s="258">
        <v>0</v>
      </c>
      <c r="P174" s="258">
        <v>0</v>
      </c>
      <c r="Q174" s="258">
        <v>0</v>
      </c>
      <c r="R174" s="258">
        <v>0</v>
      </c>
      <c r="S174" s="258">
        <v>0</v>
      </c>
      <c r="T174" s="258">
        <v>0</v>
      </c>
      <c r="U174" s="258">
        <v>0</v>
      </c>
      <c r="V174" s="258">
        <v>0</v>
      </c>
      <c r="W174" s="258">
        <v>0</v>
      </c>
      <c r="X174" s="258">
        <v>0</v>
      </c>
      <c r="Y174" s="258">
        <v>0</v>
      </c>
      <c r="Z174" s="258">
        <v>0</v>
      </c>
      <c r="AA174" s="258">
        <v>0</v>
      </c>
      <c r="AB174" s="260">
        <v>2020</v>
      </c>
    </row>
    <row r="175" spans="1:28" s="6" customFormat="1" ht="35.25" customHeight="1" x14ac:dyDescent="0.5">
      <c r="A175" s="6">
        <v>1</v>
      </c>
      <c r="B175" s="225">
        <f>SUBTOTAL(103,$A$7:A175)</f>
        <v>167</v>
      </c>
      <c r="C175" s="254" t="s">
        <v>2052</v>
      </c>
      <c r="D175" s="255">
        <f>E175+F175+G175+H175+I175+J175+L175+M175+N175+O175+P175+Q175+R175+S175+T175+U175+V175+W175+X175+Y175+Z175+AA175</f>
        <v>515016</v>
      </c>
      <c r="E175" s="258">
        <v>0</v>
      </c>
      <c r="F175" s="258">
        <v>0</v>
      </c>
      <c r="G175" s="258">
        <v>0</v>
      </c>
      <c r="H175" s="258">
        <v>0</v>
      </c>
      <c r="I175" s="258">
        <v>0</v>
      </c>
      <c r="J175" s="258">
        <v>0</v>
      </c>
      <c r="K175" s="259">
        <v>0</v>
      </c>
      <c r="L175" s="258">
        <v>0</v>
      </c>
      <c r="M175" s="258">
        <v>515016</v>
      </c>
      <c r="N175" s="258">
        <v>0</v>
      </c>
      <c r="O175" s="258">
        <v>0</v>
      </c>
      <c r="P175" s="258">
        <v>0</v>
      </c>
      <c r="Q175" s="258">
        <v>0</v>
      </c>
      <c r="R175" s="258">
        <v>0</v>
      </c>
      <c r="S175" s="258">
        <v>0</v>
      </c>
      <c r="T175" s="258">
        <v>0</v>
      </c>
      <c r="U175" s="258">
        <v>0</v>
      </c>
      <c r="V175" s="258">
        <v>0</v>
      </c>
      <c r="W175" s="258">
        <v>0</v>
      </c>
      <c r="X175" s="258">
        <v>0</v>
      </c>
      <c r="Y175" s="258">
        <v>0</v>
      </c>
      <c r="Z175" s="258">
        <v>0</v>
      </c>
      <c r="AA175" s="258">
        <v>0</v>
      </c>
      <c r="AB175" s="260">
        <v>2020</v>
      </c>
    </row>
    <row r="176" spans="1:28" s="6" customFormat="1" ht="35.25" customHeight="1" x14ac:dyDescent="0.5">
      <c r="A176" s="6">
        <v>1</v>
      </c>
      <c r="B176" s="225">
        <f>SUBTOTAL(103,$A$7:A176)</f>
        <v>168</v>
      </c>
      <c r="C176" s="254" t="s">
        <v>2053</v>
      </c>
      <c r="D176" s="255">
        <f>E176+F176+G176+H176+I176+J176+L176+M176+N176+O176+P176+Q176+R176+S176+T176+U176+V176+W176+X176+Y176+Z176+AA176</f>
        <v>144846</v>
      </c>
      <c r="E176" s="258">
        <v>0</v>
      </c>
      <c r="F176" s="258">
        <v>0</v>
      </c>
      <c r="G176" s="258">
        <v>144846</v>
      </c>
      <c r="H176" s="258">
        <v>0</v>
      </c>
      <c r="I176" s="258">
        <v>0</v>
      </c>
      <c r="J176" s="258">
        <v>0</v>
      </c>
      <c r="K176" s="259">
        <v>0</v>
      </c>
      <c r="L176" s="258">
        <v>0</v>
      </c>
      <c r="M176" s="258">
        <v>0</v>
      </c>
      <c r="N176" s="258">
        <v>0</v>
      </c>
      <c r="O176" s="258">
        <v>0</v>
      </c>
      <c r="P176" s="258">
        <v>0</v>
      </c>
      <c r="Q176" s="258">
        <v>0</v>
      </c>
      <c r="R176" s="258">
        <v>0</v>
      </c>
      <c r="S176" s="258">
        <v>0</v>
      </c>
      <c r="T176" s="258">
        <v>0</v>
      </c>
      <c r="U176" s="258">
        <v>0</v>
      </c>
      <c r="V176" s="258">
        <v>0</v>
      </c>
      <c r="W176" s="258">
        <v>0</v>
      </c>
      <c r="X176" s="258">
        <v>0</v>
      </c>
      <c r="Y176" s="258">
        <v>0</v>
      </c>
      <c r="Z176" s="258">
        <v>0</v>
      </c>
      <c r="AA176" s="258">
        <v>0</v>
      </c>
      <c r="AB176" s="260">
        <v>2020</v>
      </c>
    </row>
    <row r="177" spans="1:28" s="6" customFormat="1" ht="35.25" customHeight="1" x14ac:dyDescent="0.5">
      <c r="A177" s="6">
        <v>1</v>
      </c>
      <c r="B177" s="225">
        <f>SUBTOTAL(103,$A$7:A177)</f>
        <v>169</v>
      </c>
      <c r="C177" s="254" t="s">
        <v>2054</v>
      </c>
      <c r="D177" s="255">
        <f>E177+F177+G177+H177+I177+J177+L177+M177+N177+O177+P177+Q177+R177+S177+T177+U177+V177+W177+X177+Y177+Z177+AA177</f>
        <v>276982</v>
      </c>
      <c r="E177" s="258">
        <v>0</v>
      </c>
      <c r="F177" s="258">
        <v>0</v>
      </c>
      <c r="G177" s="258">
        <v>0</v>
      </c>
      <c r="H177" s="258">
        <v>0</v>
      </c>
      <c r="I177" s="258">
        <v>0</v>
      </c>
      <c r="J177" s="258">
        <v>0</v>
      </c>
      <c r="K177" s="259">
        <v>0</v>
      </c>
      <c r="L177" s="258">
        <v>0</v>
      </c>
      <c r="M177" s="258">
        <v>0</v>
      </c>
      <c r="N177" s="258">
        <v>0</v>
      </c>
      <c r="O177" s="258">
        <v>276982</v>
      </c>
      <c r="P177" s="258">
        <v>0</v>
      </c>
      <c r="Q177" s="258">
        <v>0</v>
      </c>
      <c r="R177" s="258">
        <v>0</v>
      </c>
      <c r="S177" s="258">
        <v>0</v>
      </c>
      <c r="T177" s="258">
        <v>0</v>
      </c>
      <c r="U177" s="258">
        <v>0</v>
      </c>
      <c r="V177" s="258">
        <v>0</v>
      </c>
      <c r="W177" s="258">
        <v>0</v>
      </c>
      <c r="X177" s="258">
        <v>0</v>
      </c>
      <c r="Y177" s="258">
        <v>0</v>
      </c>
      <c r="Z177" s="258">
        <v>0</v>
      </c>
      <c r="AA177" s="258">
        <v>0</v>
      </c>
      <c r="AB177" s="260">
        <v>2020</v>
      </c>
    </row>
    <row r="178" spans="1:28" s="6" customFormat="1" ht="35.25" customHeight="1" x14ac:dyDescent="0.5">
      <c r="A178" s="6">
        <v>1</v>
      </c>
      <c r="B178" s="225">
        <f>SUBTOTAL(103,$A$7:A178)</f>
        <v>170</v>
      </c>
      <c r="C178" s="254" t="s">
        <v>2055</v>
      </c>
      <c r="D178" s="255">
        <f>E178+F178+G178+H178+I178+J178+L178+M178+N178+O178+P178+Q178+R178+S178+T178+U178+V178+W178+X178+Y178+Z178+AA178</f>
        <v>1316629</v>
      </c>
      <c r="E178" s="258">
        <v>0</v>
      </c>
      <c r="F178" s="258">
        <v>0</v>
      </c>
      <c r="G178" s="258">
        <v>0</v>
      </c>
      <c r="H178" s="258">
        <v>0</v>
      </c>
      <c r="I178" s="258">
        <v>0</v>
      </c>
      <c r="J178" s="258">
        <v>0</v>
      </c>
      <c r="K178" s="259">
        <v>0</v>
      </c>
      <c r="L178" s="258">
        <v>0</v>
      </c>
      <c r="M178" s="258">
        <v>1316629</v>
      </c>
      <c r="N178" s="258">
        <v>0</v>
      </c>
      <c r="O178" s="258">
        <v>0</v>
      </c>
      <c r="P178" s="258">
        <v>0</v>
      </c>
      <c r="Q178" s="258">
        <v>0</v>
      </c>
      <c r="R178" s="258">
        <v>0</v>
      </c>
      <c r="S178" s="258">
        <v>0</v>
      </c>
      <c r="T178" s="258">
        <v>0</v>
      </c>
      <c r="U178" s="258">
        <v>0</v>
      </c>
      <c r="V178" s="258">
        <v>0</v>
      </c>
      <c r="W178" s="258">
        <v>0</v>
      </c>
      <c r="X178" s="258">
        <v>0</v>
      </c>
      <c r="Y178" s="258">
        <v>0</v>
      </c>
      <c r="Z178" s="258">
        <v>0</v>
      </c>
      <c r="AA178" s="258">
        <v>0</v>
      </c>
      <c r="AB178" s="260">
        <v>2020</v>
      </c>
    </row>
    <row r="179" spans="1:28" s="6" customFormat="1" ht="35.25" customHeight="1" x14ac:dyDescent="0.5">
      <c r="A179" s="6">
        <v>1</v>
      </c>
      <c r="B179" s="225">
        <f>SUBTOTAL(103,$A$7:A179)</f>
        <v>171</v>
      </c>
      <c r="C179" s="254" t="s">
        <v>2328</v>
      </c>
      <c r="D179" s="255">
        <v>375709.22</v>
      </c>
      <c r="E179" s="258">
        <v>0</v>
      </c>
      <c r="F179" s="258">
        <v>0</v>
      </c>
      <c r="G179" s="258">
        <v>0</v>
      </c>
      <c r="H179" s="258">
        <v>0</v>
      </c>
      <c r="I179" s="258">
        <v>0</v>
      </c>
      <c r="J179" s="258">
        <v>0</v>
      </c>
      <c r="K179" s="259">
        <v>0</v>
      </c>
      <c r="L179" s="258">
        <v>0</v>
      </c>
      <c r="M179" s="258">
        <v>0</v>
      </c>
      <c r="N179" s="258">
        <v>0</v>
      </c>
      <c r="O179" s="258">
        <v>375709.22</v>
      </c>
      <c r="P179" s="258">
        <v>0</v>
      </c>
      <c r="Q179" s="258">
        <v>0</v>
      </c>
      <c r="R179" s="258">
        <v>0</v>
      </c>
      <c r="S179" s="258">
        <v>0</v>
      </c>
      <c r="T179" s="258">
        <v>0</v>
      </c>
      <c r="U179" s="258">
        <v>0</v>
      </c>
      <c r="V179" s="258">
        <v>0</v>
      </c>
      <c r="W179" s="258">
        <v>0</v>
      </c>
      <c r="X179" s="258">
        <v>0</v>
      </c>
      <c r="Y179" s="258">
        <v>0</v>
      </c>
      <c r="Z179" s="258">
        <v>0</v>
      </c>
      <c r="AA179" s="258">
        <v>0</v>
      </c>
      <c r="AB179" s="260">
        <v>2020</v>
      </c>
    </row>
    <row r="180" spans="1:28" s="6" customFormat="1" ht="35.25" customHeight="1" x14ac:dyDescent="0.5">
      <c r="A180" s="6">
        <v>1</v>
      </c>
      <c r="B180" s="225">
        <f>SUBTOTAL(103,$A$7:A180)</f>
        <v>172</v>
      </c>
      <c r="C180" s="254" t="s">
        <v>2329</v>
      </c>
      <c r="D180" s="255">
        <v>2342000</v>
      </c>
      <c r="E180" s="258">
        <v>0</v>
      </c>
      <c r="F180" s="258">
        <v>0</v>
      </c>
      <c r="G180" s="258">
        <v>0</v>
      </c>
      <c r="H180" s="258">
        <v>0</v>
      </c>
      <c r="I180" s="258">
        <v>0</v>
      </c>
      <c r="J180" s="258">
        <v>0</v>
      </c>
      <c r="K180" s="259">
        <v>1</v>
      </c>
      <c r="L180" s="258">
        <v>2342000</v>
      </c>
      <c r="M180" s="258">
        <v>0</v>
      </c>
      <c r="N180" s="258">
        <v>0</v>
      </c>
      <c r="O180" s="258">
        <v>0</v>
      </c>
      <c r="P180" s="258">
        <v>0</v>
      </c>
      <c r="Q180" s="258">
        <v>0</v>
      </c>
      <c r="R180" s="258">
        <v>0</v>
      </c>
      <c r="S180" s="258">
        <v>0</v>
      </c>
      <c r="T180" s="258">
        <v>0</v>
      </c>
      <c r="U180" s="258">
        <v>0</v>
      </c>
      <c r="V180" s="258">
        <v>0</v>
      </c>
      <c r="W180" s="258">
        <v>0</v>
      </c>
      <c r="X180" s="258">
        <v>0</v>
      </c>
      <c r="Y180" s="258">
        <v>0</v>
      </c>
      <c r="Z180" s="258">
        <v>0</v>
      </c>
      <c r="AA180" s="258">
        <v>0</v>
      </c>
      <c r="AB180" s="260">
        <v>2020</v>
      </c>
    </row>
    <row r="181" spans="1:28" s="6" customFormat="1" ht="35.25" customHeight="1" x14ac:dyDescent="0.5">
      <c r="A181" s="6">
        <v>1</v>
      </c>
      <c r="B181" s="225">
        <f>SUBTOTAL(103,$A$7:A181)</f>
        <v>173</v>
      </c>
      <c r="C181" s="254" t="s">
        <v>2330</v>
      </c>
      <c r="D181" s="255">
        <v>3560254.02</v>
      </c>
      <c r="E181" s="258">
        <v>0</v>
      </c>
      <c r="F181" s="258">
        <v>0</v>
      </c>
      <c r="G181" s="258">
        <v>0</v>
      </c>
      <c r="H181" s="258">
        <v>0</v>
      </c>
      <c r="I181" s="258">
        <v>2895732.04</v>
      </c>
      <c r="J181" s="258">
        <v>0</v>
      </c>
      <c r="K181" s="259">
        <v>0</v>
      </c>
      <c r="L181" s="258">
        <v>0</v>
      </c>
      <c r="M181" s="258">
        <v>0</v>
      </c>
      <c r="N181" s="258">
        <v>0</v>
      </c>
      <c r="O181" s="258">
        <v>664521.98</v>
      </c>
      <c r="P181" s="258">
        <v>0</v>
      </c>
      <c r="Q181" s="258">
        <v>0</v>
      </c>
      <c r="R181" s="258">
        <v>0</v>
      </c>
      <c r="S181" s="258">
        <v>0</v>
      </c>
      <c r="T181" s="258">
        <v>0</v>
      </c>
      <c r="U181" s="258">
        <v>0</v>
      </c>
      <c r="V181" s="258">
        <v>0</v>
      </c>
      <c r="W181" s="258">
        <v>0</v>
      </c>
      <c r="X181" s="258">
        <v>0</v>
      </c>
      <c r="Y181" s="258">
        <v>0</v>
      </c>
      <c r="Z181" s="258">
        <v>0</v>
      </c>
      <c r="AA181" s="258">
        <v>0</v>
      </c>
      <c r="AB181" s="260">
        <v>2020</v>
      </c>
    </row>
    <row r="182" spans="1:28" s="6" customFormat="1" ht="35.25" customHeight="1" x14ac:dyDescent="0.5">
      <c r="A182" s="6">
        <v>1</v>
      </c>
      <c r="B182" s="225">
        <f>SUBTOTAL(103,$A$7:A182)</f>
        <v>174</v>
      </c>
      <c r="C182" s="254" t="s">
        <v>1781</v>
      </c>
      <c r="D182" s="255">
        <v>660633.3600000001</v>
      </c>
      <c r="E182" s="258">
        <v>54114.93</v>
      </c>
      <c r="F182" s="258">
        <v>0</v>
      </c>
      <c r="G182" s="258">
        <v>583956.53</v>
      </c>
      <c r="H182" s="258">
        <v>22561.9</v>
      </c>
      <c r="I182" s="258">
        <v>0</v>
      </c>
      <c r="J182" s="258">
        <v>0</v>
      </c>
      <c r="K182" s="259">
        <v>0</v>
      </c>
      <c r="L182" s="258">
        <v>0</v>
      </c>
      <c r="M182" s="258">
        <v>0</v>
      </c>
      <c r="N182" s="258">
        <v>0</v>
      </c>
      <c r="O182" s="258">
        <v>0</v>
      </c>
      <c r="P182" s="258">
        <v>0</v>
      </c>
      <c r="Q182" s="258">
        <v>0</v>
      </c>
      <c r="R182" s="258">
        <v>0</v>
      </c>
      <c r="S182" s="258">
        <v>0</v>
      </c>
      <c r="T182" s="258">
        <v>0</v>
      </c>
      <c r="U182" s="258">
        <v>0</v>
      </c>
      <c r="V182" s="258">
        <v>0</v>
      </c>
      <c r="W182" s="258">
        <v>0</v>
      </c>
      <c r="X182" s="258">
        <v>0</v>
      </c>
      <c r="Y182" s="258">
        <v>0</v>
      </c>
      <c r="Z182" s="258">
        <v>0</v>
      </c>
      <c r="AA182" s="258">
        <v>0</v>
      </c>
      <c r="AB182" s="260">
        <v>2020</v>
      </c>
    </row>
    <row r="183" spans="1:28" s="6" customFormat="1" ht="35.25" customHeight="1" x14ac:dyDescent="0.5">
      <c r="A183" s="6">
        <v>1</v>
      </c>
      <c r="B183" s="225">
        <f>SUBTOTAL(103,$A$7:A183)</f>
        <v>175</v>
      </c>
      <c r="C183" s="254" t="s">
        <v>2331</v>
      </c>
      <c r="D183" s="255">
        <v>538864</v>
      </c>
      <c r="E183" s="258">
        <v>0</v>
      </c>
      <c r="F183" s="258">
        <v>0</v>
      </c>
      <c r="G183" s="258">
        <v>0</v>
      </c>
      <c r="H183" s="258">
        <v>0</v>
      </c>
      <c r="I183" s="258">
        <v>0</v>
      </c>
      <c r="J183" s="258">
        <v>0</v>
      </c>
      <c r="K183" s="259">
        <v>0</v>
      </c>
      <c r="L183" s="258">
        <v>0</v>
      </c>
      <c r="M183" s="258">
        <v>0</v>
      </c>
      <c r="N183" s="258">
        <v>0</v>
      </c>
      <c r="O183" s="258">
        <v>538864</v>
      </c>
      <c r="P183" s="258">
        <v>0</v>
      </c>
      <c r="Q183" s="258">
        <v>0</v>
      </c>
      <c r="R183" s="258">
        <v>0</v>
      </c>
      <c r="S183" s="258">
        <v>0</v>
      </c>
      <c r="T183" s="258">
        <v>0</v>
      </c>
      <c r="U183" s="258">
        <v>0</v>
      </c>
      <c r="V183" s="258">
        <v>0</v>
      </c>
      <c r="W183" s="258">
        <v>0</v>
      </c>
      <c r="X183" s="258">
        <v>0</v>
      </c>
      <c r="Y183" s="258">
        <v>0</v>
      </c>
      <c r="Z183" s="258">
        <v>0</v>
      </c>
      <c r="AA183" s="258">
        <v>0</v>
      </c>
      <c r="AB183" s="260">
        <v>2020</v>
      </c>
    </row>
    <row r="184" spans="1:28" s="6" customFormat="1" ht="35.25" customHeight="1" x14ac:dyDescent="0.5">
      <c r="A184" s="6">
        <v>1</v>
      </c>
      <c r="B184" s="225">
        <f>SUBTOTAL(103,$A$7:A184)</f>
        <v>176</v>
      </c>
      <c r="C184" s="254" t="s">
        <v>2332</v>
      </c>
      <c r="D184" s="255">
        <v>1887319.95</v>
      </c>
      <c r="E184" s="258">
        <v>0</v>
      </c>
      <c r="F184" s="258">
        <v>0</v>
      </c>
      <c r="G184" s="258">
        <v>0</v>
      </c>
      <c r="H184" s="258">
        <v>0</v>
      </c>
      <c r="I184" s="258">
        <v>0</v>
      </c>
      <c r="J184" s="258">
        <v>0</v>
      </c>
      <c r="K184" s="259">
        <v>0</v>
      </c>
      <c r="L184" s="258">
        <v>0</v>
      </c>
      <c r="M184" s="258">
        <v>1110620</v>
      </c>
      <c r="N184" s="258">
        <v>0</v>
      </c>
      <c r="O184" s="258">
        <v>776699.95</v>
      </c>
      <c r="P184" s="258">
        <v>0</v>
      </c>
      <c r="Q184" s="258">
        <v>0</v>
      </c>
      <c r="R184" s="258">
        <v>0</v>
      </c>
      <c r="S184" s="258">
        <v>0</v>
      </c>
      <c r="T184" s="258">
        <v>0</v>
      </c>
      <c r="U184" s="258">
        <v>0</v>
      </c>
      <c r="V184" s="258">
        <v>0</v>
      </c>
      <c r="W184" s="258">
        <v>0</v>
      </c>
      <c r="X184" s="258">
        <v>0</v>
      </c>
      <c r="Y184" s="258">
        <v>0</v>
      </c>
      <c r="Z184" s="258">
        <v>0</v>
      </c>
      <c r="AA184" s="258">
        <v>0</v>
      </c>
      <c r="AB184" s="260">
        <v>2020</v>
      </c>
    </row>
    <row r="185" spans="1:28" s="6" customFormat="1" ht="35.25" customHeight="1" x14ac:dyDescent="0.5">
      <c r="A185" s="6">
        <v>1</v>
      </c>
      <c r="B185" s="225">
        <f>SUBTOTAL(103,$A$7:A185)</f>
        <v>177</v>
      </c>
      <c r="C185" s="254" t="s">
        <v>2333</v>
      </c>
      <c r="D185" s="255">
        <v>1695916.99</v>
      </c>
      <c r="E185" s="258">
        <v>0</v>
      </c>
      <c r="F185" s="258">
        <v>591889.99</v>
      </c>
      <c r="G185" s="258">
        <v>1104027</v>
      </c>
      <c r="H185" s="258">
        <v>0</v>
      </c>
      <c r="I185" s="258">
        <v>0</v>
      </c>
      <c r="J185" s="258">
        <v>0</v>
      </c>
      <c r="K185" s="259">
        <v>0</v>
      </c>
      <c r="L185" s="258">
        <v>0</v>
      </c>
      <c r="M185" s="258">
        <v>0</v>
      </c>
      <c r="N185" s="258">
        <v>0</v>
      </c>
      <c r="O185" s="258">
        <v>0</v>
      </c>
      <c r="P185" s="258">
        <v>0</v>
      </c>
      <c r="Q185" s="258">
        <v>0</v>
      </c>
      <c r="R185" s="258">
        <v>0</v>
      </c>
      <c r="S185" s="258">
        <v>0</v>
      </c>
      <c r="T185" s="258">
        <v>0</v>
      </c>
      <c r="U185" s="258">
        <v>0</v>
      </c>
      <c r="V185" s="258">
        <v>0</v>
      </c>
      <c r="W185" s="258">
        <v>0</v>
      </c>
      <c r="X185" s="258">
        <v>0</v>
      </c>
      <c r="Y185" s="258">
        <v>0</v>
      </c>
      <c r="Z185" s="258">
        <v>0</v>
      </c>
      <c r="AA185" s="258">
        <v>0</v>
      </c>
      <c r="AB185" s="260">
        <v>2020</v>
      </c>
    </row>
    <row r="186" spans="1:28" s="6" customFormat="1" ht="35.25" customHeight="1" x14ac:dyDescent="0.5">
      <c r="A186" s="6">
        <v>1</v>
      </c>
      <c r="B186" s="225">
        <f>SUBTOTAL(103,$A$7:A186)</f>
        <v>178</v>
      </c>
      <c r="C186" s="254" t="s">
        <v>2334</v>
      </c>
      <c r="D186" s="255">
        <v>1420838</v>
      </c>
      <c r="E186" s="258">
        <v>0</v>
      </c>
      <c r="F186" s="258">
        <v>0</v>
      </c>
      <c r="G186" s="258">
        <v>0</v>
      </c>
      <c r="H186" s="258">
        <v>0</v>
      </c>
      <c r="I186" s="258">
        <v>0</v>
      </c>
      <c r="J186" s="258">
        <v>0</v>
      </c>
      <c r="K186" s="259">
        <v>0</v>
      </c>
      <c r="L186" s="258">
        <v>0</v>
      </c>
      <c r="M186" s="258">
        <v>0</v>
      </c>
      <c r="N186" s="258">
        <v>0</v>
      </c>
      <c r="O186" s="258">
        <v>1420838</v>
      </c>
      <c r="P186" s="258">
        <v>0</v>
      </c>
      <c r="Q186" s="258">
        <v>0</v>
      </c>
      <c r="R186" s="258">
        <v>0</v>
      </c>
      <c r="S186" s="258">
        <v>0</v>
      </c>
      <c r="T186" s="258">
        <v>0</v>
      </c>
      <c r="U186" s="258">
        <v>0</v>
      </c>
      <c r="V186" s="258">
        <v>0</v>
      </c>
      <c r="W186" s="258">
        <v>0</v>
      </c>
      <c r="X186" s="258">
        <v>0</v>
      </c>
      <c r="Y186" s="258">
        <v>0</v>
      </c>
      <c r="Z186" s="258">
        <v>0</v>
      </c>
      <c r="AA186" s="258">
        <v>0</v>
      </c>
      <c r="AB186" s="260">
        <v>2020</v>
      </c>
    </row>
    <row r="187" spans="1:28" s="6" customFormat="1" ht="35.25" customHeight="1" x14ac:dyDescent="0.5">
      <c r="A187" s="6">
        <v>1</v>
      </c>
      <c r="B187" s="225">
        <f>SUBTOTAL(103,$A$7:A187)</f>
        <v>179</v>
      </c>
      <c r="C187" s="254" t="s">
        <v>2335</v>
      </c>
      <c r="D187" s="255">
        <v>304235.02</v>
      </c>
      <c r="E187" s="258">
        <v>0</v>
      </c>
      <c r="F187" s="258">
        <v>0</v>
      </c>
      <c r="G187" s="258">
        <v>0</v>
      </c>
      <c r="H187" s="258">
        <v>0</v>
      </c>
      <c r="I187" s="258">
        <v>0</v>
      </c>
      <c r="J187" s="258">
        <v>0</v>
      </c>
      <c r="K187" s="259">
        <v>0</v>
      </c>
      <c r="L187" s="258">
        <v>0</v>
      </c>
      <c r="M187" s="258">
        <v>0</v>
      </c>
      <c r="N187" s="258">
        <v>0</v>
      </c>
      <c r="O187" s="258">
        <v>304235.02</v>
      </c>
      <c r="P187" s="258">
        <v>0</v>
      </c>
      <c r="Q187" s="258">
        <v>0</v>
      </c>
      <c r="R187" s="258">
        <v>0</v>
      </c>
      <c r="S187" s="258">
        <v>0</v>
      </c>
      <c r="T187" s="258">
        <v>0</v>
      </c>
      <c r="U187" s="258">
        <v>0</v>
      </c>
      <c r="V187" s="258">
        <v>0</v>
      </c>
      <c r="W187" s="258">
        <v>0</v>
      </c>
      <c r="X187" s="258">
        <v>0</v>
      </c>
      <c r="Y187" s="258">
        <v>0</v>
      </c>
      <c r="Z187" s="258">
        <v>0</v>
      </c>
      <c r="AA187" s="258">
        <v>0</v>
      </c>
      <c r="AB187" s="260">
        <v>2020</v>
      </c>
    </row>
    <row r="188" spans="1:28" s="6" customFormat="1" ht="35.25" customHeight="1" x14ac:dyDescent="0.5">
      <c r="A188" s="6">
        <v>1</v>
      </c>
      <c r="B188" s="225">
        <f>SUBTOTAL(103,$A$7:A188)</f>
        <v>180</v>
      </c>
      <c r="C188" s="263" t="s">
        <v>2056</v>
      </c>
      <c r="D188" s="255">
        <f t="shared" ref="D188:D224" si="6">E188+F188+G188+H188+I188+J188+L188+M188+N188+O188+P188+Q188+R188+S188+T188+U188+V188+W188+X188+Y188+Z188+AA188</f>
        <v>1295506</v>
      </c>
      <c r="E188" s="261">
        <v>0</v>
      </c>
      <c r="F188" s="261">
        <v>0</v>
      </c>
      <c r="G188" s="261">
        <v>0</v>
      </c>
      <c r="H188" s="261">
        <v>0</v>
      </c>
      <c r="I188" s="261">
        <v>0</v>
      </c>
      <c r="J188" s="261">
        <v>0</v>
      </c>
      <c r="K188" s="259">
        <v>0</v>
      </c>
      <c r="L188" s="261">
        <v>0</v>
      </c>
      <c r="M188" s="261">
        <f>1247639+47867</f>
        <v>1295506</v>
      </c>
      <c r="N188" s="261">
        <v>0</v>
      </c>
      <c r="O188" s="261">
        <v>0</v>
      </c>
      <c r="P188" s="261">
        <v>0</v>
      </c>
      <c r="Q188" s="261">
        <v>0</v>
      </c>
      <c r="R188" s="261">
        <v>0</v>
      </c>
      <c r="S188" s="261">
        <v>0</v>
      </c>
      <c r="T188" s="261">
        <v>0</v>
      </c>
      <c r="U188" s="261">
        <v>0</v>
      </c>
      <c r="V188" s="261">
        <v>0</v>
      </c>
      <c r="W188" s="261">
        <v>0</v>
      </c>
      <c r="X188" s="261">
        <v>0</v>
      </c>
      <c r="Y188" s="261">
        <v>0</v>
      </c>
      <c r="Z188" s="261">
        <v>0</v>
      </c>
      <c r="AA188" s="261">
        <v>0</v>
      </c>
      <c r="AB188" s="260">
        <v>2020</v>
      </c>
    </row>
    <row r="189" spans="1:28" s="6" customFormat="1" ht="35.25" customHeight="1" x14ac:dyDescent="0.5">
      <c r="A189" s="6">
        <v>1</v>
      </c>
      <c r="B189" s="225">
        <f>SUBTOTAL(103,$A$7:A189)</f>
        <v>181</v>
      </c>
      <c r="C189" s="263" t="s">
        <v>2336</v>
      </c>
      <c r="D189" s="255">
        <f t="shared" si="6"/>
        <v>794440</v>
      </c>
      <c r="E189" s="261">
        <v>0</v>
      </c>
      <c r="F189" s="261">
        <v>0</v>
      </c>
      <c r="G189" s="261">
        <v>0</v>
      </c>
      <c r="H189" s="261">
        <v>0</v>
      </c>
      <c r="I189" s="261">
        <v>0</v>
      </c>
      <c r="J189" s="261">
        <v>0</v>
      </c>
      <c r="K189" s="259">
        <v>0</v>
      </c>
      <c r="L189" s="261">
        <v>0</v>
      </c>
      <c r="M189" s="261">
        <v>794440</v>
      </c>
      <c r="N189" s="261">
        <v>0</v>
      </c>
      <c r="O189" s="261">
        <v>0</v>
      </c>
      <c r="P189" s="261">
        <v>0</v>
      </c>
      <c r="Q189" s="261">
        <v>0</v>
      </c>
      <c r="R189" s="261">
        <v>0</v>
      </c>
      <c r="S189" s="261">
        <v>0</v>
      </c>
      <c r="T189" s="261">
        <v>0</v>
      </c>
      <c r="U189" s="261">
        <v>0</v>
      </c>
      <c r="V189" s="261">
        <v>0</v>
      </c>
      <c r="W189" s="261">
        <v>0</v>
      </c>
      <c r="X189" s="261">
        <v>0</v>
      </c>
      <c r="Y189" s="261">
        <v>0</v>
      </c>
      <c r="Z189" s="261">
        <v>0</v>
      </c>
      <c r="AA189" s="261">
        <v>0</v>
      </c>
      <c r="AB189" s="260">
        <v>2020</v>
      </c>
    </row>
    <row r="190" spans="1:28" s="6" customFormat="1" ht="35.25" customHeight="1" x14ac:dyDescent="0.5">
      <c r="A190" s="6">
        <v>1</v>
      </c>
      <c r="B190" s="225">
        <f>SUBTOTAL(103,$A$7:A190)</f>
        <v>182</v>
      </c>
      <c r="C190" s="263" t="s">
        <v>2337</v>
      </c>
      <c r="D190" s="255">
        <f t="shared" si="6"/>
        <v>549279.94999999995</v>
      </c>
      <c r="E190" s="261">
        <v>0</v>
      </c>
      <c r="F190" s="261">
        <v>0</v>
      </c>
      <c r="G190" s="261">
        <v>0</v>
      </c>
      <c r="H190" s="261">
        <v>0</v>
      </c>
      <c r="I190" s="261">
        <v>0</v>
      </c>
      <c r="J190" s="261">
        <v>0</v>
      </c>
      <c r="K190" s="259">
        <v>0</v>
      </c>
      <c r="L190" s="261">
        <v>0</v>
      </c>
      <c r="M190" s="261">
        <v>0</v>
      </c>
      <c r="N190" s="261">
        <v>0</v>
      </c>
      <c r="O190" s="261">
        <v>549279.94999999995</v>
      </c>
      <c r="P190" s="261">
        <v>0</v>
      </c>
      <c r="Q190" s="261">
        <v>0</v>
      </c>
      <c r="R190" s="261">
        <v>0</v>
      </c>
      <c r="S190" s="261">
        <v>0</v>
      </c>
      <c r="T190" s="261">
        <v>0</v>
      </c>
      <c r="U190" s="261">
        <v>0</v>
      </c>
      <c r="V190" s="261">
        <v>0</v>
      </c>
      <c r="W190" s="261">
        <v>0</v>
      </c>
      <c r="X190" s="261">
        <v>0</v>
      </c>
      <c r="Y190" s="261">
        <v>0</v>
      </c>
      <c r="Z190" s="261">
        <v>0</v>
      </c>
      <c r="AA190" s="261">
        <v>0</v>
      </c>
      <c r="AB190" s="260">
        <v>2020</v>
      </c>
    </row>
    <row r="191" spans="1:28" s="6" customFormat="1" ht="35.25" customHeight="1" x14ac:dyDescent="0.5">
      <c r="A191" s="6">
        <v>1</v>
      </c>
      <c r="B191" s="225">
        <f>SUBTOTAL(103,$A$7:A191)</f>
        <v>183</v>
      </c>
      <c r="C191" s="263" t="s">
        <v>2338</v>
      </c>
      <c r="D191" s="255">
        <f t="shared" si="6"/>
        <v>1043062.77</v>
      </c>
      <c r="E191" s="261">
        <v>0</v>
      </c>
      <c r="F191" s="261">
        <v>0</v>
      </c>
      <c r="G191" s="261">
        <v>0</v>
      </c>
      <c r="H191" s="261">
        <v>0</v>
      </c>
      <c r="I191" s="261">
        <v>0</v>
      </c>
      <c r="J191" s="261">
        <v>0</v>
      </c>
      <c r="K191" s="259">
        <v>0</v>
      </c>
      <c r="L191" s="261">
        <v>0</v>
      </c>
      <c r="M191" s="261">
        <v>1043062.77</v>
      </c>
      <c r="N191" s="261">
        <v>0</v>
      </c>
      <c r="O191" s="261">
        <v>0</v>
      </c>
      <c r="P191" s="261">
        <v>0</v>
      </c>
      <c r="Q191" s="261">
        <v>0</v>
      </c>
      <c r="R191" s="261">
        <v>0</v>
      </c>
      <c r="S191" s="261">
        <v>0</v>
      </c>
      <c r="T191" s="261">
        <v>0</v>
      </c>
      <c r="U191" s="261">
        <v>0</v>
      </c>
      <c r="V191" s="261">
        <v>0</v>
      </c>
      <c r="W191" s="261">
        <v>0</v>
      </c>
      <c r="X191" s="261">
        <v>0</v>
      </c>
      <c r="Y191" s="261">
        <v>0</v>
      </c>
      <c r="Z191" s="261">
        <v>0</v>
      </c>
      <c r="AA191" s="261">
        <v>0</v>
      </c>
      <c r="AB191" s="260">
        <v>2020</v>
      </c>
    </row>
    <row r="192" spans="1:28" s="6" customFormat="1" ht="35.25" customHeight="1" x14ac:dyDescent="0.5">
      <c r="A192" s="6">
        <v>1</v>
      </c>
      <c r="B192" s="225">
        <f>SUBTOTAL(103,$A$7:A192)</f>
        <v>184</v>
      </c>
      <c r="C192" s="263" t="s">
        <v>2339</v>
      </c>
      <c r="D192" s="255">
        <f t="shared" si="6"/>
        <v>884816.16</v>
      </c>
      <c r="E192" s="261">
        <v>0</v>
      </c>
      <c r="F192" s="261">
        <v>0</v>
      </c>
      <c r="G192" s="261">
        <v>0</v>
      </c>
      <c r="H192" s="261">
        <v>0</v>
      </c>
      <c r="I192" s="261">
        <v>0</v>
      </c>
      <c r="J192" s="261">
        <v>0</v>
      </c>
      <c r="K192" s="259">
        <v>0</v>
      </c>
      <c r="L192" s="261">
        <v>0</v>
      </c>
      <c r="M192" s="261">
        <v>753243.91</v>
      </c>
      <c r="N192" s="261">
        <v>0</v>
      </c>
      <c r="O192" s="261">
        <v>131572.25</v>
      </c>
      <c r="P192" s="261">
        <v>0</v>
      </c>
      <c r="Q192" s="261">
        <v>0</v>
      </c>
      <c r="R192" s="261">
        <v>0</v>
      </c>
      <c r="S192" s="261">
        <v>0</v>
      </c>
      <c r="T192" s="261">
        <v>0</v>
      </c>
      <c r="U192" s="261">
        <v>0</v>
      </c>
      <c r="V192" s="261">
        <v>0</v>
      </c>
      <c r="W192" s="261">
        <v>0</v>
      </c>
      <c r="X192" s="261">
        <v>0</v>
      </c>
      <c r="Y192" s="261">
        <v>0</v>
      </c>
      <c r="Z192" s="261">
        <v>0</v>
      </c>
      <c r="AA192" s="261">
        <v>0</v>
      </c>
      <c r="AB192" s="260">
        <v>2020</v>
      </c>
    </row>
    <row r="193" spans="1:28" s="6" customFormat="1" ht="35.25" customHeight="1" x14ac:dyDescent="0.5">
      <c r="A193" s="6">
        <v>1</v>
      </c>
      <c r="B193" s="225">
        <f>SUBTOTAL(103,$A$7:A193)</f>
        <v>185</v>
      </c>
      <c r="C193" s="263" t="s">
        <v>2340</v>
      </c>
      <c r="D193" s="255">
        <f t="shared" si="6"/>
        <v>435227</v>
      </c>
      <c r="E193" s="261">
        <v>0</v>
      </c>
      <c r="F193" s="261">
        <v>0</v>
      </c>
      <c r="G193" s="261">
        <v>0</v>
      </c>
      <c r="H193" s="261">
        <v>0</v>
      </c>
      <c r="I193" s="261">
        <v>0</v>
      </c>
      <c r="J193" s="261">
        <v>0</v>
      </c>
      <c r="K193" s="259">
        <v>0</v>
      </c>
      <c r="L193" s="261">
        <v>0</v>
      </c>
      <c r="M193" s="261">
        <v>435227</v>
      </c>
      <c r="N193" s="261">
        <v>0</v>
      </c>
      <c r="O193" s="261">
        <v>0</v>
      </c>
      <c r="P193" s="261">
        <v>0</v>
      </c>
      <c r="Q193" s="261">
        <v>0</v>
      </c>
      <c r="R193" s="261">
        <v>0</v>
      </c>
      <c r="S193" s="261">
        <v>0</v>
      </c>
      <c r="T193" s="261">
        <v>0</v>
      </c>
      <c r="U193" s="261">
        <v>0</v>
      </c>
      <c r="V193" s="261">
        <v>0</v>
      </c>
      <c r="W193" s="261">
        <v>0</v>
      </c>
      <c r="X193" s="261">
        <v>0</v>
      </c>
      <c r="Y193" s="261">
        <v>0</v>
      </c>
      <c r="Z193" s="261">
        <v>0</v>
      </c>
      <c r="AA193" s="261">
        <v>0</v>
      </c>
      <c r="AB193" s="260">
        <v>2020</v>
      </c>
    </row>
    <row r="194" spans="1:28" s="6" customFormat="1" ht="35.25" customHeight="1" x14ac:dyDescent="0.5">
      <c r="A194" s="6">
        <v>1</v>
      </c>
      <c r="B194" s="225">
        <f>SUBTOTAL(103,$A$7:A194)</f>
        <v>186</v>
      </c>
      <c r="C194" s="263" t="s">
        <v>2341</v>
      </c>
      <c r="D194" s="255">
        <f t="shared" si="6"/>
        <v>820280.67</v>
      </c>
      <c r="E194" s="261">
        <v>0</v>
      </c>
      <c r="F194" s="261">
        <v>0</v>
      </c>
      <c r="G194" s="261">
        <v>0</v>
      </c>
      <c r="H194" s="261">
        <v>0</v>
      </c>
      <c r="I194" s="261">
        <v>820280.67</v>
      </c>
      <c r="J194" s="261">
        <v>0</v>
      </c>
      <c r="K194" s="259">
        <v>0</v>
      </c>
      <c r="L194" s="261">
        <v>0</v>
      </c>
      <c r="M194" s="261">
        <v>0</v>
      </c>
      <c r="N194" s="261">
        <v>0</v>
      </c>
      <c r="O194" s="261">
        <v>0</v>
      </c>
      <c r="P194" s="261">
        <v>0</v>
      </c>
      <c r="Q194" s="261">
        <v>0</v>
      </c>
      <c r="R194" s="261">
        <v>0</v>
      </c>
      <c r="S194" s="261">
        <v>0</v>
      </c>
      <c r="T194" s="261">
        <v>0</v>
      </c>
      <c r="U194" s="261">
        <v>0</v>
      </c>
      <c r="V194" s="261">
        <v>0</v>
      </c>
      <c r="W194" s="261">
        <v>0</v>
      </c>
      <c r="X194" s="261">
        <v>0</v>
      </c>
      <c r="Y194" s="261">
        <v>0</v>
      </c>
      <c r="Z194" s="261">
        <v>0</v>
      </c>
      <c r="AA194" s="261">
        <v>0</v>
      </c>
      <c r="AB194" s="260">
        <v>2020</v>
      </c>
    </row>
    <row r="195" spans="1:28" s="6" customFormat="1" ht="35.25" customHeight="1" x14ac:dyDescent="0.5">
      <c r="A195" s="6">
        <v>1</v>
      </c>
      <c r="B195" s="225">
        <f>SUBTOTAL(103,$A$7:A195)</f>
        <v>187</v>
      </c>
      <c r="C195" s="263" t="s">
        <v>2342</v>
      </c>
      <c r="D195" s="255">
        <f t="shared" si="6"/>
        <v>6916836</v>
      </c>
      <c r="E195" s="261">
        <v>0</v>
      </c>
      <c r="F195" s="261">
        <v>0</v>
      </c>
      <c r="G195" s="261">
        <v>0</v>
      </c>
      <c r="H195" s="261">
        <v>1738372</v>
      </c>
      <c r="I195" s="261">
        <v>0</v>
      </c>
      <c r="J195" s="261">
        <v>0</v>
      </c>
      <c r="K195" s="259">
        <v>0</v>
      </c>
      <c r="L195" s="261">
        <v>0</v>
      </c>
      <c r="M195" s="261">
        <v>5178464</v>
      </c>
      <c r="N195" s="261">
        <v>0</v>
      </c>
      <c r="O195" s="261">
        <v>0</v>
      </c>
      <c r="P195" s="261">
        <v>0</v>
      </c>
      <c r="Q195" s="261">
        <v>0</v>
      </c>
      <c r="R195" s="261">
        <v>0</v>
      </c>
      <c r="S195" s="261">
        <v>0</v>
      </c>
      <c r="T195" s="261">
        <v>0</v>
      </c>
      <c r="U195" s="261">
        <v>0</v>
      </c>
      <c r="V195" s="261">
        <v>0</v>
      </c>
      <c r="W195" s="261">
        <v>0</v>
      </c>
      <c r="X195" s="261">
        <v>0</v>
      </c>
      <c r="Y195" s="261">
        <v>0</v>
      </c>
      <c r="Z195" s="261">
        <v>0</v>
      </c>
      <c r="AA195" s="261">
        <v>0</v>
      </c>
      <c r="AB195" s="260">
        <v>2020</v>
      </c>
    </row>
    <row r="196" spans="1:28" s="6" customFormat="1" ht="35.25" customHeight="1" x14ac:dyDescent="0.5">
      <c r="A196" s="6">
        <v>1</v>
      </c>
      <c r="B196" s="225">
        <f>SUBTOTAL(103,$A$7:A196)</f>
        <v>188</v>
      </c>
      <c r="C196" s="263" t="s">
        <v>2343</v>
      </c>
      <c r="D196" s="255">
        <f t="shared" si="6"/>
        <v>997903.56</v>
      </c>
      <c r="E196" s="261">
        <v>0</v>
      </c>
      <c r="F196" s="261">
        <v>0</v>
      </c>
      <c r="G196" s="261">
        <v>0</v>
      </c>
      <c r="H196" s="261">
        <v>0</v>
      </c>
      <c r="I196" s="261">
        <v>0</v>
      </c>
      <c r="J196" s="261">
        <v>0</v>
      </c>
      <c r="K196" s="259">
        <v>0</v>
      </c>
      <c r="L196" s="261">
        <v>0</v>
      </c>
      <c r="M196" s="261">
        <v>997903.56</v>
      </c>
      <c r="N196" s="261">
        <v>0</v>
      </c>
      <c r="O196" s="261">
        <v>0</v>
      </c>
      <c r="P196" s="261">
        <v>0</v>
      </c>
      <c r="Q196" s="261">
        <v>0</v>
      </c>
      <c r="R196" s="261">
        <v>0</v>
      </c>
      <c r="S196" s="261">
        <v>0</v>
      </c>
      <c r="T196" s="261">
        <v>0</v>
      </c>
      <c r="U196" s="261">
        <v>0</v>
      </c>
      <c r="V196" s="261">
        <v>0</v>
      </c>
      <c r="W196" s="261">
        <v>0</v>
      </c>
      <c r="X196" s="261">
        <v>0</v>
      </c>
      <c r="Y196" s="261">
        <v>0</v>
      </c>
      <c r="Z196" s="261">
        <v>0</v>
      </c>
      <c r="AA196" s="261">
        <v>0</v>
      </c>
      <c r="AB196" s="260">
        <v>2020</v>
      </c>
    </row>
    <row r="197" spans="1:28" s="6" customFormat="1" ht="35.25" customHeight="1" x14ac:dyDescent="0.5">
      <c r="A197" s="6">
        <v>1</v>
      </c>
      <c r="B197" s="225">
        <f>SUBTOTAL(103,$A$7:A197)</f>
        <v>189</v>
      </c>
      <c r="C197" s="263" t="s">
        <v>2344</v>
      </c>
      <c r="D197" s="255">
        <f t="shared" si="6"/>
        <v>192471</v>
      </c>
      <c r="E197" s="261">
        <v>0</v>
      </c>
      <c r="F197" s="261">
        <v>0</v>
      </c>
      <c r="G197" s="261">
        <v>0</v>
      </c>
      <c r="H197" s="261">
        <v>192471</v>
      </c>
      <c r="I197" s="261">
        <v>0</v>
      </c>
      <c r="J197" s="261">
        <v>0</v>
      </c>
      <c r="K197" s="259">
        <v>0</v>
      </c>
      <c r="L197" s="261">
        <v>0</v>
      </c>
      <c r="M197" s="261">
        <v>0</v>
      </c>
      <c r="N197" s="261">
        <v>0</v>
      </c>
      <c r="O197" s="261">
        <v>0</v>
      </c>
      <c r="P197" s="261">
        <v>0</v>
      </c>
      <c r="Q197" s="261">
        <v>0</v>
      </c>
      <c r="R197" s="261">
        <v>0</v>
      </c>
      <c r="S197" s="261">
        <v>0</v>
      </c>
      <c r="T197" s="261">
        <v>0</v>
      </c>
      <c r="U197" s="261">
        <v>0</v>
      </c>
      <c r="V197" s="261">
        <v>0</v>
      </c>
      <c r="W197" s="261">
        <v>0</v>
      </c>
      <c r="X197" s="261">
        <v>0</v>
      </c>
      <c r="Y197" s="261">
        <v>0</v>
      </c>
      <c r="Z197" s="261">
        <v>0</v>
      </c>
      <c r="AA197" s="261">
        <v>0</v>
      </c>
      <c r="AB197" s="260">
        <v>2020</v>
      </c>
    </row>
    <row r="198" spans="1:28" s="6" customFormat="1" ht="35.25" customHeight="1" x14ac:dyDescent="0.5">
      <c r="A198" s="6">
        <v>1</v>
      </c>
      <c r="B198" s="225">
        <f>SUBTOTAL(103,$A$7:A198)</f>
        <v>190</v>
      </c>
      <c r="C198" s="263" t="s">
        <v>2345</v>
      </c>
      <c r="D198" s="255">
        <f t="shared" si="6"/>
        <v>192603</v>
      </c>
      <c r="E198" s="261">
        <v>0</v>
      </c>
      <c r="F198" s="261">
        <v>192603</v>
      </c>
      <c r="G198" s="261">
        <v>0</v>
      </c>
      <c r="H198" s="261">
        <v>0</v>
      </c>
      <c r="I198" s="261">
        <v>0</v>
      </c>
      <c r="J198" s="261">
        <v>0</v>
      </c>
      <c r="K198" s="259">
        <v>0</v>
      </c>
      <c r="L198" s="261">
        <v>0</v>
      </c>
      <c r="M198" s="261">
        <v>0</v>
      </c>
      <c r="N198" s="261">
        <v>0</v>
      </c>
      <c r="O198" s="261">
        <v>0</v>
      </c>
      <c r="P198" s="261">
        <v>0</v>
      </c>
      <c r="Q198" s="261">
        <v>0</v>
      </c>
      <c r="R198" s="261">
        <v>0</v>
      </c>
      <c r="S198" s="261">
        <v>0</v>
      </c>
      <c r="T198" s="261">
        <v>0</v>
      </c>
      <c r="U198" s="261">
        <v>0</v>
      </c>
      <c r="V198" s="261">
        <v>0</v>
      </c>
      <c r="W198" s="261">
        <v>0</v>
      </c>
      <c r="X198" s="261">
        <v>0</v>
      </c>
      <c r="Y198" s="261">
        <v>0</v>
      </c>
      <c r="Z198" s="261">
        <v>0</v>
      </c>
      <c r="AA198" s="261">
        <v>0</v>
      </c>
      <c r="AB198" s="260">
        <v>2020</v>
      </c>
    </row>
    <row r="199" spans="1:28" s="6" customFormat="1" ht="35.25" customHeight="1" x14ac:dyDescent="0.5">
      <c r="A199" s="6">
        <v>1</v>
      </c>
      <c r="B199" s="225">
        <f>SUBTOTAL(103,$A$7:A199)</f>
        <v>191</v>
      </c>
      <c r="C199" s="263" t="s">
        <v>2346</v>
      </c>
      <c r="D199" s="255">
        <f t="shared" si="6"/>
        <v>1699103.6</v>
      </c>
      <c r="E199" s="261">
        <v>0</v>
      </c>
      <c r="F199" s="261">
        <v>0</v>
      </c>
      <c r="G199" s="261">
        <v>0</v>
      </c>
      <c r="H199" s="261">
        <v>0</v>
      </c>
      <c r="I199" s="261">
        <v>0</v>
      </c>
      <c r="J199" s="261">
        <v>0</v>
      </c>
      <c r="K199" s="259">
        <v>0</v>
      </c>
      <c r="L199" s="261">
        <v>0</v>
      </c>
      <c r="M199" s="261">
        <v>0</v>
      </c>
      <c r="N199" s="261">
        <v>0</v>
      </c>
      <c r="O199" s="261">
        <v>1699103.6</v>
      </c>
      <c r="P199" s="261">
        <v>0</v>
      </c>
      <c r="Q199" s="261">
        <v>0</v>
      </c>
      <c r="R199" s="261">
        <v>0</v>
      </c>
      <c r="S199" s="261">
        <v>0</v>
      </c>
      <c r="T199" s="261">
        <v>0</v>
      </c>
      <c r="U199" s="261">
        <v>0</v>
      </c>
      <c r="V199" s="261">
        <v>0</v>
      </c>
      <c r="W199" s="261">
        <v>0</v>
      </c>
      <c r="X199" s="261">
        <v>0</v>
      </c>
      <c r="Y199" s="261">
        <v>0</v>
      </c>
      <c r="Z199" s="261">
        <v>0</v>
      </c>
      <c r="AA199" s="261">
        <v>0</v>
      </c>
      <c r="AB199" s="260">
        <v>2020</v>
      </c>
    </row>
    <row r="200" spans="1:28" s="6" customFormat="1" ht="35.25" customHeight="1" x14ac:dyDescent="0.5">
      <c r="A200" s="6">
        <v>1</v>
      </c>
      <c r="B200" s="225">
        <f>SUBTOTAL(103,$A$7:A200)</f>
        <v>192</v>
      </c>
      <c r="C200" s="263" t="s">
        <v>2347</v>
      </c>
      <c r="D200" s="255">
        <f t="shared" si="6"/>
        <v>481751.74</v>
      </c>
      <c r="E200" s="261">
        <v>0</v>
      </c>
      <c r="F200" s="261">
        <v>0</v>
      </c>
      <c r="G200" s="261">
        <v>0</v>
      </c>
      <c r="H200" s="261">
        <v>0</v>
      </c>
      <c r="I200" s="261">
        <v>0</v>
      </c>
      <c r="J200" s="261">
        <v>0</v>
      </c>
      <c r="K200" s="259">
        <v>0</v>
      </c>
      <c r="L200" s="261">
        <v>0</v>
      </c>
      <c r="M200" s="261">
        <v>0</v>
      </c>
      <c r="N200" s="261">
        <v>0</v>
      </c>
      <c r="O200" s="261">
        <v>481751.74</v>
      </c>
      <c r="P200" s="261">
        <v>0</v>
      </c>
      <c r="Q200" s="261">
        <v>0</v>
      </c>
      <c r="R200" s="261">
        <v>0</v>
      </c>
      <c r="S200" s="261">
        <v>0</v>
      </c>
      <c r="T200" s="261">
        <v>0</v>
      </c>
      <c r="U200" s="261">
        <v>0</v>
      </c>
      <c r="V200" s="261">
        <v>0</v>
      </c>
      <c r="W200" s="261">
        <v>0</v>
      </c>
      <c r="X200" s="261">
        <v>0</v>
      </c>
      <c r="Y200" s="261">
        <v>0</v>
      </c>
      <c r="Z200" s="261">
        <v>0</v>
      </c>
      <c r="AA200" s="261">
        <v>0</v>
      </c>
      <c r="AB200" s="260">
        <v>2020</v>
      </c>
    </row>
    <row r="201" spans="1:28" s="6" customFormat="1" ht="35.25" customHeight="1" x14ac:dyDescent="0.5">
      <c r="A201" s="6">
        <v>1</v>
      </c>
      <c r="B201" s="225">
        <f>SUBTOTAL(103,$A$7:A201)</f>
        <v>193</v>
      </c>
      <c r="C201" s="263" t="s">
        <v>2348</v>
      </c>
      <c r="D201" s="255">
        <f t="shared" si="6"/>
        <v>342268</v>
      </c>
      <c r="E201" s="261">
        <v>0</v>
      </c>
      <c r="F201" s="261">
        <v>0</v>
      </c>
      <c r="G201" s="261">
        <v>0</v>
      </c>
      <c r="H201" s="261">
        <v>121521</v>
      </c>
      <c r="I201" s="261">
        <v>0</v>
      </c>
      <c r="J201" s="261">
        <v>0</v>
      </c>
      <c r="K201" s="259">
        <v>0</v>
      </c>
      <c r="L201" s="261">
        <v>0</v>
      </c>
      <c r="M201" s="261">
        <v>0</v>
      </c>
      <c r="N201" s="261">
        <v>0</v>
      </c>
      <c r="O201" s="261">
        <v>220747</v>
      </c>
      <c r="P201" s="261">
        <v>0</v>
      </c>
      <c r="Q201" s="261">
        <v>0</v>
      </c>
      <c r="R201" s="261">
        <v>0</v>
      </c>
      <c r="S201" s="261">
        <v>0</v>
      </c>
      <c r="T201" s="261">
        <v>0</v>
      </c>
      <c r="U201" s="261">
        <v>0</v>
      </c>
      <c r="V201" s="261">
        <v>0</v>
      </c>
      <c r="W201" s="261">
        <v>0</v>
      </c>
      <c r="X201" s="261">
        <v>0</v>
      </c>
      <c r="Y201" s="261">
        <v>0</v>
      </c>
      <c r="Z201" s="261">
        <v>0</v>
      </c>
      <c r="AA201" s="261">
        <v>0</v>
      </c>
      <c r="AB201" s="260">
        <v>2020</v>
      </c>
    </row>
    <row r="202" spans="1:28" s="6" customFormat="1" ht="35.25" customHeight="1" x14ac:dyDescent="0.5">
      <c r="A202" s="6">
        <v>1</v>
      </c>
      <c r="B202" s="225">
        <f>SUBTOTAL(103,$A$7:A202)</f>
        <v>194</v>
      </c>
      <c r="C202" s="263" t="s">
        <v>2349</v>
      </c>
      <c r="D202" s="255">
        <f t="shared" si="6"/>
        <v>1164297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59">
        <v>0</v>
      </c>
      <c r="L202" s="261">
        <v>0</v>
      </c>
      <c r="M202" s="261">
        <v>1164297</v>
      </c>
      <c r="N202" s="261">
        <v>0</v>
      </c>
      <c r="O202" s="261">
        <v>0</v>
      </c>
      <c r="P202" s="261">
        <v>0</v>
      </c>
      <c r="Q202" s="261">
        <v>0</v>
      </c>
      <c r="R202" s="261">
        <v>0</v>
      </c>
      <c r="S202" s="261">
        <v>0</v>
      </c>
      <c r="T202" s="261">
        <v>0</v>
      </c>
      <c r="U202" s="261">
        <v>0</v>
      </c>
      <c r="V202" s="261">
        <v>0</v>
      </c>
      <c r="W202" s="261">
        <v>0</v>
      </c>
      <c r="X202" s="261">
        <v>0</v>
      </c>
      <c r="Y202" s="261">
        <v>0</v>
      </c>
      <c r="Z202" s="261">
        <v>0</v>
      </c>
      <c r="AA202" s="261">
        <v>0</v>
      </c>
      <c r="AB202" s="260">
        <v>2020</v>
      </c>
    </row>
    <row r="203" spans="1:28" s="6" customFormat="1" ht="35.25" customHeight="1" x14ac:dyDescent="0.5">
      <c r="A203" s="6">
        <v>1</v>
      </c>
      <c r="B203" s="225">
        <f>SUBTOTAL(103,$A$7:A203)</f>
        <v>195</v>
      </c>
      <c r="C203" s="263" t="s">
        <v>2350</v>
      </c>
      <c r="D203" s="255">
        <f t="shared" si="6"/>
        <v>1111344</v>
      </c>
      <c r="E203" s="261">
        <v>0</v>
      </c>
      <c r="F203" s="261">
        <v>0</v>
      </c>
      <c r="G203" s="261">
        <v>0</v>
      </c>
      <c r="H203" s="261">
        <v>0</v>
      </c>
      <c r="I203" s="261">
        <v>0</v>
      </c>
      <c r="J203" s="261">
        <v>0</v>
      </c>
      <c r="K203" s="259">
        <v>0</v>
      </c>
      <c r="L203" s="261">
        <v>0</v>
      </c>
      <c r="M203" s="261">
        <v>0</v>
      </c>
      <c r="N203" s="261">
        <v>0</v>
      </c>
      <c r="O203" s="261">
        <v>1111344</v>
      </c>
      <c r="P203" s="261">
        <v>0</v>
      </c>
      <c r="Q203" s="261">
        <v>0</v>
      </c>
      <c r="R203" s="261">
        <v>0</v>
      </c>
      <c r="S203" s="261">
        <v>0</v>
      </c>
      <c r="T203" s="261">
        <v>0</v>
      </c>
      <c r="U203" s="261">
        <v>0</v>
      </c>
      <c r="V203" s="261">
        <v>0</v>
      </c>
      <c r="W203" s="261">
        <v>0</v>
      </c>
      <c r="X203" s="261">
        <v>0</v>
      </c>
      <c r="Y203" s="261">
        <v>0</v>
      </c>
      <c r="Z203" s="261">
        <v>0</v>
      </c>
      <c r="AA203" s="261">
        <v>0</v>
      </c>
      <c r="AB203" s="260">
        <v>2020</v>
      </c>
    </row>
    <row r="204" spans="1:28" s="6" customFormat="1" ht="35.25" customHeight="1" x14ac:dyDescent="0.5">
      <c r="A204" s="6">
        <v>1</v>
      </c>
      <c r="B204" s="225">
        <f>SUBTOTAL(103,$A$7:A204)</f>
        <v>196</v>
      </c>
      <c r="C204" s="263" t="s">
        <v>2351</v>
      </c>
      <c r="D204" s="255">
        <f t="shared" si="6"/>
        <v>73067</v>
      </c>
      <c r="E204" s="261">
        <v>0</v>
      </c>
      <c r="F204" s="261">
        <v>0</v>
      </c>
      <c r="G204" s="261">
        <v>0</v>
      </c>
      <c r="H204" s="261">
        <v>0</v>
      </c>
      <c r="I204" s="261">
        <v>0</v>
      </c>
      <c r="J204" s="261">
        <v>0</v>
      </c>
      <c r="K204" s="259">
        <v>1</v>
      </c>
      <c r="L204" s="261">
        <v>73067</v>
      </c>
      <c r="M204" s="261">
        <v>0</v>
      </c>
      <c r="N204" s="261">
        <v>0</v>
      </c>
      <c r="O204" s="261">
        <v>0</v>
      </c>
      <c r="P204" s="261">
        <v>0</v>
      </c>
      <c r="Q204" s="261">
        <v>0</v>
      </c>
      <c r="R204" s="261">
        <v>0</v>
      </c>
      <c r="S204" s="261">
        <v>0</v>
      </c>
      <c r="T204" s="261">
        <v>0</v>
      </c>
      <c r="U204" s="261">
        <v>0</v>
      </c>
      <c r="V204" s="261">
        <v>0</v>
      </c>
      <c r="W204" s="261">
        <v>0</v>
      </c>
      <c r="X204" s="261">
        <v>0</v>
      </c>
      <c r="Y204" s="261">
        <v>0</v>
      </c>
      <c r="Z204" s="261">
        <v>0</v>
      </c>
      <c r="AA204" s="261">
        <v>0</v>
      </c>
      <c r="AB204" s="260">
        <v>2020</v>
      </c>
    </row>
    <row r="205" spans="1:28" s="6" customFormat="1" ht="35.25" customHeight="1" x14ac:dyDescent="0.5">
      <c r="A205" s="6">
        <v>1</v>
      </c>
      <c r="B205" s="225">
        <f>SUBTOTAL(103,$A$7:A205)</f>
        <v>197</v>
      </c>
      <c r="C205" s="263" t="s">
        <v>2352</v>
      </c>
      <c r="D205" s="255">
        <f t="shared" si="6"/>
        <v>493124.1</v>
      </c>
      <c r="E205" s="261">
        <v>0</v>
      </c>
      <c r="F205" s="261">
        <v>0</v>
      </c>
      <c r="G205" s="261">
        <v>0</v>
      </c>
      <c r="H205" s="261">
        <v>0</v>
      </c>
      <c r="I205" s="261">
        <v>0</v>
      </c>
      <c r="J205" s="261">
        <v>0</v>
      </c>
      <c r="K205" s="259">
        <v>0</v>
      </c>
      <c r="L205" s="261">
        <v>0</v>
      </c>
      <c r="M205" s="261">
        <v>0</v>
      </c>
      <c r="N205" s="261">
        <v>0</v>
      </c>
      <c r="O205" s="261">
        <v>493124.1</v>
      </c>
      <c r="P205" s="261">
        <v>0</v>
      </c>
      <c r="Q205" s="261">
        <v>0</v>
      </c>
      <c r="R205" s="261">
        <v>0</v>
      </c>
      <c r="S205" s="261">
        <v>0</v>
      </c>
      <c r="T205" s="261">
        <v>0</v>
      </c>
      <c r="U205" s="261">
        <v>0</v>
      </c>
      <c r="V205" s="261">
        <v>0</v>
      </c>
      <c r="W205" s="261">
        <v>0</v>
      </c>
      <c r="X205" s="261">
        <v>0</v>
      </c>
      <c r="Y205" s="261">
        <v>0</v>
      </c>
      <c r="Z205" s="261">
        <v>0</v>
      </c>
      <c r="AA205" s="261">
        <v>0</v>
      </c>
      <c r="AB205" s="260">
        <v>2020</v>
      </c>
    </row>
    <row r="206" spans="1:28" s="6" customFormat="1" ht="35.25" customHeight="1" x14ac:dyDescent="0.5">
      <c r="A206" s="6">
        <v>1</v>
      </c>
      <c r="B206" s="225">
        <f>SUBTOTAL(103,$A$7:A206)</f>
        <v>198</v>
      </c>
      <c r="C206" s="263" t="s">
        <v>2353</v>
      </c>
      <c r="D206" s="255">
        <f t="shared" si="6"/>
        <v>636988.72</v>
      </c>
      <c r="E206" s="261">
        <v>0</v>
      </c>
      <c r="F206" s="261">
        <v>0</v>
      </c>
      <c r="G206" s="261">
        <v>636988.72</v>
      </c>
      <c r="H206" s="261">
        <v>0</v>
      </c>
      <c r="I206" s="261">
        <v>0</v>
      </c>
      <c r="J206" s="261">
        <v>0</v>
      </c>
      <c r="K206" s="259">
        <v>0</v>
      </c>
      <c r="L206" s="261">
        <v>0</v>
      </c>
      <c r="M206" s="261">
        <v>0</v>
      </c>
      <c r="N206" s="261">
        <v>0</v>
      </c>
      <c r="O206" s="261">
        <v>0</v>
      </c>
      <c r="P206" s="261">
        <v>0</v>
      </c>
      <c r="Q206" s="261">
        <v>0</v>
      </c>
      <c r="R206" s="261">
        <v>0</v>
      </c>
      <c r="S206" s="261">
        <v>0</v>
      </c>
      <c r="T206" s="261">
        <v>0</v>
      </c>
      <c r="U206" s="261">
        <v>0</v>
      </c>
      <c r="V206" s="261">
        <v>0</v>
      </c>
      <c r="W206" s="261">
        <v>0</v>
      </c>
      <c r="X206" s="261">
        <v>0</v>
      </c>
      <c r="Y206" s="261">
        <v>0</v>
      </c>
      <c r="Z206" s="261">
        <v>0</v>
      </c>
      <c r="AA206" s="261">
        <v>0</v>
      </c>
      <c r="AB206" s="260">
        <v>2020</v>
      </c>
    </row>
    <row r="207" spans="1:28" s="6" customFormat="1" ht="35.25" customHeight="1" x14ac:dyDescent="0.5">
      <c r="A207" s="6">
        <v>1</v>
      </c>
      <c r="B207" s="225">
        <f>SUBTOTAL(103,$A$7:A207)</f>
        <v>199</v>
      </c>
      <c r="C207" s="263" t="s">
        <v>2354</v>
      </c>
      <c r="D207" s="255">
        <f t="shared" si="6"/>
        <v>663910</v>
      </c>
      <c r="E207" s="261">
        <v>0</v>
      </c>
      <c r="F207" s="261">
        <v>0</v>
      </c>
      <c r="G207" s="261">
        <v>0</v>
      </c>
      <c r="H207" s="261">
        <v>0</v>
      </c>
      <c r="I207" s="261">
        <v>650000</v>
      </c>
      <c r="J207" s="261">
        <v>0</v>
      </c>
      <c r="K207" s="259">
        <v>0</v>
      </c>
      <c r="L207" s="261">
        <v>0</v>
      </c>
      <c r="M207" s="261">
        <v>0</v>
      </c>
      <c r="N207" s="261">
        <v>0</v>
      </c>
      <c r="O207" s="261">
        <v>0</v>
      </c>
      <c r="P207" s="261">
        <v>0</v>
      </c>
      <c r="Q207" s="261">
        <v>0</v>
      </c>
      <c r="R207" s="261">
        <v>0</v>
      </c>
      <c r="S207" s="261">
        <v>0</v>
      </c>
      <c r="T207" s="261">
        <v>0</v>
      </c>
      <c r="U207" s="261">
        <v>0</v>
      </c>
      <c r="V207" s="261">
        <v>0</v>
      </c>
      <c r="W207" s="261">
        <v>0</v>
      </c>
      <c r="X207" s="261">
        <v>0</v>
      </c>
      <c r="Y207" s="261">
        <v>13910</v>
      </c>
      <c r="Z207" s="261">
        <v>0</v>
      </c>
      <c r="AA207" s="261">
        <v>0</v>
      </c>
      <c r="AB207" s="260">
        <v>2020</v>
      </c>
    </row>
    <row r="208" spans="1:28" s="6" customFormat="1" ht="35.25" customHeight="1" x14ac:dyDescent="0.5">
      <c r="A208" s="6">
        <v>1</v>
      </c>
      <c r="B208" s="225">
        <f>SUBTOTAL(103,$A$7:A208)</f>
        <v>200</v>
      </c>
      <c r="C208" s="263" t="s">
        <v>2355</v>
      </c>
      <c r="D208" s="255">
        <f t="shared" si="6"/>
        <v>265705</v>
      </c>
      <c r="E208" s="261">
        <v>0</v>
      </c>
      <c r="F208" s="261">
        <v>0</v>
      </c>
      <c r="G208" s="261">
        <v>0</v>
      </c>
      <c r="H208" s="261">
        <v>0</v>
      </c>
      <c r="I208" s="261">
        <v>0</v>
      </c>
      <c r="J208" s="261">
        <v>0</v>
      </c>
      <c r="K208" s="259">
        <v>0</v>
      </c>
      <c r="L208" s="261">
        <v>0</v>
      </c>
      <c r="M208" s="261">
        <v>0</v>
      </c>
      <c r="N208" s="261">
        <v>69848</v>
      </c>
      <c r="O208" s="261">
        <v>195857</v>
      </c>
      <c r="P208" s="261">
        <v>0</v>
      </c>
      <c r="Q208" s="261">
        <v>0</v>
      </c>
      <c r="R208" s="261">
        <v>0</v>
      </c>
      <c r="S208" s="261">
        <v>0</v>
      </c>
      <c r="T208" s="261">
        <v>0</v>
      </c>
      <c r="U208" s="261">
        <v>0</v>
      </c>
      <c r="V208" s="261">
        <v>0</v>
      </c>
      <c r="W208" s="261">
        <v>0</v>
      </c>
      <c r="X208" s="261">
        <v>0</v>
      </c>
      <c r="Y208" s="261">
        <v>0</v>
      </c>
      <c r="Z208" s="261">
        <v>0</v>
      </c>
      <c r="AA208" s="261">
        <v>0</v>
      </c>
      <c r="AB208" s="260">
        <v>2020</v>
      </c>
    </row>
    <row r="209" spans="1:28" s="6" customFormat="1" ht="35.25" customHeight="1" x14ac:dyDescent="0.5">
      <c r="A209" s="6">
        <v>1</v>
      </c>
      <c r="B209" s="225">
        <f>SUBTOTAL(103,$A$7:A209)</f>
        <v>201</v>
      </c>
      <c r="C209" s="263" t="s">
        <v>2356</v>
      </c>
      <c r="D209" s="255">
        <f t="shared" si="6"/>
        <v>873135</v>
      </c>
      <c r="E209" s="261">
        <v>0</v>
      </c>
      <c r="F209" s="261">
        <v>0</v>
      </c>
      <c r="G209" s="261">
        <v>0</v>
      </c>
      <c r="H209" s="261">
        <v>0</v>
      </c>
      <c r="I209" s="261">
        <v>0</v>
      </c>
      <c r="J209" s="261">
        <v>0</v>
      </c>
      <c r="K209" s="259">
        <v>0</v>
      </c>
      <c r="L209" s="261">
        <v>0</v>
      </c>
      <c r="M209" s="261">
        <v>873135</v>
      </c>
      <c r="N209" s="261">
        <v>0</v>
      </c>
      <c r="O209" s="261">
        <v>0</v>
      </c>
      <c r="P209" s="261">
        <v>0</v>
      </c>
      <c r="Q209" s="261">
        <v>0</v>
      </c>
      <c r="R209" s="261">
        <v>0</v>
      </c>
      <c r="S209" s="261">
        <v>0</v>
      </c>
      <c r="T209" s="261">
        <v>0</v>
      </c>
      <c r="U209" s="261">
        <v>0</v>
      </c>
      <c r="V209" s="261">
        <v>0</v>
      </c>
      <c r="W209" s="261">
        <v>0</v>
      </c>
      <c r="X209" s="261">
        <v>0</v>
      </c>
      <c r="Y209" s="261">
        <v>0</v>
      </c>
      <c r="Z209" s="261">
        <v>0</v>
      </c>
      <c r="AA209" s="261">
        <v>0</v>
      </c>
      <c r="AB209" s="260">
        <v>2020</v>
      </c>
    </row>
    <row r="210" spans="1:28" s="6" customFormat="1" ht="35.25" customHeight="1" x14ac:dyDescent="0.5">
      <c r="A210" s="6">
        <v>1</v>
      </c>
      <c r="B210" s="225">
        <f>SUBTOTAL(103,$A$7:A210)</f>
        <v>202</v>
      </c>
      <c r="C210" s="263" t="s">
        <v>2357</v>
      </c>
      <c r="D210" s="255">
        <f t="shared" si="6"/>
        <v>450000</v>
      </c>
      <c r="E210" s="261">
        <v>0</v>
      </c>
      <c r="F210" s="261">
        <v>0</v>
      </c>
      <c r="G210" s="261">
        <v>450000</v>
      </c>
      <c r="H210" s="261">
        <v>0</v>
      </c>
      <c r="I210" s="261">
        <v>0</v>
      </c>
      <c r="J210" s="261">
        <v>0</v>
      </c>
      <c r="K210" s="259">
        <v>0</v>
      </c>
      <c r="L210" s="261">
        <v>0</v>
      </c>
      <c r="M210" s="261">
        <v>0</v>
      </c>
      <c r="N210" s="261">
        <v>0</v>
      </c>
      <c r="O210" s="261">
        <v>0</v>
      </c>
      <c r="P210" s="261">
        <v>0</v>
      </c>
      <c r="Q210" s="261">
        <v>0</v>
      </c>
      <c r="R210" s="261">
        <v>0</v>
      </c>
      <c r="S210" s="261">
        <v>0</v>
      </c>
      <c r="T210" s="261">
        <v>0</v>
      </c>
      <c r="U210" s="261">
        <v>0</v>
      </c>
      <c r="V210" s="261">
        <v>0</v>
      </c>
      <c r="W210" s="261">
        <v>0</v>
      </c>
      <c r="X210" s="261">
        <v>0</v>
      </c>
      <c r="Y210" s="261">
        <v>0</v>
      </c>
      <c r="Z210" s="261">
        <v>0</v>
      </c>
      <c r="AA210" s="261">
        <v>0</v>
      </c>
      <c r="AB210" s="260">
        <v>2020</v>
      </c>
    </row>
    <row r="211" spans="1:28" s="6" customFormat="1" ht="35.25" customHeight="1" x14ac:dyDescent="0.5">
      <c r="A211" s="6">
        <v>1</v>
      </c>
      <c r="B211" s="225">
        <f>SUBTOTAL(103,$A$7:A211)</f>
        <v>203</v>
      </c>
      <c r="C211" s="263" t="s">
        <v>2358</v>
      </c>
      <c r="D211" s="255">
        <f t="shared" si="6"/>
        <v>761914.32000000007</v>
      </c>
      <c r="E211" s="261">
        <v>300000</v>
      </c>
      <c r="F211" s="261">
        <v>461914.32</v>
      </c>
      <c r="G211" s="261">
        <v>0</v>
      </c>
      <c r="H211" s="261">
        <v>0</v>
      </c>
      <c r="I211" s="261">
        <v>0</v>
      </c>
      <c r="J211" s="261">
        <v>0</v>
      </c>
      <c r="K211" s="259">
        <v>0</v>
      </c>
      <c r="L211" s="261">
        <v>0</v>
      </c>
      <c r="M211" s="261">
        <v>0</v>
      </c>
      <c r="N211" s="261">
        <v>0</v>
      </c>
      <c r="O211" s="261">
        <v>0</v>
      </c>
      <c r="P211" s="261">
        <v>0</v>
      </c>
      <c r="Q211" s="261">
        <v>0</v>
      </c>
      <c r="R211" s="261">
        <v>0</v>
      </c>
      <c r="S211" s="261">
        <v>0</v>
      </c>
      <c r="T211" s="261">
        <v>0</v>
      </c>
      <c r="U211" s="261">
        <v>0</v>
      </c>
      <c r="V211" s="261">
        <v>0</v>
      </c>
      <c r="W211" s="261">
        <v>0</v>
      </c>
      <c r="X211" s="261">
        <v>0</v>
      </c>
      <c r="Y211" s="261">
        <v>0</v>
      </c>
      <c r="Z211" s="261">
        <v>0</v>
      </c>
      <c r="AA211" s="261">
        <v>0</v>
      </c>
      <c r="AB211" s="260">
        <v>2020</v>
      </c>
    </row>
    <row r="212" spans="1:28" s="6" customFormat="1" ht="35.25" customHeight="1" x14ac:dyDescent="0.5">
      <c r="A212" s="6">
        <v>1</v>
      </c>
      <c r="B212" s="225">
        <f>SUBTOTAL(103,$A$7:A212)</f>
        <v>204</v>
      </c>
      <c r="C212" s="263" t="s">
        <v>2359</v>
      </c>
      <c r="D212" s="255">
        <f t="shared" si="6"/>
        <v>3177311.76</v>
      </c>
      <c r="E212" s="261">
        <v>237230.25</v>
      </c>
      <c r="F212" s="261">
        <v>1850000</v>
      </c>
      <c r="G212" s="261">
        <v>1024754.21</v>
      </c>
      <c r="H212" s="261">
        <v>0</v>
      </c>
      <c r="I212" s="261">
        <v>65327.3</v>
      </c>
      <c r="J212" s="261">
        <v>0</v>
      </c>
      <c r="K212" s="259">
        <v>0</v>
      </c>
      <c r="L212" s="261">
        <v>0</v>
      </c>
      <c r="M212" s="261">
        <v>0</v>
      </c>
      <c r="N212" s="261">
        <v>0</v>
      </c>
      <c r="O212" s="261">
        <v>0</v>
      </c>
      <c r="P212" s="261">
        <v>0</v>
      </c>
      <c r="Q212" s="261">
        <v>0</v>
      </c>
      <c r="R212" s="261">
        <v>0</v>
      </c>
      <c r="S212" s="261">
        <v>0</v>
      </c>
      <c r="T212" s="261">
        <v>0</v>
      </c>
      <c r="U212" s="261">
        <v>0</v>
      </c>
      <c r="V212" s="261">
        <v>0</v>
      </c>
      <c r="W212" s="261">
        <v>0</v>
      </c>
      <c r="X212" s="261">
        <v>0</v>
      </c>
      <c r="Y212" s="261">
        <v>0</v>
      </c>
      <c r="Z212" s="261">
        <v>0</v>
      </c>
      <c r="AA212" s="261">
        <v>0</v>
      </c>
      <c r="AB212" s="260">
        <v>2020</v>
      </c>
    </row>
    <row r="213" spans="1:28" s="6" customFormat="1" ht="35.25" customHeight="1" x14ac:dyDescent="0.5">
      <c r="A213" s="6">
        <v>1</v>
      </c>
      <c r="B213" s="225">
        <f>SUBTOTAL(103,$A$7:A213)</f>
        <v>205</v>
      </c>
      <c r="C213" s="263" t="s">
        <v>2360</v>
      </c>
      <c r="D213" s="255">
        <f t="shared" si="6"/>
        <v>1380740</v>
      </c>
      <c r="E213" s="261">
        <v>0</v>
      </c>
      <c r="F213" s="261">
        <v>0</v>
      </c>
      <c r="G213" s="261">
        <v>1380740</v>
      </c>
      <c r="H213" s="261">
        <v>0</v>
      </c>
      <c r="I213" s="261">
        <v>0</v>
      </c>
      <c r="J213" s="261">
        <v>0</v>
      </c>
      <c r="K213" s="259">
        <v>0</v>
      </c>
      <c r="L213" s="261">
        <v>0</v>
      </c>
      <c r="M213" s="261">
        <v>0</v>
      </c>
      <c r="N213" s="261">
        <v>0</v>
      </c>
      <c r="O213" s="261">
        <v>0</v>
      </c>
      <c r="P213" s="261">
        <v>0</v>
      </c>
      <c r="Q213" s="261">
        <v>0</v>
      </c>
      <c r="R213" s="261">
        <v>0</v>
      </c>
      <c r="S213" s="261">
        <v>0</v>
      </c>
      <c r="T213" s="261">
        <v>0</v>
      </c>
      <c r="U213" s="261">
        <v>0</v>
      </c>
      <c r="V213" s="261">
        <v>0</v>
      </c>
      <c r="W213" s="261">
        <v>0</v>
      </c>
      <c r="X213" s="261">
        <v>0</v>
      </c>
      <c r="Y213" s="261">
        <v>0</v>
      </c>
      <c r="Z213" s="261">
        <v>0</v>
      </c>
      <c r="AA213" s="261">
        <v>0</v>
      </c>
      <c r="AB213" s="260">
        <v>2020</v>
      </c>
    </row>
    <row r="214" spans="1:28" s="6" customFormat="1" ht="35.25" customHeight="1" x14ac:dyDescent="0.5">
      <c r="A214" s="6">
        <v>1</v>
      </c>
      <c r="B214" s="225">
        <f>SUBTOTAL(103,$A$7:A214)</f>
        <v>206</v>
      </c>
      <c r="C214" s="263" t="s">
        <v>2361</v>
      </c>
      <c r="D214" s="255">
        <f t="shared" si="6"/>
        <v>513090.3</v>
      </c>
      <c r="E214" s="261">
        <v>0</v>
      </c>
      <c r="F214" s="261">
        <v>513090.3</v>
      </c>
      <c r="G214" s="261">
        <v>0</v>
      </c>
      <c r="H214" s="261">
        <v>0</v>
      </c>
      <c r="I214" s="261">
        <v>0</v>
      </c>
      <c r="J214" s="261">
        <v>0</v>
      </c>
      <c r="K214" s="259">
        <v>0</v>
      </c>
      <c r="L214" s="261">
        <v>0</v>
      </c>
      <c r="M214" s="261">
        <v>0</v>
      </c>
      <c r="N214" s="261">
        <v>0</v>
      </c>
      <c r="O214" s="261">
        <v>0</v>
      </c>
      <c r="P214" s="261">
        <v>0</v>
      </c>
      <c r="Q214" s="261">
        <v>0</v>
      </c>
      <c r="R214" s="261">
        <v>0</v>
      </c>
      <c r="S214" s="261">
        <v>0</v>
      </c>
      <c r="T214" s="261">
        <v>0</v>
      </c>
      <c r="U214" s="261">
        <v>0</v>
      </c>
      <c r="V214" s="261">
        <v>0</v>
      </c>
      <c r="W214" s="261">
        <v>0</v>
      </c>
      <c r="X214" s="261">
        <v>0</v>
      </c>
      <c r="Y214" s="261">
        <v>0</v>
      </c>
      <c r="Z214" s="261">
        <v>0</v>
      </c>
      <c r="AA214" s="261">
        <v>0</v>
      </c>
      <c r="AB214" s="260">
        <v>2020</v>
      </c>
    </row>
    <row r="215" spans="1:28" s="6" customFormat="1" ht="35.25" customHeight="1" x14ac:dyDescent="0.5">
      <c r="A215" s="6">
        <v>1</v>
      </c>
      <c r="B215" s="225">
        <f>SUBTOTAL(103,$A$7:A215)</f>
        <v>207</v>
      </c>
      <c r="C215" s="263" t="s">
        <v>2362</v>
      </c>
      <c r="D215" s="255">
        <f t="shared" si="6"/>
        <v>1821751.04</v>
      </c>
      <c r="E215" s="261">
        <v>0</v>
      </c>
      <c r="F215" s="261">
        <v>0</v>
      </c>
      <c r="G215" s="261">
        <v>0</v>
      </c>
      <c r="H215" s="261">
        <v>0</v>
      </c>
      <c r="I215" s="261">
        <v>643366.04</v>
      </c>
      <c r="J215" s="261">
        <v>0</v>
      </c>
      <c r="K215" s="259">
        <v>0</v>
      </c>
      <c r="L215" s="261">
        <v>0</v>
      </c>
      <c r="M215" s="261">
        <v>0</v>
      </c>
      <c r="N215" s="261">
        <v>0</v>
      </c>
      <c r="O215" s="261">
        <v>1178385</v>
      </c>
      <c r="P215" s="261">
        <v>0</v>
      </c>
      <c r="Q215" s="261">
        <v>0</v>
      </c>
      <c r="R215" s="261">
        <v>0</v>
      </c>
      <c r="S215" s="261">
        <v>0</v>
      </c>
      <c r="T215" s="261">
        <v>0</v>
      </c>
      <c r="U215" s="261">
        <v>0</v>
      </c>
      <c r="V215" s="261">
        <v>0</v>
      </c>
      <c r="W215" s="261">
        <v>0</v>
      </c>
      <c r="X215" s="261">
        <v>0</v>
      </c>
      <c r="Y215" s="261">
        <v>0</v>
      </c>
      <c r="Z215" s="261">
        <v>0</v>
      </c>
      <c r="AA215" s="261">
        <v>0</v>
      </c>
      <c r="AB215" s="260">
        <v>2020</v>
      </c>
    </row>
    <row r="216" spans="1:28" s="6" customFormat="1" ht="35.25" customHeight="1" x14ac:dyDescent="0.5">
      <c r="A216" s="6">
        <v>1</v>
      </c>
      <c r="B216" s="225">
        <f>SUBTOTAL(103,$A$7:A216)</f>
        <v>208</v>
      </c>
      <c r="C216" s="263" t="s">
        <v>2363</v>
      </c>
      <c r="D216" s="255">
        <f t="shared" si="6"/>
        <v>1885350</v>
      </c>
      <c r="E216" s="261">
        <v>0</v>
      </c>
      <c r="F216" s="261">
        <v>0</v>
      </c>
      <c r="G216" s="261">
        <v>0</v>
      </c>
      <c r="H216" s="261">
        <v>0</v>
      </c>
      <c r="I216" s="261">
        <v>0</v>
      </c>
      <c r="J216" s="261">
        <v>0</v>
      </c>
      <c r="K216" s="259">
        <v>0</v>
      </c>
      <c r="L216" s="261">
        <v>0</v>
      </c>
      <c r="M216" s="261">
        <v>1885350</v>
      </c>
      <c r="N216" s="261">
        <v>0</v>
      </c>
      <c r="O216" s="261">
        <v>0</v>
      </c>
      <c r="P216" s="261">
        <v>0</v>
      </c>
      <c r="Q216" s="261">
        <v>0</v>
      </c>
      <c r="R216" s="261">
        <v>0</v>
      </c>
      <c r="S216" s="261">
        <v>0</v>
      </c>
      <c r="T216" s="261">
        <v>0</v>
      </c>
      <c r="U216" s="261">
        <v>0</v>
      </c>
      <c r="V216" s="261">
        <v>0</v>
      </c>
      <c r="W216" s="261">
        <v>0</v>
      </c>
      <c r="X216" s="261">
        <v>0</v>
      </c>
      <c r="Y216" s="261">
        <v>0</v>
      </c>
      <c r="Z216" s="261">
        <v>0</v>
      </c>
      <c r="AA216" s="261">
        <v>0</v>
      </c>
      <c r="AB216" s="260">
        <v>2020</v>
      </c>
    </row>
    <row r="217" spans="1:28" s="6" customFormat="1" ht="35.25" customHeight="1" x14ac:dyDescent="0.5">
      <c r="A217" s="6">
        <v>1</v>
      </c>
      <c r="B217" s="225">
        <f>SUBTOTAL(103,$A$7:A217)</f>
        <v>209</v>
      </c>
      <c r="C217" s="263" t="s">
        <v>2364</v>
      </c>
      <c r="D217" s="255">
        <f t="shared" si="6"/>
        <v>2377338</v>
      </c>
      <c r="E217" s="261">
        <v>0</v>
      </c>
      <c r="F217" s="261">
        <v>0</v>
      </c>
      <c r="G217" s="261">
        <v>0</v>
      </c>
      <c r="H217" s="261">
        <v>0</v>
      </c>
      <c r="I217" s="261">
        <v>0</v>
      </c>
      <c r="J217" s="261">
        <v>0</v>
      </c>
      <c r="K217" s="259">
        <v>0</v>
      </c>
      <c r="L217" s="261">
        <v>0</v>
      </c>
      <c r="M217" s="261">
        <v>2377338</v>
      </c>
      <c r="N217" s="261">
        <v>0</v>
      </c>
      <c r="O217" s="261">
        <v>0</v>
      </c>
      <c r="P217" s="261">
        <v>0</v>
      </c>
      <c r="Q217" s="261">
        <v>0</v>
      </c>
      <c r="R217" s="261">
        <v>0</v>
      </c>
      <c r="S217" s="261">
        <v>0</v>
      </c>
      <c r="T217" s="261">
        <v>0</v>
      </c>
      <c r="U217" s="261">
        <v>0</v>
      </c>
      <c r="V217" s="261">
        <v>0</v>
      </c>
      <c r="W217" s="261">
        <v>0</v>
      </c>
      <c r="X217" s="261">
        <v>0</v>
      </c>
      <c r="Y217" s="261">
        <v>0</v>
      </c>
      <c r="Z217" s="261">
        <v>0</v>
      </c>
      <c r="AA217" s="261">
        <v>0</v>
      </c>
      <c r="AB217" s="260">
        <v>2020</v>
      </c>
    </row>
    <row r="218" spans="1:28" s="6" customFormat="1" ht="35.25" customHeight="1" x14ac:dyDescent="0.5">
      <c r="A218" s="6">
        <v>1</v>
      </c>
      <c r="B218" s="225">
        <f>SUBTOTAL(103,$A$7:A218)</f>
        <v>210</v>
      </c>
      <c r="C218" s="263" t="s">
        <v>2365</v>
      </c>
      <c r="D218" s="255">
        <f t="shared" si="6"/>
        <v>1858100</v>
      </c>
      <c r="E218" s="261">
        <v>0</v>
      </c>
      <c r="F218" s="261">
        <v>0</v>
      </c>
      <c r="G218" s="261">
        <v>0</v>
      </c>
      <c r="H218" s="261">
        <v>0</v>
      </c>
      <c r="I218" s="261">
        <v>0</v>
      </c>
      <c r="J218" s="261">
        <v>0</v>
      </c>
      <c r="K218" s="259">
        <v>0</v>
      </c>
      <c r="L218" s="261">
        <v>0</v>
      </c>
      <c r="M218" s="261">
        <v>1858100</v>
      </c>
      <c r="N218" s="261">
        <v>0</v>
      </c>
      <c r="O218" s="261">
        <v>0</v>
      </c>
      <c r="P218" s="261">
        <v>0</v>
      </c>
      <c r="Q218" s="261">
        <v>0</v>
      </c>
      <c r="R218" s="261">
        <v>0</v>
      </c>
      <c r="S218" s="261">
        <v>0</v>
      </c>
      <c r="T218" s="261">
        <v>0</v>
      </c>
      <c r="U218" s="261">
        <v>0</v>
      </c>
      <c r="V218" s="261">
        <v>0</v>
      </c>
      <c r="W218" s="261">
        <v>0</v>
      </c>
      <c r="X218" s="261">
        <v>0</v>
      </c>
      <c r="Y218" s="261">
        <v>0</v>
      </c>
      <c r="Z218" s="261">
        <v>0</v>
      </c>
      <c r="AA218" s="261">
        <v>0</v>
      </c>
      <c r="AB218" s="260">
        <v>2020</v>
      </c>
    </row>
    <row r="219" spans="1:28" s="6" customFormat="1" ht="35.25" customHeight="1" x14ac:dyDescent="0.5">
      <c r="A219" s="6">
        <v>1</v>
      </c>
      <c r="B219" s="225">
        <f>SUBTOTAL(103,$A$7:A219)</f>
        <v>211</v>
      </c>
      <c r="C219" s="263" t="s">
        <v>2366</v>
      </c>
      <c r="D219" s="255">
        <f t="shared" si="6"/>
        <v>296650.3</v>
      </c>
      <c r="E219" s="261">
        <v>0</v>
      </c>
      <c r="F219" s="261">
        <v>0</v>
      </c>
      <c r="G219" s="261">
        <v>0</v>
      </c>
      <c r="H219" s="261">
        <v>0</v>
      </c>
      <c r="I219" s="261">
        <v>0</v>
      </c>
      <c r="J219" s="261">
        <v>0</v>
      </c>
      <c r="K219" s="259">
        <v>0</v>
      </c>
      <c r="L219" s="261">
        <v>0</v>
      </c>
      <c r="M219" s="261">
        <v>0</v>
      </c>
      <c r="N219" s="261">
        <v>0</v>
      </c>
      <c r="O219" s="261">
        <v>296650.3</v>
      </c>
      <c r="P219" s="261">
        <v>0</v>
      </c>
      <c r="Q219" s="261">
        <v>0</v>
      </c>
      <c r="R219" s="261">
        <v>0</v>
      </c>
      <c r="S219" s="261">
        <v>0</v>
      </c>
      <c r="T219" s="261">
        <v>0</v>
      </c>
      <c r="U219" s="261">
        <v>0</v>
      </c>
      <c r="V219" s="261">
        <v>0</v>
      </c>
      <c r="W219" s="261">
        <v>0</v>
      </c>
      <c r="X219" s="261">
        <v>0</v>
      </c>
      <c r="Y219" s="261">
        <v>0</v>
      </c>
      <c r="Z219" s="261">
        <v>0</v>
      </c>
      <c r="AA219" s="261">
        <v>0</v>
      </c>
      <c r="AB219" s="260">
        <v>2020</v>
      </c>
    </row>
    <row r="220" spans="1:28" s="6" customFormat="1" ht="35.25" customHeight="1" x14ac:dyDescent="0.5">
      <c r="A220" s="6">
        <v>1</v>
      </c>
      <c r="B220" s="225">
        <f>SUBTOTAL(103,$A$7:A220)</f>
        <v>212</v>
      </c>
      <c r="C220" s="263" t="s">
        <v>2367</v>
      </c>
      <c r="D220" s="255">
        <f t="shared" si="6"/>
        <v>487005</v>
      </c>
      <c r="E220" s="261">
        <v>0</v>
      </c>
      <c r="F220" s="261">
        <v>0</v>
      </c>
      <c r="G220" s="261">
        <v>0</v>
      </c>
      <c r="H220" s="261">
        <v>487005</v>
      </c>
      <c r="I220" s="261">
        <v>0</v>
      </c>
      <c r="J220" s="261">
        <v>0</v>
      </c>
      <c r="K220" s="259">
        <v>0</v>
      </c>
      <c r="L220" s="261">
        <v>0</v>
      </c>
      <c r="M220" s="261">
        <v>0</v>
      </c>
      <c r="N220" s="261">
        <v>0</v>
      </c>
      <c r="O220" s="261">
        <v>0</v>
      </c>
      <c r="P220" s="261">
        <v>0</v>
      </c>
      <c r="Q220" s="261">
        <v>0</v>
      </c>
      <c r="R220" s="261">
        <v>0</v>
      </c>
      <c r="S220" s="261">
        <v>0</v>
      </c>
      <c r="T220" s="261">
        <v>0</v>
      </c>
      <c r="U220" s="261">
        <v>0</v>
      </c>
      <c r="V220" s="261">
        <v>0</v>
      </c>
      <c r="W220" s="261">
        <v>0</v>
      </c>
      <c r="X220" s="261">
        <v>0</v>
      </c>
      <c r="Y220" s="261">
        <v>0</v>
      </c>
      <c r="Z220" s="261">
        <v>0</v>
      </c>
      <c r="AA220" s="261">
        <v>0</v>
      </c>
      <c r="AB220" s="260">
        <v>2020</v>
      </c>
    </row>
    <row r="221" spans="1:28" s="6" customFormat="1" ht="35.25" customHeight="1" x14ac:dyDescent="0.5">
      <c r="A221" s="6">
        <v>1</v>
      </c>
      <c r="B221" s="225">
        <f>SUBTOTAL(103,$A$7:A221)</f>
        <v>213</v>
      </c>
      <c r="C221" s="263" t="s">
        <v>2368</v>
      </c>
      <c r="D221" s="255">
        <f t="shared" si="6"/>
        <v>397000</v>
      </c>
      <c r="E221" s="261">
        <v>0</v>
      </c>
      <c r="F221" s="261">
        <v>397000</v>
      </c>
      <c r="G221" s="261">
        <v>0</v>
      </c>
      <c r="H221" s="261">
        <v>0</v>
      </c>
      <c r="I221" s="261">
        <v>0</v>
      </c>
      <c r="J221" s="261">
        <v>0</v>
      </c>
      <c r="K221" s="259">
        <v>0</v>
      </c>
      <c r="L221" s="261">
        <v>0</v>
      </c>
      <c r="M221" s="261">
        <v>0</v>
      </c>
      <c r="N221" s="261">
        <v>0</v>
      </c>
      <c r="O221" s="261">
        <v>0</v>
      </c>
      <c r="P221" s="261">
        <v>0</v>
      </c>
      <c r="Q221" s="261">
        <v>0</v>
      </c>
      <c r="R221" s="261">
        <v>0</v>
      </c>
      <c r="S221" s="261">
        <v>0</v>
      </c>
      <c r="T221" s="261">
        <v>0</v>
      </c>
      <c r="U221" s="261">
        <v>0</v>
      </c>
      <c r="V221" s="261">
        <v>0</v>
      </c>
      <c r="W221" s="261">
        <v>0</v>
      </c>
      <c r="X221" s="261">
        <v>0</v>
      </c>
      <c r="Y221" s="261">
        <v>0</v>
      </c>
      <c r="Z221" s="261">
        <v>0</v>
      </c>
      <c r="AA221" s="261">
        <v>0</v>
      </c>
      <c r="AB221" s="260">
        <v>2020</v>
      </c>
    </row>
    <row r="222" spans="1:28" s="6" customFormat="1" ht="35.25" customHeight="1" x14ac:dyDescent="0.5">
      <c r="A222" s="6">
        <v>1</v>
      </c>
      <c r="B222" s="225">
        <f>SUBTOTAL(103,$A$7:A222)</f>
        <v>214</v>
      </c>
      <c r="C222" s="263" t="s">
        <v>2369</v>
      </c>
      <c r="D222" s="255">
        <f t="shared" si="6"/>
        <v>311046</v>
      </c>
      <c r="E222" s="261">
        <v>0</v>
      </c>
      <c r="F222" s="261">
        <v>0</v>
      </c>
      <c r="G222" s="261">
        <v>0</v>
      </c>
      <c r="H222" s="261">
        <v>0</v>
      </c>
      <c r="I222" s="261">
        <v>0</v>
      </c>
      <c r="J222" s="261">
        <v>0</v>
      </c>
      <c r="K222" s="259">
        <v>0</v>
      </c>
      <c r="L222" s="261">
        <v>0</v>
      </c>
      <c r="M222" s="261">
        <v>0</v>
      </c>
      <c r="N222" s="261">
        <v>0</v>
      </c>
      <c r="O222" s="261">
        <v>311046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261">
        <v>0</v>
      </c>
      <c r="Z222" s="261">
        <v>0</v>
      </c>
      <c r="AA222" s="261">
        <v>0</v>
      </c>
      <c r="AB222" s="260">
        <v>2020</v>
      </c>
    </row>
    <row r="223" spans="1:28" s="6" customFormat="1" ht="35.25" customHeight="1" x14ac:dyDescent="0.5">
      <c r="A223" s="6">
        <v>1</v>
      </c>
      <c r="B223" s="225">
        <f>SUBTOTAL(103,$A$7:A223)</f>
        <v>215</v>
      </c>
      <c r="C223" s="263" t="s">
        <v>2370</v>
      </c>
      <c r="D223" s="255">
        <f t="shared" si="6"/>
        <v>1196427.08</v>
      </c>
      <c r="E223" s="261">
        <v>200000</v>
      </c>
      <c r="F223" s="261">
        <v>296352.34999999998</v>
      </c>
      <c r="G223" s="261">
        <v>0</v>
      </c>
      <c r="H223" s="261">
        <v>61507.85</v>
      </c>
      <c r="I223" s="261">
        <v>0</v>
      </c>
      <c r="J223" s="261">
        <v>0</v>
      </c>
      <c r="K223" s="259">
        <v>0</v>
      </c>
      <c r="L223" s="261">
        <v>0</v>
      </c>
      <c r="M223" s="261">
        <v>0</v>
      </c>
      <c r="N223" s="261">
        <v>0</v>
      </c>
      <c r="O223" s="261">
        <v>638566.88</v>
      </c>
      <c r="P223" s="261">
        <v>0</v>
      </c>
      <c r="Q223" s="261">
        <v>0</v>
      </c>
      <c r="R223" s="261">
        <v>0</v>
      </c>
      <c r="S223" s="261">
        <v>0</v>
      </c>
      <c r="T223" s="261">
        <v>0</v>
      </c>
      <c r="U223" s="261">
        <v>0</v>
      </c>
      <c r="V223" s="261">
        <v>0</v>
      </c>
      <c r="W223" s="261">
        <v>0</v>
      </c>
      <c r="X223" s="261">
        <v>0</v>
      </c>
      <c r="Y223" s="261">
        <v>0</v>
      </c>
      <c r="Z223" s="261">
        <v>0</v>
      </c>
      <c r="AA223" s="261">
        <v>0</v>
      </c>
      <c r="AB223" s="260">
        <v>2020</v>
      </c>
    </row>
    <row r="224" spans="1:28" s="6" customFormat="1" ht="35.25" customHeight="1" x14ac:dyDescent="0.5">
      <c r="A224" s="6">
        <v>1</v>
      </c>
      <c r="B224" s="225">
        <f>SUBTOTAL(103,$A$7:A224)</f>
        <v>216</v>
      </c>
      <c r="C224" s="263" t="s">
        <v>2371</v>
      </c>
      <c r="D224" s="255">
        <f t="shared" si="6"/>
        <v>1800000</v>
      </c>
      <c r="E224" s="261">
        <v>0</v>
      </c>
      <c r="F224" s="261">
        <v>0</v>
      </c>
      <c r="G224" s="261">
        <v>0</v>
      </c>
      <c r="H224" s="261">
        <v>0</v>
      </c>
      <c r="I224" s="261">
        <v>0</v>
      </c>
      <c r="J224" s="261">
        <v>0</v>
      </c>
      <c r="K224" s="259">
        <v>1</v>
      </c>
      <c r="L224" s="261">
        <v>1800000</v>
      </c>
      <c r="M224" s="261">
        <v>0</v>
      </c>
      <c r="N224" s="261">
        <v>0</v>
      </c>
      <c r="O224" s="261">
        <v>0</v>
      </c>
      <c r="P224" s="261">
        <v>0</v>
      </c>
      <c r="Q224" s="261">
        <v>0</v>
      </c>
      <c r="R224" s="261">
        <v>0</v>
      </c>
      <c r="S224" s="261">
        <v>0</v>
      </c>
      <c r="T224" s="261">
        <v>0</v>
      </c>
      <c r="U224" s="261">
        <v>0</v>
      </c>
      <c r="V224" s="261">
        <v>0</v>
      </c>
      <c r="W224" s="261">
        <v>0</v>
      </c>
      <c r="X224" s="261">
        <v>0</v>
      </c>
      <c r="Y224" s="261">
        <v>0</v>
      </c>
      <c r="Z224" s="261">
        <v>0</v>
      </c>
      <c r="AA224" s="261">
        <v>0</v>
      </c>
      <c r="AB224" s="260">
        <v>2020</v>
      </c>
    </row>
    <row r="225" spans="1:28" s="6" customFormat="1" ht="35.25" customHeight="1" x14ac:dyDescent="0.5">
      <c r="B225" s="253" t="s">
        <v>815</v>
      </c>
      <c r="C225" s="254"/>
      <c r="D225" s="255">
        <f t="shared" ref="D225:AA225" si="7">SUM(D226:D240)</f>
        <v>9806055.8399999999</v>
      </c>
      <c r="E225" s="255">
        <f t="shared" si="7"/>
        <v>467041.56000000006</v>
      </c>
      <c r="F225" s="255">
        <f t="shared" si="7"/>
        <v>0</v>
      </c>
      <c r="G225" s="255">
        <f t="shared" si="7"/>
        <v>0</v>
      </c>
      <c r="H225" s="255">
        <f t="shared" si="7"/>
        <v>0</v>
      </c>
      <c r="I225" s="255">
        <f t="shared" si="7"/>
        <v>0</v>
      </c>
      <c r="J225" s="255">
        <f t="shared" si="7"/>
        <v>0</v>
      </c>
      <c r="K225" s="259">
        <f t="shared" si="7"/>
        <v>0</v>
      </c>
      <c r="L225" s="255">
        <f t="shared" si="7"/>
        <v>0</v>
      </c>
      <c r="M225" s="255">
        <f t="shared" si="7"/>
        <v>8238613.7299999995</v>
      </c>
      <c r="N225" s="255">
        <f t="shared" si="7"/>
        <v>0</v>
      </c>
      <c r="O225" s="255">
        <f t="shared" si="7"/>
        <v>1100400.55</v>
      </c>
      <c r="P225" s="255">
        <f t="shared" si="7"/>
        <v>0</v>
      </c>
      <c r="Q225" s="255">
        <f t="shared" si="7"/>
        <v>0</v>
      </c>
      <c r="R225" s="255">
        <f t="shared" si="7"/>
        <v>0</v>
      </c>
      <c r="S225" s="255">
        <f t="shared" si="7"/>
        <v>0</v>
      </c>
      <c r="T225" s="255">
        <f t="shared" si="7"/>
        <v>0</v>
      </c>
      <c r="U225" s="255">
        <f t="shared" si="7"/>
        <v>0</v>
      </c>
      <c r="V225" s="255">
        <f t="shared" si="7"/>
        <v>0</v>
      </c>
      <c r="W225" s="255">
        <f t="shared" si="7"/>
        <v>0</v>
      </c>
      <c r="X225" s="255">
        <f t="shared" si="7"/>
        <v>0</v>
      </c>
      <c r="Y225" s="255">
        <f t="shared" si="7"/>
        <v>0</v>
      </c>
      <c r="Z225" s="255">
        <f t="shared" si="7"/>
        <v>0</v>
      </c>
      <c r="AA225" s="255">
        <f t="shared" si="7"/>
        <v>0</v>
      </c>
      <c r="AB225" s="256" t="s">
        <v>890</v>
      </c>
    </row>
    <row r="226" spans="1:28" s="6" customFormat="1" ht="35.25" customHeight="1" x14ac:dyDescent="0.5">
      <c r="A226" s="6">
        <v>1</v>
      </c>
      <c r="B226" s="225">
        <f>SUBTOTAL(103,$A$7:A226)</f>
        <v>217</v>
      </c>
      <c r="C226" s="254" t="s">
        <v>2057</v>
      </c>
      <c r="D226" s="255">
        <f>E226+F226+G226+H226+I226+J226+L226+M226+N226+O226+P226+Q226+R226+S226+T226+U226+V226+W226+X226+Y226+Z226+AA226</f>
        <v>795195</v>
      </c>
      <c r="E226" s="258">
        <v>0</v>
      </c>
      <c r="F226" s="258">
        <v>0</v>
      </c>
      <c r="G226" s="258">
        <v>0</v>
      </c>
      <c r="H226" s="258">
        <v>0</v>
      </c>
      <c r="I226" s="258">
        <v>0</v>
      </c>
      <c r="J226" s="258">
        <v>0</v>
      </c>
      <c r="K226" s="259">
        <v>0</v>
      </c>
      <c r="L226" s="258">
        <v>0</v>
      </c>
      <c r="M226" s="258">
        <v>795195</v>
      </c>
      <c r="N226" s="258">
        <v>0</v>
      </c>
      <c r="O226" s="258">
        <v>0</v>
      </c>
      <c r="P226" s="258">
        <v>0</v>
      </c>
      <c r="Q226" s="258">
        <v>0</v>
      </c>
      <c r="R226" s="258">
        <v>0</v>
      </c>
      <c r="S226" s="258">
        <v>0</v>
      </c>
      <c r="T226" s="258">
        <v>0</v>
      </c>
      <c r="U226" s="258">
        <v>0</v>
      </c>
      <c r="V226" s="258">
        <v>0</v>
      </c>
      <c r="W226" s="258">
        <v>0</v>
      </c>
      <c r="X226" s="258">
        <v>0</v>
      </c>
      <c r="Y226" s="258">
        <v>0</v>
      </c>
      <c r="Z226" s="258">
        <v>0</v>
      </c>
      <c r="AA226" s="258">
        <v>0</v>
      </c>
      <c r="AB226" s="260">
        <v>2020</v>
      </c>
    </row>
    <row r="227" spans="1:28" s="6" customFormat="1" ht="35.25" customHeight="1" x14ac:dyDescent="0.5">
      <c r="A227" s="6">
        <v>1</v>
      </c>
      <c r="B227" s="225">
        <f>SUBTOTAL(103,$A$7:A227)</f>
        <v>218</v>
      </c>
      <c r="C227" s="254" t="s">
        <v>2058</v>
      </c>
      <c r="D227" s="255">
        <f>E227+F227+G227+H227+I227+J227+L227+M227+N227+O227+P227+Q227+R227+S227+T227+U227+V227+W227+X227+Y227+Z227+AA227</f>
        <v>1098000</v>
      </c>
      <c r="E227" s="258">
        <v>0</v>
      </c>
      <c r="F227" s="258">
        <v>0</v>
      </c>
      <c r="G227" s="258">
        <v>0</v>
      </c>
      <c r="H227" s="258">
        <v>0</v>
      </c>
      <c r="I227" s="258">
        <v>0</v>
      </c>
      <c r="J227" s="258">
        <v>0</v>
      </c>
      <c r="K227" s="259">
        <v>0</v>
      </c>
      <c r="L227" s="258">
        <v>0</v>
      </c>
      <c r="M227" s="258">
        <v>1098000</v>
      </c>
      <c r="N227" s="258">
        <v>0</v>
      </c>
      <c r="O227" s="258">
        <v>0</v>
      </c>
      <c r="P227" s="258">
        <v>0</v>
      </c>
      <c r="Q227" s="258">
        <v>0</v>
      </c>
      <c r="R227" s="258">
        <v>0</v>
      </c>
      <c r="S227" s="258">
        <v>0</v>
      </c>
      <c r="T227" s="258">
        <v>0</v>
      </c>
      <c r="U227" s="258">
        <v>0</v>
      </c>
      <c r="V227" s="258">
        <v>0</v>
      </c>
      <c r="W227" s="258">
        <v>0</v>
      </c>
      <c r="X227" s="258">
        <v>0</v>
      </c>
      <c r="Y227" s="258">
        <v>0</v>
      </c>
      <c r="Z227" s="258">
        <v>0</v>
      </c>
      <c r="AA227" s="258">
        <v>0</v>
      </c>
      <c r="AB227" s="260">
        <v>2020</v>
      </c>
    </row>
    <row r="228" spans="1:28" s="6" customFormat="1" ht="35.25" customHeight="1" x14ac:dyDescent="0.5">
      <c r="A228" s="6">
        <v>1</v>
      </c>
      <c r="B228" s="225">
        <f>SUBTOTAL(103,$A$7:A228)</f>
        <v>219</v>
      </c>
      <c r="C228" s="254" t="s">
        <v>2059</v>
      </c>
      <c r="D228" s="255">
        <f t="shared" ref="D228:D239" si="8">E228+F228+G228+H228+I228+J228+L228+M228+N228+O228+P228+Q228+R228+S228+T228+U228+V228+W228+X228+Y228+Z228+AA228</f>
        <v>200000</v>
      </c>
      <c r="E228" s="258">
        <v>0</v>
      </c>
      <c r="F228" s="258">
        <v>0</v>
      </c>
      <c r="G228" s="258">
        <v>0</v>
      </c>
      <c r="H228" s="258">
        <v>0</v>
      </c>
      <c r="I228" s="258">
        <v>0</v>
      </c>
      <c r="J228" s="258">
        <v>0</v>
      </c>
      <c r="K228" s="259">
        <v>0</v>
      </c>
      <c r="L228" s="258">
        <v>0</v>
      </c>
      <c r="M228" s="258">
        <v>200000</v>
      </c>
      <c r="N228" s="258">
        <v>0</v>
      </c>
      <c r="O228" s="258">
        <v>0</v>
      </c>
      <c r="P228" s="258">
        <v>0</v>
      </c>
      <c r="Q228" s="258">
        <v>0</v>
      </c>
      <c r="R228" s="258">
        <v>0</v>
      </c>
      <c r="S228" s="258">
        <v>0</v>
      </c>
      <c r="T228" s="258">
        <v>0</v>
      </c>
      <c r="U228" s="258">
        <v>0</v>
      </c>
      <c r="V228" s="258">
        <v>0</v>
      </c>
      <c r="W228" s="258">
        <v>0</v>
      </c>
      <c r="X228" s="258">
        <v>0</v>
      </c>
      <c r="Y228" s="258">
        <v>0</v>
      </c>
      <c r="Z228" s="258">
        <v>0</v>
      </c>
      <c r="AA228" s="258">
        <v>0</v>
      </c>
      <c r="AB228" s="260">
        <v>2020</v>
      </c>
    </row>
    <row r="229" spans="1:28" s="6" customFormat="1" ht="35.25" customHeight="1" x14ac:dyDescent="0.5">
      <c r="A229" s="6">
        <v>1</v>
      </c>
      <c r="B229" s="225">
        <f>SUBTOTAL(103,$A$7:A229)</f>
        <v>220</v>
      </c>
      <c r="C229" s="254" t="s">
        <v>2060</v>
      </c>
      <c r="D229" s="255">
        <f t="shared" si="8"/>
        <v>61367.98</v>
      </c>
      <c r="E229" s="258">
        <v>0</v>
      </c>
      <c r="F229" s="258">
        <v>0</v>
      </c>
      <c r="G229" s="258">
        <v>0</v>
      </c>
      <c r="H229" s="258">
        <v>0</v>
      </c>
      <c r="I229" s="258">
        <v>0</v>
      </c>
      <c r="J229" s="258">
        <v>0</v>
      </c>
      <c r="K229" s="259">
        <v>0</v>
      </c>
      <c r="L229" s="258">
        <v>0</v>
      </c>
      <c r="M229" s="258">
        <v>0</v>
      </c>
      <c r="N229" s="258">
        <v>0</v>
      </c>
      <c r="O229" s="258">
        <v>61367.98</v>
      </c>
      <c r="P229" s="258">
        <v>0</v>
      </c>
      <c r="Q229" s="258">
        <v>0</v>
      </c>
      <c r="R229" s="258">
        <v>0</v>
      </c>
      <c r="S229" s="258">
        <v>0</v>
      </c>
      <c r="T229" s="258">
        <v>0</v>
      </c>
      <c r="U229" s="258">
        <v>0</v>
      </c>
      <c r="V229" s="258">
        <v>0</v>
      </c>
      <c r="W229" s="258">
        <v>0</v>
      </c>
      <c r="X229" s="258">
        <v>0</v>
      </c>
      <c r="Y229" s="258">
        <v>0</v>
      </c>
      <c r="Z229" s="258">
        <v>0</v>
      </c>
      <c r="AA229" s="258">
        <v>0</v>
      </c>
      <c r="AB229" s="260">
        <v>2020</v>
      </c>
    </row>
    <row r="230" spans="1:28" s="6" customFormat="1" ht="35.25" customHeight="1" x14ac:dyDescent="0.5">
      <c r="A230" s="6">
        <v>1</v>
      </c>
      <c r="B230" s="225">
        <f>SUBTOTAL(103,$A$7:A230)</f>
        <v>221</v>
      </c>
      <c r="C230" s="254" t="s">
        <v>2061</v>
      </c>
      <c r="D230" s="255">
        <f t="shared" si="8"/>
        <v>1400026</v>
      </c>
      <c r="E230" s="258">
        <v>0</v>
      </c>
      <c r="F230" s="258">
        <v>0</v>
      </c>
      <c r="G230" s="258">
        <v>0</v>
      </c>
      <c r="H230" s="258">
        <v>0</v>
      </c>
      <c r="I230" s="258">
        <v>0</v>
      </c>
      <c r="J230" s="258">
        <v>0</v>
      </c>
      <c r="K230" s="259">
        <v>0</v>
      </c>
      <c r="L230" s="258">
        <v>0</v>
      </c>
      <c r="M230" s="258">
        <v>1400026</v>
      </c>
      <c r="N230" s="258">
        <v>0</v>
      </c>
      <c r="O230" s="258">
        <v>0</v>
      </c>
      <c r="P230" s="258">
        <v>0</v>
      </c>
      <c r="Q230" s="258">
        <v>0</v>
      </c>
      <c r="R230" s="258">
        <v>0</v>
      </c>
      <c r="S230" s="258">
        <v>0</v>
      </c>
      <c r="T230" s="258">
        <v>0</v>
      </c>
      <c r="U230" s="258">
        <v>0</v>
      </c>
      <c r="V230" s="258">
        <v>0</v>
      </c>
      <c r="W230" s="258">
        <v>0</v>
      </c>
      <c r="X230" s="258">
        <v>0</v>
      </c>
      <c r="Y230" s="258">
        <v>0</v>
      </c>
      <c r="Z230" s="258">
        <v>0</v>
      </c>
      <c r="AA230" s="258">
        <v>0</v>
      </c>
      <c r="AB230" s="260">
        <v>2020</v>
      </c>
    </row>
    <row r="231" spans="1:28" s="6" customFormat="1" ht="35.25" customHeight="1" x14ac:dyDescent="0.5">
      <c r="A231" s="6">
        <v>1</v>
      </c>
      <c r="B231" s="225">
        <f>SUBTOTAL(103,$A$7:A231)</f>
        <v>222</v>
      </c>
      <c r="C231" s="254" t="s">
        <v>2062</v>
      </c>
      <c r="D231" s="255">
        <f t="shared" si="8"/>
        <v>337102.5</v>
      </c>
      <c r="E231" s="258">
        <v>0</v>
      </c>
      <c r="F231" s="258">
        <v>0</v>
      </c>
      <c r="G231" s="258">
        <v>0</v>
      </c>
      <c r="H231" s="258">
        <v>0</v>
      </c>
      <c r="I231" s="258">
        <v>0</v>
      </c>
      <c r="J231" s="258">
        <v>0</v>
      </c>
      <c r="K231" s="259">
        <v>0</v>
      </c>
      <c r="L231" s="258">
        <v>0</v>
      </c>
      <c r="M231" s="258">
        <v>0</v>
      </c>
      <c r="N231" s="258">
        <v>0</v>
      </c>
      <c r="O231" s="258">
        <v>337102.5</v>
      </c>
      <c r="P231" s="258">
        <v>0</v>
      </c>
      <c r="Q231" s="258">
        <v>0</v>
      </c>
      <c r="R231" s="258">
        <v>0</v>
      </c>
      <c r="S231" s="258">
        <v>0</v>
      </c>
      <c r="T231" s="258">
        <v>0</v>
      </c>
      <c r="U231" s="258">
        <v>0</v>
      </c>
      <c r="V231" s="258">
        <v>0</v>
      </c>
      <c r="W231" s="258">
        <v>0</v>
      </c>
      <c r="X231" s="258">
        <v>0</v>
      </c>
      <c r="Y231" s="258">
        <v>0</v>
      </c>
      <c r="Z231" s="258">
        <v>0</v>
      </c>
      <c r="AA231" s="258">
        <v>0</v>
      </c>
      <c r="AB231" s="260">
        <v>2020</v>
      </c>
    </row>
    <row r="232" spans="1:28" s="6" customFormat="1" ht="35.25" customHeight="1" x14ac:dyDescent="0.5">
      <c r="A232" s="6">
        <v>1</v>
      </c>
      <c r="B232" s="225">
        <f>SUBTOTAL(103,$A$7:A232)</f>
        <v>223</v>
      </c>
      <c r="C232" s="254" t="s">
        <v>2063</v>
      </c>
      <c r="D232" s="255">
        <f t="shared" si="8"/>
        <v>116978.6</v>
      </c>
      <c r="E232" s="258">
        <v>0</v>
      </c>
      <c r="F232" s="258">
        <v>0</v>
      </c>
      <c r="G232" s="258">
        <v>0</v>
      </c>
      <c r="H232" s="258">
        <v>0</v>
      </c>
      <c r="I232" s="258">
        <v>0</v>
      </c>
      <c r="J232" s="258">
        <v>0</v>
      </c>
      <c r="K232" s="259">
        <v>0</v>
      </c>
      <c r="L232" s="258">
        <v>0</v>
      </c>
      <c r="M232" s="258">
        <v>0</v>
      </c>
      <c r="N232" s="258">
        <v>0</v>
      </c>
      <c r="O232" s="258">
        <v>116978.6</v>
      </c>
      <c r="P232" s="258">
        <v>0</v>
      </c>
      <c r="Q232" s="258">
        <v>0</v>
      </c>
      <c r="R232" s="258">
        <v>0</v>
      </c>
      <c r="S232" s="258">
        <v>0</v>
      </c>
      <c r="T232" s="258">
        <v>0</v>
      </c>
      <c r="U232" s="258">
        <v>0</v>
      </c>
      <c r="V232" s="258">
        <v>0</v>
      </c>
      <c r="W232" s="258">
        <v>0</v>
      </c>
      <c r="X232" s="258">
        <v>0</v>
      </c>
      <c r="Y232" s="258">
        <v>0</v>
      </c>
      <c r="Z232" s="258">
        <v>0</v>
      </c>
      <c r="AA232" s="258">
        <v>0</v>
      </c>
      <c r="AB232" s="260">
        <v>2020</v>
      </c>
    </row>
    <row r="233" spans="1:28" s="6" customFormat="1" ht="35.25" customHeight="1" x14ac:dyDescent="0.5">
      <c r="A233" s="6">
        <v>1</v>
      </c>
      <c r="B233" s="225">
        <f>SUBTOTAL(103,$A$7:A233)</f>
        <v>224</v>
      </c>
      <c r="C233" s="254" t="s">
        <v>2064</v>
      </c>
      <c r="D233" s="255">
        <f t="shared" si="8"/>
        <v>1743260</v>
      </c>
      <c r="E233" s="258">
        <v>0</v>
      </c>
      <c r="F233" s="258">
        <v>0</v>
      </c>
      <c r="G233" s="258">
        <v>0</v>
      </c>
      <c r="H233" s="258">
        <v>0</v>
      </c>
      <c r="I233" s="258">
        <v>0</v>
      </c>
      <c r="J233" s="258">
        <v>0</v>
      </c>
      <c r="K233" s="259">
        <v>0</v>
      </c>
      <c r="L233" s="258">
        <v>0</v>
      </c>
      <c r="M233" s="258">
        <v>1743260</v>
      </c>
      <c r="N233" s="258">
        <v>0</v>
      </c>
      <c r="O233" s="258">
        <v>0</v>
      </c>
      <c r="P233" s="258">
        <v>0</v>
      </c>
      <c r="Q233" s="258">
        <v>0</v>
      </c>
      <c r="R233" s="258">
        <v>0</v>
      </c>
      <c r="S233" s="258">
        <v>0</v>
      </c>
      <c r="T233" s="258">
        <v>0</v>
      </c>
      <c r="U233" s="258">
        <v>0</v>
      </c>
      <c r="V233" s="258">
        <v>0</v>
      </c>
      <c r="W233" s="258">
        <v>0</v>
      </c>
      <c r="X233" s="258">
        <v>0</v>
      </c>
      <c r="Y233" s="258">
        <v>0</v>
      </c>
      <c r="Z233" s="258">
        <v>0</v>
      </c>
      <c r="AA233" s="258">
        <v>0</v>
      </c>
      <c r="AB233" s="260">
        <v>2020</v>
      </c>
    </row>
    <row r="234" spans="1:28" s="6" customFormat="1" ht="35.25" customHeight="1" x14ac:dyDescent="0.5">
      <c r="A234" s="6">
        <v>1</v>
      </c>
      <c r="B234" s="225">
        <f>SUBTOTAL(103,$A$7:A234)</f>
        <v>225</v>
      </c>
      <c r="C234" s="254" t="s">
        <v>2065</v>
      </c>
      <c r="D234" s="255">
        <f t="shared" si="8"/>
        <v>443151.81</v>
      </c>
      <c r="E234" s="258">
        <v>0</v>
      </c>
      <c r="F234" s="258">
        <v>0</v>
      </c>
      <c r="G234" s="258">
        <v>0</v>
      </c>
      <c r="H234" s="258">
        <v>0</v>
      </c>
      <c r="I234" s="258">
        <v>0</v>
      </c>
      <c r="J234" s="258">
        <v>0</v>
      </c>
      <c r="K234" s="259">
        <v>0</v>
      </c>
      <c r="L234" s="258">
        <v>0</v>
      </c>
      <c r="M234" s="258">
        <v>443151.81</v>
      </c>
      <c r="N234" s="258">
        <v>0</v>
      </c>
      <c r="O234" s="258">
        <v>0</v>
      </c>
      <c r="P234" s="258">
        <v>0</v>
      </c>
      <c r="Q234" s="258">
        <v>0</v>
      </c>
      <c r="R234" s="258">
        <v>0</v>
      </c>
      <c r="S234" s="258">
        <v>0</v>
      </c>
      <c r="T234" s="258">
        <v>0</v>
      </c>
      <c r="U234" s="258">
        <v>0</v>
      </c>
      <c r="V234" s="258">
        <v>0</v>
      </c>
      <c r="W234" s="258">
        <v>0</v>
      </c>
      <c r="X234" s="258">
        <v>0</v>
      </c>
      <c r="Y234" s="258">
        <v>0</v>
      </c>
      <c r="Z234" s="258">
        <v>0</v>
      </c>
      <c r="AA234" s="258">
        <v>0</v>
      </c>
      <c r="AB234" s="260">
        <v>2020</v>
      </c>
    </row>
    <row r="235" spans="1:28" s="6" customFormat="1" ht="35.25" customHeight="1" x14ac:dyDescent="0.5">
      <c r="A235" s="6">
        <v>1</v>
      </c>
      <c r="B235" s="225">
        <f>SUBTOTAL(103,$A$7:A235)</f>
        <v>226</v>
      </c>
      <c r="C235" s="254" t="s">
        <v>2066</v>
      </c>
      <c r="D235" s="255">
        <f t="shared" si="8"/>
        <v>234011.67</v>
      </c>
      <c r="E235" s="258">
        <v>0</v>
      </c>
      <c r="F235" s="258">
        <v>0</v>
      </c>
      <c r="G235" s="258">
        <v>0</v>
      </c>
      <c r="H235" s="258">
        <v>0</v>
      </c>
      <c r="I235" s="258">
        <v>0</v>
      </c>
      <c r="J235" s="258">
        <v>0</v>
      </c>
      <c r="K235" s="259">
        <v>0</v>
      </c>
      <c r="L235" s="258">
        <v>0</v>
      </c>
      <c r="M235" s="258">
        <v>0</v>
      </c>
      <c r="N235" s="258">
        <v>0</v>
      </c>
      <c r="O235" s="258">
        <v>234011.67</v>
      </c>
      <c r="P235" s="258">
        <v>0</v>
      </c>
      <c r="Q235" s="258">
        <v>0</v>
      </c>
      <c r="R235" s="258">
        <v>0</v>
      </c>
      <c r="S235" s="258">
        <v>0</v>
      </c>
      <c r="T235" s="258">
        <v>0</v>
      </c>
      <c r="U235" s="258">
        <v>0</v>
      </c>
      <c r="V235" s="258">
        <v>0</v>
      </c>
      <c r="W235" s="258">
        <v>0</v>
      </c>
      <c r="X235" s="258">
        <v>0</v>
      </c>
      <c r="Y235" s="258">
        <v>0</v>
      </c>
      <c r="Z235" s="258">
        <v>0</v>
      </c>
      <c r="AA235" s="258">
        <v>0</v>
      </c>
      <c r="AB235" s="260">
        <v>2020</v>
      </c>
    </row>
    <row r="236" spans="1:28" s="6" customFormat="1" ht="35.25" customHeight="1" x14ac:dyDescent="0.5">
      <c r="A236" s="6">
        <v>1</v>
      </c>
      <c r="B236" s="225">
        <f>SUBTOTAL(103,$A$7:A236)</f>
        <v>227</v>
      </c>
      <c r="C236" s="254" t="s">
        <v>2067</v>
      </c>
      <c r="D236" s="255">
        <f t="shared" si="8"/>
        <v>257497.1</v>
      </c>
      <c r="E236" s="258">
        <v>0</v>
      </c>
      <c r="F236" s="258">
        <v>0</v>
      </c>
      <c r="G236" s="258">
        <v>0</v>
      </c>
      <c r="H236" s="258">
        <v>0</v>
      </c>
      <c r="I236" s="258">
        <v>0</v>
      </c>
      <c r="J236" s="258">
        <v>0</v>
      </c>
      <c r="K236" s="259">
        <v>0</v>
      </c>
      <c r="L236" s="258">
        <v>0</v>
      </c>
      <c r="M236" s="258">
        <v>0</v>
      </c>
      <c r="N236" s="258">
        <v>0</v>
      </c>
      <c r="O236" s="258">
        <v>257497.1</v>
      </c>
      <c r="P236" s="258">
        <v>0</v>
      </c>
      <c r="Q236" s="258">
        <v>0</v>
      </c>
      <c r="R236" s="258">
        <v>0</v>
      </c>
      <c r="S236" s="258">
        <v>0</v>
      </c>
      <c r="T236" s="258">
        <v>0</v>
      </c>
      <c r="U236" s="258">
        <v>0</v>
      </c>
      <c r="V236" s="258">
        <v>0</v>
      </c>
      <c r="W236" s="258">
        <v>0</v>
      </c>
      <c r="X236" s="258">
        <v>0</v>
      </c>
      <c r="Y236" s="258">
        <v>0</v>
      </c>
      <c r="Z236" s="258">
        <v>0</v>
      </c>
      <c r="AA236" s="258">
        <v>0</v>
      </c>
      <c r="AB236" s="260">
        <v>2020</v>
      </c>
    </row>
    <row r="237" spans="1:28" s="6" customFormat="1" ht="35.25" customHeight="1" x14ac:dyDescent="0.5">
      <c r="A237" s="6">
        <v>1</v>
      </c>
      <c r="B237" s="225">
        <f>SUBTOTAL(103,$A$7:A237)</f>
        <v>228</v>
      </c>
      <c r="C237" s="254" t="s">
        <v>2068</v>
      </c>
      <c r="D237" s="255">
        <f t="shared" si="8"/>
        <v>654544.92000000004</v>
      </c>
      <c r="E237" s="258">
        <v>0</v>
      </c>
      <c r="F237" s="258">
        <v>0</v>
      </c>
      <c r="G237" s="258">
        <v>0</v>
      </c>
      <c r="H237" s="258">
        <v>0</v>
      </c>
      <c r="I237" s="258">
        <v>0</v>
      </c>
      <c r="J237" s="258">
        <v>0</v>
      </c>
      <c r="K237" s="259">
        <v>0</v>
      </c>
      <c r="L237" s="258">
        <v>0</v>
      </c>
      <c r="M237" s="258">
        <v>654544.92000000004</v>
      </c>
      <c r="N237" s="258">
        <v>0</v>
      </c>
      <c r="O237" s="258">
        <v>0</v>
      </c>
      <c r="P237" s="258">
        <v>0</v>
      </c>
      <c r="Q237" s="258">
        <v>0</v>
      </c>
      <c r="R237" s="258">
        <v>0</v>
      </c>
      <c r="S237" s="258">
        <v>0</v>
      </c>
      <c r="T237" s="258">
        <v>0</v>
      </c>
      <c r="U237" s="258">
        <v>0</v>
      </c>
      <c r="V237" s="258">
        <v>0</v>
      </c>
      <c r="W237" s="258">
        <v>0</v>
      </c>
      <c r="X237" s="258">
        <v>0</v>
      </c>
      <c r="Y237" s="258">
        <v>0</v>
      </c>
      <c r="Z237" s="258">
        <v>0</v>
      </c>
      <c r="AA237" s="258">
        <v>0</v>
      </c>
      <c r="AB237" s="260">
        <v>2020</v>
      </c>
    </row>
    <row r="238" spans="1:28" s="6" customFormat="1" ht="35.25" customHeight="1" x14ac:dyDescent="0.5">
      <c r="A238" s="6">
        <v>1</v>
      </c>
      <c r="B238" s="225">
        <f>SUBTOTAL(103,$A$7:A238)</f>
        <v>229</v>
      </c>
      <c r="C238" s="254" t="s">
        <v>2069</v>
      </c>
      <c r="D238" s="255">
        <f t="shared" si="8"/>
        <v>179604.7</v>
      </c>
      <c r="E238" s="258">
        <v>0</v>
      </c>
      <c r="F238" s="258">
        <v>0</v>
      </c>
      <c r="G238" s="258">
        <v>0</v>
      </c>
      <c r="H238" s="258">
        <v>0</v>
      </c>
      <c r="I238" s="258">
        <v>0</v>
      </c>
      <c r="J238" s="258">
        <v>0</v>
      </c>
      <c r="K238" s="259">
        <v>0</v>
      </c>
      <c r="L238" s="258">
        <v>0</v>
      </c>
      <c r="M238" s="258">
        <v>86162</v>
      </c>
      <c r="N238" s="258">
        <v>0</v>
      </c>
      <c r="O238" s="258">
        <v>93442.7</v>
      </c>
      <c r="P238" s="258">
        <v>0</v>
      </c>
      <c r="Q238" s="258">
        <v>0</v>
      </c>
      <c r="R238" s="258">
        <v>0</v>
      </c>
      <c r="S238" s="258">
        <v>0</v>
      </c>
      <c r="T238" s="258">
        <v>0</v>
      </c>
      <c r="U238" s="258">
        <v>0</v>
      </c>
      <c r="V238" s="258">
        <v>0</v>
      </c>
      <c r="W238" s="258">
        <v>0</v>
      </c>
      <c r="X238" s="258">
        <v>0</v>
      </c>
      <c r="Y238" s="258">
        <v>0</v>
      </c>
      <c r="Z238" s="258">
        <v>0</v>
      </c>
      <c r="AA238" s="258">
        <v>0</v>
      </c>
      <c r="AB238" s="260">
        <v>2020</v>
      </c>
    </row>
    <row r="239" spans="1:28" s="6" customFormat="1" ht="35.25" customHeight="1" x14ac:dyDescent="0.5">
      <c r="A239" s="6">
        <v>1</v>
      </c>
      <c r="B239" s="225">
        <f>SUBTOTAL(103,$A$7:A239)</f>
        <v>230</v>
      </c>
      <c r="C239" s="254" t="s">
        <v>2070</v>
      </c>
      <c r="D239" s="255">
        <f t="shared" si="8"/>
        <v>1818274</v>
      </c>
      <c r="E239" s="258">
        <v>0</v>
      </c>
      <c r="F239" s="258">
        <v>0</v>
      </c>
      <c r="G239" s="258">
        <v>0</v>
      </c>
      <c r="H239" s="258">
        <v>0</v>
      </c>
      <c r="I239" s="258">
        <v>0</v>
      </c>
      <c r="J239" s="258">
        <v>0</v>
      </c>
      <c r="K239" s="259">
        <v>0</v>
      </c>
      <c r="L239" s="258">
        <v>0</v>
      </c>
      <c r="M239" s="258">
        <v>1818274</v>
      </c>
      <c r="N239" s="258">
        <v>0</v>
      </c>
      <c r="O239" s="258">
        <v>0</v>
      </c>
      <c r="P239" s="258">
        <v>0</v>
      </c>
      <c r="Q239" s="258">
        <v>0</v>
      </c>
      <c r="R239" s="258">
        <v>0</v>
      </c>
      <c r="S239" s="258">
        <v>0</v>
      </c>
      <c r="T239" s="258">
        <v>0</v>
      </c>
      <c r="U239" s="258">
        <v>0</v>
      </c>
      <c r="V239" s="258">
        <v>0</v>
      </c>
      <c r="W239" s="258">
        <v>0</v>
      </c>
      <c r="X239" s="258">
        <v>0</v>
      </c>
      <c r="Y239" s="258">
        <v>0</v>
      </c>
      <c r="Z239" s="258">
        <v>0</v>
      </c>
      <c r="AA239" s="258">
        <v>0</v>
      </c>
      <c r="AB239" s="260">
        <v>2020</v>
      </c>
    </row>
    <row r="240" spans="1:28" s="6" customFormat="1" ht="35.25" customHeight="1" x14ac:dyDescent="0.5">
      <c r="A240" s="6">
        <v>1</v>
      </c>
      <c r="B240" s="225">
        <f>SUBTOTAL(103,$A$7:A240)</f>
        <v>231</v>
      </c>
      <c r="C240" s="254" t="s">
        <v>1799</v>
      </c>
      <c r="D240" s="255">
        <f>E240+F240+G240+H240+I240+J240+L240+M240+N240+O240+P240+Q240+R240+S240+T240+U240+V240+W240+X240+Y240+Z240+AA240</f>
        <v>467041.56000000006</v>
      </c>
      <c r="E240" s="258">
        <v>467041.56000000006</v>
      </c>
      <c r="F240" s="258">
        <v>0</v>
      </c>
      <c r="G240" s="258">
        <v>0</v>
      </c>
      <c r="H240" s="258">
        <v>0</v>
      </c>
      <c r="I240" s="258">
        <v>0</v>
      </c>
      <c r="J240" s="258">
        <v>0</v>
      </c>
      <c r="K240" s="259">
        <v>0</v>
      </c>
      <c r="L240" s="258">
        <v>0</v>
      </c>
      <c r="M240" s="258">
        <v>0</v>
      </c>
      <c r="N240" s="258">
        <v>0</v>
      </c>
      <c r="O240" s="258">
        <v>0</v>
      </c>
      <c r="P240" s="258">
        <v>0</v>
      </c>
      <c r="Q240" s="258">
        <v>0</v>
      </c>
      <c r="R240" s="258">
        <v>0</v>
      </c>
      <c r="S240" s="258">
        <v>0</v>
      </c>
      <c r="T240" s="258">
        <v>0</v>
      </c>
      <c r="U240" s="258">
        <v>0</v>
      </c>
      <c r="V240" s="258">
        <v>0</v>
      </c>
      <c r="W240" s="258">
        <v>0</v>
      </c>
      <c r="X240" s="258">
        <v>0</v>
      </c>
      <c r="Y240" s="258">
        <v>0</v>
      </c>
      <c r="Z240" s="258">
        <v>0</v>
      </c>
      <c r="AA240" s="258">
        <v>0</v>
      </c>
      <c r="AB240" s="260">
        <v>2020</v>
      </c>
    </row>
    <row r="241" spans="1:28" s="6" customFormat="1" ht="35.25" customHeight="1" x14ac:dyDescent="0.5">
      <c r="B241" s="264" t="s">
        <v>1045</v>
      </c>
      <c r="C241" s="254"/>
      <c r="D241" s="255">
        <f>SUM(D242:D262)</f>
        <v>14882430.350000001</v>
      </c>
      <c r="E241" s="255">
        <f t="shared" ref="E241:AA241" si="9">SUM(E242:E262)</f>
        <v>0</v>
      </c>
      <c r="F241" s="255">
        <f t="shared" si="9"/>
        <v>158850</v>
      </c>
      <c r="G241" s="255">
        <f t="shared" si="9"/>
        <v>3297757.6</v>
      </c>
      <c r="H241" s="255">
        <f t="shared" si="9"/>
        <v>180729</v>
      </c>
      <c r="I241" s="255">
        <f t="shared" si="9"/>
        <v>767639</v>
      </c>
      <c r="J241" s="255">
        <f t="shared" si="9"/>
        <v>0</v>
      </c>
      <c r="K241" s="255">
        <f t="shared" si="9"/>
        <v>0</v>
      </c>
      <c r="L241" s="255">
        <f t="shared" si="9"/>
        <v>0</v>
      </c>
      <c r="M241" s="255">
        <f t="shared" si="9"/>
        <v>7242731.7000000002</v>
      </c>
      <c r="N241" s="255">
        <f t="shared" si="9"/>
        <v>702002</v>
      </c>
      <c r="O241" s="255">
        <f t="shared" si="9"/>
        <v>2150881.7999999998</v>
      </c>
      <c r="P241" s="255">
        <f t="shared" si="9"/>
        <v>381839.25</v>
      </c>
      <c r="Q241" s="255">
        <f t="shared" si="9"/>
        <v>0</v>
      </c>
      <c r="R241" s="255">
        <f t="shared" si="9"/>
        <v>0</v>
      </c>
      <c r="S241" s="255">
        <f t="shared" si="9"/>
        <v>0</v>
      </c>
      <c r="T241" s="255">
        <f t="shared" si="9"/>
        <v>0</v>
      </c>
      <c r="U241" s="255">
        <f t="shared" si="9"/>
        <v>0</v>
      </c>
      <c r="V241" s="255">
        <f t="shared" si="9"/>
        <v>0</v>
      </c>
      <c r="W241" s="255">
        <f t="shared" si="9"/>
        <v>0</v>
      </c>
      <c r="X241" s="255">
        <f t="shared" si="9"/>
        <v>0</v>
      </c>
      <c r="Y241" s="255">
        <f t="shared" si="9"/>
        <v>0</v>
      </c>
      <c r="Z241" s="255">
        <f t="shared" si="9"/>
        <v>0</v>
      </c>
      <c r="AA241" s="255">
        <f t="shared" si="9"/>
        <v>0</v>
      </c>
      <c r="AB241" s="256" t="s">
        <v>890</v>
      </c>
    </row>
    <row r="242" spans="1:28" s="6" customFormat="1" ht="35.25" customHeight="1" x14ac:dyDescent="0.5">
      <c r="A242" s="6">
        <v>1</v>
      </c>
      <c r="B242" s="225">
        <f>SUBTOTAL(103,$A$7:A242)</f>
        <v>232</v>
      </c>
      <c r="C242" s="254" t="s">
        <v>1800</v>
      </c>
      <c r="D242" s="255">
        <f>E242+F242+G242+H242+I242+J242+L242+M242+N242+O242+P242+Q242+R242+S242+T242+U242+V242+W242+X242+Y242+Z242+AA242</f>
        <v>2244121</v>
      </c>
      <c r="E242" s="258">
        <v>0</v>
      </c>
      <c r="F242" s="258">
        <v>0</v>
      </c>
      <c r="G242" s="258">
        <v>0</v>
      </c>
      <c r="H242" s="258">
        <v>0</v>
      </c>
      <c r="I242" s="258">
        <v>0</v>
      </c>
      <c r="J242" s="258">
        <v>0</v>
      </c>
      <c r="K242" s="259">
        <v>0</v>
      </c>
      <c r="L242" s="258">
        <v>0</v>
      </c>
      <c r="M242" s="258">
        <v>2244121</v>
      </c>
      <c r="N242" s="258">
        <v>0</v>
      </c>
      <c r="O242" s="258">
        <v>0</v>
      </c>
      <c r="P242" s="258">
        <v>0</v>
      </c>
      <c r="Q242" s="258">
        <v>0</v>
      </c>
      <c r="R242" s="258">
        <v>0</v>
      </c>
      <c r="S242" s="258">
        <v>0</v>
      </c>
      <c r="T242" s="258">
        <v>0</v>
      </c>
      <c r="U242" s="258">
        <v>0</v>
      </c>
      <c r="V242" s="258">
        <v>0</v>
      </c>
      <c r="W242" s="258">
        <v>0</v>
      </c>
      <c r="X242" s="258">
        <v>0</v>
      </c>
      <c r="Y242" s="258">
        <v>0</v>
      </c>
      <c r="Z242" s="258">
        <v>0</v>
      </c>
      <c r="AA242" s="258">
        <v>0</v>
      </c>
      <c r="AB242" s="260">
        <v>2020</v>
      </c>
    </row>
    <row r="243" spans="1:28" s="6" customFormat="1" ht="35.25" customHeight="1" x14ac:dyDescent="0.5">
      <c r="A243" s="6">
        <v>1</v>
      </c>
      <c r="B243" s="225">
        <f>SUBTOTAL(103,$A$7:A243)</f>
        <v>233</v>
      </c>
      <c r="C243" s="254" t="s">
        <v>1801</v>
      </c>
      <c r="D243" s="255">
        <f>E243+F243+G243+H243+I243+J243+L243+M243+N243+O243+P243+Q243+R243+S243+T243+U243+V243+W243+X243+Y243+Z243+AA243</f>
        <v>649639</v>
      </c>
      <c r="E243" s="258">
        <v>0</v>
      </c>
      <c r="F243" s="258">
        <v>0</v>
      </c>
      <c r="G243" s="258">
        <v>0</v>
      </c>
      <c r="H243" s="258">
        <v>0</v>
      </c>
      <c r="I243" s="258">
        <v>649639</v>
      </c>
      <c r="J243" s="258">
        <v>0</v>
      </c>
      <c r="K243" s="259">
        <v>0</v>
      </c>
      <c r="L243" s="258">
        <v>0</v>
      </c>
      <c r="M243" s="258">
        <v>0</v>
      </c>
      <c r="N243" s="258">
        <v>0</v>
      </c>
      <c r="O243" s="258">
        <v>0</v>
      </c>
      <c r="P243" s="258">
        <v>0</v>
      </c>
      <c r="Q243" s="258">
        <v>0</v>
      </c>
      <c r="R243" s="258">
        <v>0</v>
      </c>
      <c r="S243" s="258">
        <v>0</v>
      </c>
      <c r="T243" s="258">
        <v>0</v>
      </c>
      <c r="U243" s="258">
        <v>0</v>
      </c>
      <c r="V243" s="258">
        <v>0</v>
      </c>
      <c r="W243" s="258">
        <v>0</v>
      </c>
      <c r="X243" s="258">
        <v>0</v>
      </c>
      <c r="Y243" s="258">
        <v>0</v>
      </c>
      <c r="Z243" s="258">
        <v>0</v>
      </c>
      <c r="AA243" s="258">
        <v>0</v>
      </c>
      <c r="AB243" s="260">
        <v>2020</v>
      </c>
    </row>
    <row r="244" spans="1:28" s="6" customFormat="1" ht="35.25" customHeight="1" x14ac:dyDescent="0.5">
      <c r="A244" s="6">
        <v>1</v>
      </c>
      <c r="B244" s="225">
        <f>SUBTOTAL(103,$A$7:A244)</f>
        <v>234</v>
      </c>
      <c r="C244" s="254" t="s">
        <v>1802</v>
      </c>
      <c r="D244" s="255">
        <f>E244+F244+G244+H244+I244+J244+L244+M244+N244+O244+P244+Q244+R244+S244+T244+U244+V244+W244+X244+Y244+Z244+AA244</f>
        <v>158850</v>
      </c>
      <c r="E244" s="258">
        <v>0</v>
      </c>
      <c r="F244" s="258">
        <v>158850</v>
      </c>
      <c r="G244" s="258">
        <v>0</v>
      </c>
      <c r="H244" s="258">
        <v>0</v>
      </c>
      <c r="I244" s="258">
        <v>0</v>
      </c>
      <c r="J244" s="258">
        <v>0</v>
      </c>
      <c r="K244" s="259">
        <v>0</v>
      </c>
      <c r="L244" s="258">
        <v>0</v>
      </c>
      <c r="M244" s="258">
        <v>0</v>
      </c>
      <c r="N244" s="258">
        <v>0</v>
      </c>
      <c r="O244" s="258">
        <v>0</v>
      </c>
      <c r="P244" s="258">
        <v>0</v>
      </c>
      <c r="Q244" s="258">
        <v>0</v>
      </c>
      <c r="R244" s="258">
        <v>0</v>
      </c>
      <c r="S244" s="258">
        <v>0</v>
      </c>
      <c r="T244" s="258">
        <v>0</v>
      </c>
      <c r="U244" s="258">
        <v>0</v>
      </c>
      <c r="V244" s="258">
        <v>0</v>
      </c>
      <c r="W244" s="258">
        <v>0</v>
      </c>
      <c r="X244" s="258">
        <v>0</v>
      </c>
      <c r="Y244" s="258">
        <v>0</v>
      </c>
      <c r="Z244" s="258">
        <v>0</v>
      </c>
      <c r="AA244" s="258">
        <v>0</v>
      </c>
      <c r="AB244" s="260">
        <v>2020</v>
      </c>
    </row>
    <row r="245" spans="1:28" s="6" customFormat="1" ht="35.25" customHeight="1" x14ac:dyDescent="0.5">
      <c r="A245" s="6">
        <v>1</v>
      </c>
      <c r="B245" s="225">
        <f>SUBTOTAL(103,$A$7:A245)</f>
        <v>235</v>
      </c>
      <c r="C245" s="254" t="s">
        <v>2071</v>
      </c>
      <c r="D245" s="255">
        <v>187000</v>
      </c>
      <c r="E245" s="258">
        <v>0</v>
      </c>
      <c r="F245" s="258">
        <v>0</v>
      </c>
      <c r="G245" s="258">
        <v>0</v>
      </c>
      <c r="H245" s="258">
        <v>0</v>
      </c>
      <c r="I245" s="258">
        <v>0</v>
      </c>
      <c r="J245" s="258">
        <v>0</v>
      </c>
      <c r="K245" s="259">
        <v>0</v>
      </c>
      <c r="L245" s="258">
        <v>0</v>
      </c>
      <c r="M245" s="258">
        <v>187000</v>
      </c>
      <c r="N245" s="258">
        <v>0</v>
      </c>
      <c r="O245" s="258">
        <v>0</v>
      </c>
      <c r="P245" s="258">
        <v>0</v>
      </c>
      <c r="Q245" s="258">
        <v>0</v>
      </c>
      <c r="R245" s="258">
        <v>0</v>
      </c>
      <c r="S245" s="258">
        <v>0</v>
      </c>
      <c r="T245" s="258">
        <v>0</v>
      </c>
      <c r="U245" s="258">
        <v>0</v>
      </c>
      <c r="V245" s="258">
        <v>0</v>
      </c>
      <c r="W245" s="258">
        <v>0</v>
      </c>
      <c r="X245" s="258">
        <v>0</v>
      </c>
      <c r="Y245" s="258">
        <v>0</v>
      </c>
      <c r="Z245" s="258">
        <v>0</v>
      </c>
      <c r="AA245" s="258">
        <v>0</v>
      </c>
      <c r="AB245" s="260">
        <v>2020</v>
      </c>
    </row>
    <row r="246" spans="1:28" s="6" customFormat="1" ht="35.25" customHeight="1" x14ac:dyDescent="0.5">
      <c r="A246" s="6">
        <v>1</v>
      </c>
      <c r="B246" s="225">
        <f>SUBTOTAL(103,$A$7:A246)</f>
        <v>236</v>
      </c>
      <c r="C246" s="254" t="s">
        <v>2072</v>
      </c>
      <c r="D246" s="255">
        <v>405002</v>
      </c>
      <c r="E246" s="258">
        <v>0</v>
      </c>
      <c r="F246" s="258">
        <v>0</v>
      </c>
      <c r="G246" s="258">
        <v>0</v>
      </c>
      <c r="H246" s="258">
        <v>0</v>
      </c>
      <c r="I246" s="258">
        <v>0</v>
      </c>
      <c r="J246" s="258">
        <v>0</v>
      </c>
      <c r="K246" s="259">
        <v>0</v>
      </c>
      <c r="L246" s="258">
        <v>0</v>
      </c>
      <c r="M246" s="258">
        <v>0</v>
      </c>
      <c r="N246" s="258">
        <v>405002</v>
      </c>
      <c r="O246" s="258">
        <v>0</v>
      </c>
      <c r="P246" s="258">
        <v>0</v>
      </c>
      <c r="Q246" s="258">
        <v>0</v>
      </c>
      <c r="R246" s="258">
        <v>0</v>
      </c>
      <c r="S246" s="258">
        <v>0</v>
      </c>
      <c r="T246" s="258">
        <v>0</v>
      </c>
      <c r="U246" s="258">
        <v>0</v>
      </c>
      <c r="V246" s="258">
        <v>0</v>
      </c>
      <c r="W246" s="258">
        <v>0</v>
      </c>
      <c r="X246" s="258">
        <v>0</v>
      </c>
      <c r="Y246" s="258">
        <v>0</v>
      </c>
      <c r="Z246" s="258">
        <v>0</v>
      </c>
      <c r="AA246" s="258">
        <v>0</v>
      </c>
      <c r="AB246" s="260">
        <v>2020</v>
      </c>
    </row>
    <row r="247" spans="1:28" s="6" customFormat="1" ht="35.25" customHeight="1" x14ac:dyDescent="0.5">
      <c r="A247" s="6">
        <v>1</v>
      </c>
      <c r="B247" s="225">
        <f>SUBTOTAL(103,$A$7:A247)</f>
        <v>237</v>
      </c>
      <c r="C247" s="254" t="s">
        <v>2073</v>
      </c>
      <c r="D247" s="255">
        <v>677014</v>
      </c>
      <c r="E247" s="258">
        <v>0</v>
      </c>
      <c r="F247" s="258">
        <v>0</v>
      </c>
      <c r="G247" s="258">
        <v>408760</v>
      </c>
      <c r="H247" s="258">
        <v>0</v>
      </c>
      <c r="I247" s="258">
        <v>0</v>
      </c>
      <c r="J247" s="258">
        <v>0</v>
      </c>
      <c r="K247" s="259">
        <v>0</v>
      </c>
      <c r="L247" s="258">
        <v>0</v>
      </c>
      <c r="M247" s="258">
        <v>0</v>
      </c>
      <c r="N247" s="258">
        <v>0</v>
      </c>
      <c r="O247" s="258">
        <v>268254</v>
      </c>
      <c r="P247" s="258">
        <v>0</v>
      </c>
      <c r="Q247" s="258">
        <v>0</v>
      </c>
      <c r="R247" s="258">
        <v>0</v>
      </c>
      <c r="S247" s="258">
        <v>0</v>
      </c>
      <c r="T247" s="258">
        <v>0</v>
      </c>
      <c r="U247" s="258">
        <v>0</v>
      </c>
      <c r="V247" s="258">
        <v>0</v>
      </c>
      <c r="W247" s="258">
        <v>0</v>
      </c>
      <c r="X247" s="258">
        <v>0</v>
      </c>
      <c r="Y247" s="258">
        <v>0</v>
      </c>
      <c r="Z247" s="258">
        <v>0</v>
      </c>
      <c r="AA247" s="258">
        <v>0</v>
      </c>
      <c r="AB247" s="260">
        <v>2020</v>
      </c>
    </row>
    <row r="248" spans="1:28" s="6" customFormat="1" ht="35.25" customHeight="1" x14ac:dyDescent="0.5">
      <c r="A248" s="6">
        <v>1</v>
      </c>
      <c r="B248" s="225">
        <f>SUBTOTAL(103,$A$7:A248)</f>
        <v>238</v>
      </c>
      <c r="C248" s="254" t="s">
        <v>2074</v>
      </c>
      <c r="D248" s="255">
        <v>121407</v>
      </c>
      <c r="E248" s="258">
        <v>0</v>
      </c>
      <c r="F248" s="258">
        <v>0</v>
      </c>
      <c r="G248" s="258">
        <v>0</v>
      </c>
      <c r="H248" s="258">
        <v>0</v>
      </c>
      <c r="I248" s="258">
        <v>0</v>
      </c>
      <c r="J248" s="258">
        <v>0</v>
      </c>
      <c r="K248" s="259">
        <v>0</v>
      </c>
      <c r="L248" s="258">
        <v>0</v>
      </c>
      <c r="M248" s="258">
        <v>0</v>
      </c>
      <c r="N248" s="258">
        <v>0</v>
      </c>
      <c r="O248" s="258">
        <v>121407</v>
      </c>
      <c r="P248" s="258">
        <v>0</v>
      </c>
      <c r="Q248" s="258">
        <v>0</v>
      </c>
      <c r="R248" s="258">
        <v>0</v>
      </c>
      <c r="S248" s="258">
        <v>0</v>
      </c>
      <c r="T248" s="258">
        <v>0</v>
      </c>
      <c r="U248" s="258">
        <v>0</v>
      </c>
      <c r="V248" s="258">
        <v>0</v>
      </c>
      <c r="W248" s="258">
        <v>0</v>
      </c>
      <c r="X248" s="258">
        <v>0</v>
      </c>
      <c r="Y248" s="258">
        <v>0</v>
      </c>
      <c r="Z248" s="258">
        <v>0</v>
      </c>
      <c r="AA248" s="258">
        <v>0</v>
      </c>
      <c r="AB248" s="260">
        <v>2020</v>
      </c>
    </row>
    <row r="249" spans="1:28" s="6" customFormat="1" ht="35.25" customHeight="1" x14ac:dyDescent="0.5">
      <c r="A249" s="6">
        <v>1</v>
      </c>
      <c r="B249" s="225">
        <f>SUBTOTAL(103,$A$7:A249)</f>
        <v>239</v>
      </c>
      <c r="C249" s="254" t="s">
        <v>2075</v>
      </c>
      <c r="D249" s="255">
        <v>320000</v>
      </c>
      <c r="E249" s="258">
        <v>0</v>
      </c>
      <c r="F249" s="258">
        <v>0</v>
      </c>
      <c r="G249" s="258">
        <v>0</v>
      </c>
      <c r="H249" s="258">
        <v>0</v>
      </c>
      <c r="I249" s="258">
        <v>0</v>
      </c>
      <c r="J249" s="258">
        <v>0</v>
      </c>
      <c r="K249" s="259">
        <v>0</v>
      </c>
      <c r="L249" s="258">
        <v>0</v>
      </c>
      <c r="M249" s="258">
        <v>0</v>
      </c>
      <c r="N249" s="258">
        <v>0</v>
      </c>
      <c r="O249" s="258">
        <v>0</v>
      </c>
      <c r="P249" s="258">
        <v>320000</v>
      </c>
      <c r="Q249" s="258">
        <v>0</v>
      </c>
      <c r="R249" s="258">
        <v>0</v>
      </c>
      <c r="S249" s="258">
        <v>0</v>
      </c>
      <c r="T249" s="258">
        <v>0</v>
      </c>
      <c r="U249" s="258">
        <v>0</v>
      </c>
      <c r="V249" s="258">
        <v>0</v>
      </c>
      <c r="W249" s="258">
        <v>0</v>
      </c>
      <c r="X249" s="258">
        <v>0</v>
      </c>
      <c r="Y249" s="258">
        <v>0</v>
      </c>
      <c r="Z249" s="258">
        <v>0</v>
      </c>
      <c r="AA249" s="258">
        <v>0</v>
      </c>
      <c r="AB249" s="260">
        <v>2020</v>
      </c>
    </row>
    <row r="250" spans="1:28" s="6" customFormat="1" ht="35.25" customHeight="1" x14ac:dyDescent="0.5">
      <c r="A250" s="6">
        <v>1</v>
      </c>
      <c r="B250" s="225">
        <f>SUBTOTAL(103,$A$7:A250)</f>
        <v>240</v>
      </c>
      <c r="C250" s="254" t="s">
        <v>2076</v>
      </c>
      <c r="D250" s="255">
        <f t="shared" ref="D250:D259" si="10">E250+F250+G250+H250+I250+J250+L250+M250+N250+O250+P250+Q250+R250+S250+T250+U250+V250+W250+X250+Y250+Z250+AA250</f>
        <v>672000</v>
      </c>
      <c r="E250" s="258">
        <v>0</v>
      </c>
      <c r="F250" s="258">
        <v>0</v>
      </c>
      <c r="G250" s="258">
        <v>0</v>
      </c>
      <c r="H250" s="258">
        <v>0</v>
      </c>
      <c r="I250" s="258">
        <v>0</v>
      </c>
      <c r="J250" s="258">
        <v>0</v>
      </c>
      <c r="K250" s="259">
        <v>0</v>
      </c>
      <c r="L250" s="258">
        <v>0</v>
      </c>
      <c r="M250" s="258">
        <v>672000</v>
      </c>
      <c r="N250" s="258">
        <v>0</v>
      </c>
      <c r="O250" s="258">
        <v>0</v>
      </c>
      <c r="P250" s="258">
        <v>0</v>
      </c>
      <c r="Q250" s="258">
        <v>0</v>
      </c>
      <c r="R250" s="258">
        <v>0</v>
      </c>
      <c r="S250" s="258">
        <v>0</v>
      </c>
      <c r="T250" s="258">
        <v>0</v>
      </c>
      <c r="U250" s="258">
        <v>0</v>
      </c>
      <c r="V250" s="258">
        <v>0</v>
      </c>
      <c r="W250" s="258">
        <v>0</v>
      </c>
      <c r="X250" s="258">
        <v>0</v>
      </c>
      <c r="Y250" s="258">
        <v>0</v>
      </c>
      <c r="Z250" s="258">
        <v>0</v>
      </c>
      <c r="AA250" s="258">
        <v>0</v>
      </c>
      <c r="AB250" s="260">
        <v>2020</v>
      </c>
    </row>
    <row r="251" spans="1:28" s="6" customFormat="1" ht="35.25" customHeight="1" x14ac:dyDescent="0.5">
      <c r="A251" s="6">
        <v>1</v>
      </c>
      <c r="B251" s="225">
        <f>SUBTOTAL(103,$A$7:A251)</f>
        <v>241</v>
      </c>
      <c r="C251" s="254" t="s">
        <v>2077</v>
      </c>
      <c r="D251" s="255">
        <f t="shared" si="10"/>
        <v>118000</v>
      </c>
      <c r="E251" s="258">
        <v>0</v>
      </c>
      <c r="F251" s="258">
        <v>0</v>
      </c>
      <c r="G251" s="258">
        <v>0</v>
      </c>
      <c r="H251" s="258">
        <v>0</v>
      </c>
      <c r="I251" s="258">
        <v>118000</v>
      </c>
      <c r="J251" s="258">
        <v>0</v>
      </c>
      <c r="K251" s="259">
        <v>0</v>
      </c>
      <c r="L251" s="258">
        <v>0</v>
      </c>
      <c r="M251" s="258">
        <v>0</v>
      </c>
      <c r="N251" s="258">
        <v>0</v>
      </c>
      <c r="O251" s="258">
        <v>0</v>
      </c>
      <c r="P251" s="258">
        <v>0</v>
      </c>
      <c r="Q251" s="258">
        <v>0</v>
      </c>
      <c r="R251" s="258">
        <v>0</v>
      </c>
      <c r="S251" s="258">
        <v>0</v>
      </c>
      <c r="T251" s="258">
        <v>0</v>
      </c>
      <c r="U251" s="258">
        <v>0</v>
      </c>
      <c r="V251" s="258">
        <v>0</v>
      </c>
      <c r="W251" s="258">
        <v>0</v>
      </c>
      <c r="X251" s="258">
        <v>0</v>
      </c>
      <c r="Y251" s="258">
        <v>0</v>
      </c>
      <c r="Z251" s="258">
        <v>0</v>
      </c>
      <c r="AA251" s="258">
        <v>0</v>
      </c>
      <c r="AB251" s="260">
        <v>2020</v>
      </c>
    </row>
    <row r="252" spans="1:28" s="6" customFormat="1" ht="35.25" customHeight="1" x14ac:dyDescent="0.5">
      <c r="A252" s="6">
        <v>1</v>
      </c>
      <c r="B252" s="225">
        <f>SUBTOTAL(103,$A$7:A252)</f>
        <v>242</v>
      </c>
      <c r="C252" s="254" t="s">
        <v>2078</v>
      </c>
      <c r="D252" s="255">
        <f t="shared" si="10"/>
        <v>717639.7</v>
      </c>
      <c r="E252" s="258">
        <v>0</v>
      </c>
      <c r="F252" s="258">
        <v>0</v>
      </c>
      <c r="G252" s="258">
        <v>0</v>
      </c>
      <c r="H252" s="258">
        <v>0</v>
      </c>
      <c r="I252" s="258">
        <v>0</v>
      </c>
      <c r="J252" s="258">
        <v>0</v>
      </c>
      <c r="K252" s="259">
        <v>0</v>
      </c>
      <c r="L252" s="258">
        <v>0</v>
      </c>
      <c r="M252" s="258">
        <v>717639.7</v>
      </c>
      <c r="N252" s="258">
        <v>0</v>
      </c>
      <c r="O252" s="258">
        <v>0</v>
      </c>
      <c r="P252" s="258">
        <v>0</v>
      </c>
      <c r="Q252" s="258">
        <v>0</v>
      </c>
      <c r="R252" s="258">
        <v>0</v>
      </c>
      <c r="S252" s="258">
        <v>0</v>
      </c>
      <c r="T252" s="258">
        <v>0</v>
      </c>
      <c r="U252" s="258">
        <v>0</v>
      </c>
      <c r="V252" s="258">
        <v>0</v>
      </c>
      <c r="W252" s="258">
        <v>0</v>
      </c>
      <c r="X252" s="258">
        <v>0</v>
      </c>
      <c r="Y252" s="258">
        <v>0</v>
      </c>
      <c r="Z252" s="258">
        <v>0</v>
      </c>
      <c r="AA252" s="258">
        <v>0</v>
      </c>
      <c r="AB252" s="260">
        <v>2020</v>
      </c>
    </row>
    <row r="253" spans="1:28" s="6" customFormat="1" ht="35.25" customHeight="1" x14ac:dyDescent="0.5">
      <c r="A253" s="6">
        <v>1</v>
      </c>
      <c r="B253" s="225">
        <f>SUBTOTAL(103,$A$7:A253)</f>
        <v>243</v>
      </c>
      <c r="C253" s="254" t="s">
        <v>2079</v>
      </c>
      <c r="D253" s="255">
        <f t="shared" si="10"/>
        <v>1562529.6</v>
      </c>
      <c r="E253" s="258">
        <v>0</v>
      </c>
      <c r="F253" s="258">
        <v>0</v>
      </c>
      <c r="G253" s="258">
        <v>642237.6</v>
      </c>
      <c r="H253" s="258">
        <v>0</v>
      </c>
      <c r="I253" s="258">
        <v>0</v>
      </c>
      <c r="J253" s="258">
        <v>0</v>
      </c>
      <c r="K253" s="259">
        <v>0</v>
      </c>
      <c r="L253" s="258">
        <v>0</v>
      </c>
      <c r="M253" s="258">
        <v>920292</v>
      </c>
      <c r="N253" s="258">
        <v>0</v>
      </c>
      <c r="O253" s="258">
        <v>0</v>
      </c>
      <c r="P253" s="258">
        <v>0</v>
      </c>
      <c r="Q253" s="258">
        <v>0</v>
      </c>
      <c r="R253" s="258">
        <v>0</v>
      </c>
      <c r="S253" s="258">
        <v>0</v>
      </c>
      <c r="T253" s="258">
        <v>0</v>
      </c>
      <c r="U253" s="258">
        <v>0</v>
      </c>
      <c r="V253" s="258">
        <v>0</v>
      </c>
      <c r="W253" s="258">
        <v>0</v>
      </c>
      <c r="X253" s="258">
        <v>0</v>
      </c>
      <c r="Y253" s="258">
        <v>0</v>
      </c>
      <c r="Z253" s="258">
        <v>0</v>
      </c>
      <c r="AA253" s="258">
        <v>0</v>
      </c>
      <c r="AB253" s="260">
        <v>2020</v>
      </c>
    </row>
    <row r="254" spans="1:28" s="6" customFormat="1" ht="35.25" customHeight="1" x14ac:dyDescent="0.5">
      <c r="A254" s="6">
        <v>1</v>
      </c>
      <c r="B254" s="225">
        <f>SUBTOTAL(103,$A$7:A254)</f>
        <v>244</v>
      </c>
      <c r="C254" s="254" t="s">
        <v>2080</v>
      </c>
      <c r="D254" s="255">
        <f t="shared" si="10"/>
        <v>1680000</v>
      </c>
      <c r="E254" s="258">
        <v>0</v>
      </c>
      <c r="F254" s="258">
        <v>0</v>
      </c>
      <c r="G254" s="258">
        <v>1680000</v>
      </c>
      <c r="H254" s="258">
        <v>0</v>
      </c>
      <c r="I254" s="258">
        <v>0</v>
      </c>
      <c r="J254" s="258">
        <v>0</v>
      </c>
      <c r="K254" s="259">
        <v>0</v>
      </c>
      <c r="L254" s="258">
        <v>0</v>
      </c>
      <c r="M254" s="258">
        <v>0</v>
      </c>
      <c r="N254" s="258">
        <v>0</v>
      </c>
      <c r="O254" s="258">
        <v>0</v>
      </c>
      <c r="P254" s="258">
        <v>0</v>
      </c>
      <c r="Q254" s="258">
        <v>0</v>
      </c>
      <c r="R254" s="258">
        <v>0</v>
      </c>
      <c r="S254" s="258">
        <v>0</v>
      </c>
      <c r="T254" s="258">
        <v>0</v>
      </c>
      <c r="U254" s="258">
        <v>0</v>
      </c>
      <c r="V254" s="258">
        <v>0</v>
      </c>
      <c r="W254" s="258">
        <v>0</v>
      </c>
      <c r="X254" s="258">
        <v>0</v>
      </c>
      <c r="Y254" s="258">
        <v>0</v>
      </c>
      <c r="Z254" s="258">
        <v>0</v>
      </c>
      <c r="AA254" s="258">
        <v>0</v>
      </c>
      <c r="AB254" s="260">
        <v>2020</v>
      </c>
    </row>
    <row r="255" spans="1:28" s="6" customFormat="1" ht="35.25" customHeight="1" x14ac:dyDescent="0.5">
      <c r="A255" s="6">
        <v>1</v>
      </c>
      <c r="B255" s="225">
        <f>SUBTOTAL(103,$A$7:A255)</f>
        <v>245</v>
      </c>
      <c r="C255" s="254" t="s">
        <v>2081</v>
      </c>
      <c r="D255" s="255">
        <f t="shared" si="10"/>
        <v>1112945</v>
      </c>
      <c r="E255" s="258">
        <v>0</v>
      </c>
      <c r="F255" s="258">
        <v>0</v>
      </c>
      <c r="G255" s="258">
        <v>0</v>
      </c>
      <c r="H255" s="258">
        <v>180729</v>
      </c>
      <c r="I255" s="258">
        <v>0</v>
      </c>
      <c r="J255" s="258">
        <v>0</v>
      </c>
      <c r="K255" s="259">
        <v>0</v>
      </c>
      <c r="L255" s="258">
        <v>0</v>
      </c>
      <c r="M255" s="258">
        <v>932216</v>
      </c>
      <c r="N255" s="258">
        <v>0</v>
      </c>
      <c r="O255" s="258">
        <v>0</v>
      </c>
      <c r="P255" s="258">
        <v>0</v>
      </c>
      <c r="Q255" s="258">
        <v>0</v>
      </c>
      <c r="R255" s="258">
        <v>0</v>
      </c>
      <c r="S255" s="258">
        <v>0</v>
      </c>
      <c r="T255" s="258">
        <v>0</v>
      </c>
      <c r="U255" s="258">
        <v>0</v>
      </c>
      <c r="V255" s="258">
        <v>0</v>
      </c>
      <c r="W255" s="258">
        <v>0</v>
      </c>
      <c r="X255" s="258">
        <v>0</v>
      </c>
      <c r="Y255" s="258">
        <v>0</v>
      </c>
      <c r="Z255" s="258">
        <v>0</v>
      </c>
      <c r="AA255" s="258">
        <v>0</v>
      </c>
      <c r="AB255" s="260">
        <v>2020</v>
      </c>
    </row>
    <row r="256" spans="1:28" s="6" customFormat="1" ht="35.25" customHeight="1" x14ac:dyDescent="0.5">
      <c r="A256" s="6">
        <v>1</v>
      </c>
      <c r="B256" s="225">
        <f>SUBTOTAL(103,$A$7:A256)</f>
        <v>246</v>
      </c>
      <c r="C256" s="254" t="s">
        <v>2082</v>
      </c>
      <c r="D256" s="255">
        <f t="shared" si="10"/>
        <v>61839.25</v>
      </c>
      <c r="E256" s="258">
        <v>0</v>
      </c>
      <c r="F256" s="258">
        <v>0</v>
      </c>
      <c r="G256" s="258">
        <v>0</v>
      </c>
      <c r="H256" s="258">
        <v>0</v>
      </c>
      <c r="I256" s="258">
        <v>0</v>
      </c>
      <c r="J256" s="258">
        <v>0</v>
      </c>
      <c r="K256" s="259">
        <v>0</v>
      </c>
      <c r="L256" s="258">
        <v>0</v>
      </c>
      <c r="M256" s="258">
        <v>0</v>
      </c>
      <c r="N256" s="258">
        <v>0</v>
      </c>
      <c r="O256" s="258">
        <v>0</v>
      </c>
      <c r="P256" s="258">
        <v>61839.25</v>
      </c>
      <c r="Q256" s="258">
        <v>0</v>
      </c>
      <c r="R256" s="258">
        <v>0</v>
      </c>
      <c r="S256" s="258">
        <v>0</v>
      </c>
      <c r="T256" s="258">
        <v>0</v>
      </c>
      <c r="U256" s="258">
        <v>0</v>
      </c>
      <c r="V256" s="258">
        <v>0</v>
      </c>
      <c r="W256" s="258">
        <v>0</v>
      </c>
      <c r="X256" s="258">
        <v>0</v>
      </c>
      <c r="Y256" s="258">
        <v>0</v>
      </c>
      <c r="Z256" s="258">
        <v>0</v>
      </c>
      <c r="AA256" s="258">
        <v>0</v>
      </c>
      <c r="AB256" s="260">
        <v>2020</v>
      </c>
    </row>
    <row r="257" spans="1:28" s="6" customFormat="1" ht="35.25" customHeight="1" x14ac:dyDescent="0.5">
      <c r="A257" s="6">
        <v>1</v>
      </c>
      <c r="B257" s="225">
        <f>SUBTOTAL(103,$A$7:A257)</f>
        <v>247</v>
      </c>
      <c r="C257" s="254" t="s">
        <v>2083</v>
      </c>
      <c r="D257" s="255">
        <f t="shared" si="10"/>
        <v>1241544</v>
      </c>
      <c r="E257" s="258">
        <v>0</v>
      </c>
      <c r="F257" s="258">
        <v>0</v>
      </c>
      <c r="G257" s="258">
        <v>0</v>
      </c>
      <c r="H257" s="258">
        <v>0</v>
      </c>
      <c r="I257" s="258">
        <v>0</v>
      </c>
      <c r="J257" s="258">
        <v>0</v>
      </c>
      <c r="K257" s="259">
        <v>0</v>
      </c>
      <c r="L257" s="258">
        <v>0</v>
      </c>
      <c r="M257" s="258">
        <v>0</v>
      </c>
      <c r="N257" s="258">
        <v>0</v>
      </c>
      <c r="O257" s="258">
        <v>1241544</v>
      </c>
      <c r="P257" s="258">
        <v>0</v>
      </c>
      <c r="Q257" s="258">
        <v>0</v>
      </c>
      <c r="R257" s="258">
        <v>0</v>
      </c>
      <c r="S257" s="258">
        <v>0</v>
      </c>
      <c r="T257" s="258">
        <v>0</v>
      </c>
      <c r="U257" s="258">
        <v>0</v>
      </c>
      <c r="V257" s="258">
        <v>0</v>
      </c>
      <c r="W257" s="258">
        <v>0</v>
      </c>
      <c r="X257" s="258">
        <v>0</v>
      </c>
      <c r="Y257" s="258">
        <v>0</v>
      </c>
      <c r="Z257" s="258">
        <v>0</v>
      </c>
      <c r="AA257" s="258">
        <v>0</v>
      </c>
      <c r="AB257" s="260">
        <v>2020</v>
      </c>
    </row>
    <row r="258" spans="1:28" s="6" customFormat="1" ht="35.25" customHeight="1" x14ac:dyDescent="0.5">
      <c r="A258" s="6">
        <v>1</v>
      </c>
      <c r="B258" s="225">
        <f>SUBTOTAL(103,$A$7:A258)</f>
        <v>248</v>
      </c>
      <c r="C258" s="254" t="s">
        <v>2084</v>
      </c>
      <c r="D258" s="255">
        <f t="shared" si="10"/>
        <v>128126.8</v>
      </c>
      <c r="E258" s="258">
        <v>0</v>
      </c>
      <c r="F258" s="258">
        <v>0</v>
      </c>
      <c r="G258" s="258">
        <v>0</v>
      </c>
      <c r="H258" s="258">
        <v>0</v>
      </c>
      <c r="I258" s="258">
        <v>0</v>
      </c>
      <c r="J258" s="258">
        <v>0</v>
      </c>
      <c r="K258" s="259">
        <v>0</v>
      </c>
      <c r="L258" s="258">
        <v>0</v>
      </c>
      <c r="M258" s="258">
        <v>0</v>
      </c>
      <c r="N258" s="258">
        <v>0</v>
      </c>
      <c r="O258" s="258">
        <v>128126.8</v>
      </c>
      <c r="P258" s="258">
        <v>0</v>
      </c>
      <c r="Q258" s="258">
        <v>0</v>
      </c>
      <c r="R258" s="258">
        <v>0</v>
      </c>
      <c r="S258" s="258">
        <v>0</v>
      </c>
      <c r="T258" s="258">
        <v>0</v>
      </c>
      <c r="U258" s="258">
        <v>0</v>
      </c>
      <c r="V258" s="258">
        <v>0</v>
      </c>
      <c r="W258" s="258">
        <v>0</v>
      </c>
      <c r="X258" s="258">
        <v>0</v>
      </c>
      <c r="Y258" s="258">
        <v>0</v>
      </c>
      <c r="Z258" s="258">
        <v>0</v>
      </c>
      <c r="AA258" s="258">
        <v>0</v>
      </c>
      <c r="AB258" s="260">
        <v>2020</v>
      </c>
    </row>
    <row r="259" spans="1:28" s="6" customFormat="1" ht="35.25" customHeight="1" x14ac:dyDescent="0.5">
      <c r="A259" s="6">
        <v>1</v>
      </c>
      <c r="B259" s="225">
        <f>SUBTOTAL(103,$A$7:A259)</f>
        <v>249</v>
      </c>
      <c r="C259" s="254" t="s">
        <v>2085</v>
      </c>
      <c r="D259" s="255">
        <f t="shared" si="10"/>
        <v>566760</v>
      </c>
      <c r="E259" s="258">
        <v>0</v>
      </c>
      <c r="F259" s="258">
        <v>0</v>
      </c>
      <c r="G259" s="258">
        <v>566760</v>
      </c>
      <c r="H259" s="258">
        <v>0</v>
      </c>
      <c r="I259" s="258">
        <v>0</v>
      </c>
      <c r="J259" s="258">
        <v>0</v>
      </c>
      <c r="K259" s="259">
        <v>0</v>
      </c>
      <c r="L259" s="258">
        <v>0</v>
      </c>
      <c r="M259" s="258">
        <v>0</v>
      </c>
      <c r="N259" s="258">
        <v>0</v>
      </c>
      <c r="O259" s="258">
        <v>0</v>
      </c>
      <c r="P259" s="258">
        <v>0</v>
      </c>
      <c r="Q259" s="258">
        <v>0</v>
      </c>
      <c r="R259" s="258">
        <v>0</v>
      </c>
      <c r="S259" s="258">
        <v>0</v>
      </c>
      <c r="T259" s="258">
        <v>0</v>
      </c>
      <c r="U259" s="258">
        <v>0</v>
      </c>
      <c r="V259" s="258">
        <v>0</v>
      </c>
      <c r="W259" s="258">
        <v>0</v>
      </c>
      <c r="X259" s="258">
        <v>0</v>
      </c>
      <c r="Y259" s="258">
        <v>0</v>
      </c>
      <c r="Z259" s="258">
        <v>0</v>
      </c>
      <c r="AA259" s="258">
        <v>0</v>
      </c>
      <c r="AB259" s="260">
        <v>2020</v>
      </c>
    </row>
    <row r="260" spans="1:28" s="6" customFormat="1" ht="35.25" customHeight="1" x14ac:dyDescent="0.5">
      <c r="A260" s="6">
        <v>1</v>
      </c>
      <c r="B260" s="225">
        <f>SUBTOTAL(103,$A$7:A260)</f>
        <v>250</v>
      </c>
      <c r="C260" s="254" t="s">
        <v>1803</v>
      </c>
      <c r="D260" s="255">
        <f>E260+F260+G260+H260+I260+J260+L260+M260+N260+O260+P260+Q260+R260+S260+T260+U260+V260+W260+X260+Y260+Z260+AA260</f>
        <v>391550</v>
      </c>
      <c r="E260" s="258">
        <v>0</v>
      </c>
      <c r="F260" s="258">
        <v>0</v>
      </c>
      <c r="G260" s="258">
        <v>0</v>
      </c>
      <c r="H260" s="258">
        <v>0</v>
      </c>
      <c r="I260" s="258">
        <v>0</v>
      </c>
      <c r="J260" s="258">
        <v>0</v>
      </c>
      <c r="K260" s="259">
        <v>0</v>
      </c>
      <c r="L260" s="258">
        <v>0</v>
      </c>
      <c r="M260" s="258">
        <v>0</v>
      </c>
      <c r="N260" s="258">
        <v>0</v>
      </c>
      <c r="O260" s="258">
        <v>391550</v>
      </c>
      <c r="P260" s="258">
        <v>0</v>
      </c>
      <c r="Q260" s="258">
        <v>0</v>
      </c>
      <c r="R260" s="258">
        <v>0</v>
      </c>
      <c r="S260" s="258">
        <v>0</v>
      </c>
      <c r="T260" s="258">
        <v>0</v>
      </c>
      <c r="U260" s="258">
        <v>0</v>
      </c>
      <c r="V260" s="258">
        <v>0</v>
      </c>
      <c r="W260" s="258">
        <v>0</v>
      </c>
      <c r="X260" s="258">
        <v>0</v>
      </c>
      <c r="Y260" s="258">
        <v>0</v>
      </c>
      <c r="Z260" s="258">
        <v>0</v>
      </c>
      <c r="AA260" s="258">
        <v>0</v>
      </c>
      <c r="AB260" s="260">
        <v>2020</v>
      </c>
    </row>
    <row r="261" spans="1:28" s="6" customFormat="1" ht="35.25" customHeight="1" x14ac:dyDescent="0.5">
      <c r="A261" s="6">
        <v>1</v>
      </c>
      <c r="B261" s="225">
        <f>SUBTOTAL(103,$A$7:A261)</f>
        <v>251</v>
      </c>
      <c r="C261" s="254" t="s">
        <v>2372</v>
      </c>
      <c r="D261" s="255">
        <v>1569463</v>
      </c>
      <c r="E261" s="258">
        <v>0</v>
      </c>
      <c r="F261" s="258">
        <v>0</v>
      </c>
      <c r="G261" s="258">
        <v>0</v>
      </c>
      <c r="H261" s="258">
        <v>0</v>
      </c>
      <c r="I261" s="258">
        <v>0</v>
      </c>
      <c r="J261" s="258">
        <v>0</v>
      </c>
      <c r="K261" s="259">
        <v>0</v>
      </c>
      <c r="L261" s="258">
        <v>0</v>
      </c>
      <c r="M261" s="258">
        <v>1569463</v>
      </c>
      <c r="N261" s="258">
        <v>0</v>
      </c>
      <c r="O261" s="258">
        <v>0</v>
      </c>
      <c r="P261" s="258">
        <v>0</v>
      </c>
      <c r="Q261" s="258">
        <v>0</v>
      </c>
      <c r="R261" s="258">
        <v>0</v>
      </c>
      <c r="S261" s="258">
        <v>0</v>
      </c>
      <c r="T261" s="258">
        <v>0</v>
      </c>
      <c r="U261" s="258">
        <v>0</v>
      </c>
      <c r="V261" s="258">
        <v>0</v>
      </c>
      <c r="W261" s="258">
        <v>0</v>
      </c>
      <c r="X261" s="258">
        <v>0</v>
      </c>
      <c r="Y261" s="258">
        <v>0</v>
      </c>
      <c r="Z261" s="258">
        <v>0</v>
      </c>
      <c r="AA261" s="258">
        <v>0</v>
      </c>
      <c r="AB261" s="260">
        <v>2020</v>
      </c>
    </row>
    <row r="262" spans="1:28" s="6" customFormat="1" ht="35.25" customHeight="1" x14ac:dyDescent="0.5">
      <c r="A262" s="6">
        <v>1</v>
      </c>
      <c r="B262" s="225">
        <f>SUBTOTAL(103,$A$7:A262)</f>
        <v>252</v>
      </c>
      <c r="C262" s="254" t="s">
        <v>2373</v>
      </c>
      <c r="D262" s="255">
        <f>E262+F262+G262+H262+I262+J262+L262+M262+N262+O262+P262+Q262+R262+S262+T262+U262+V262+W262+X262+Y262+Z262+AA262</f>
        <v>297000</v>
      </c>
      <c r="E262" s="258">
        <v>0</v>
      </c>
      <c r="F262" s="258">
        <v>0</v>
      </c>
      <c r="G262" s="258">
        <v>0</v>
      </c>
      <c r="H262" s="258">
        <v>0</v>
      </c>
      <c r="I262" s="258">
        <v>0</v>
      </c>
      <c r="J262" s="258">
        <v>0</v>
      </c>
      <c r="K262" s="259">
        <v>0</v>
      </c>
      <c r="L262" s="258">
        <v>0</v>
      </c>
      <c r="M262" s="258">
        <v>0</v>
      </c>
      <c r="N262" s="258">
        <v>297000</v>
      </c>
      <c r="O262" s="258">
        <v>0</v>
      </c>
      <c r="P262" s="258">
        <v>0</v>
      </c>
      <c r="Q262" s="258">
        <v>0</v>
      </c>
      <c r="R262" s="258">
        <v>0</v>
      </c>
      <c r="S262" s="258">
        <v>0</v>
      </c>
      <c r="T262" s="258">
        <v>0</v>
      </c>
      <c r="U262" s="258">
        <v>0</v>
      </c>
      <c r="V262" s="258">
        <v>0</v>
      </c>
      <c r="W262" s="258">
        <v>0</v>
      </c>
      <c r="X262" s="258">
        <v>0</v>
      </c>
      <c r="Y262" s="258">
        <v>0</v>
      </c>
      <c r="Z262" s="258">
        <v>0</v>
      </c>
      <c r="AA262" s="258">
        <v>0</v>
      </c>
      <c r="AB262" s="260">
        <v>2020</v>
      </c>
    </row>
    <row r="263" spans="1:28" s="6" customFormat="1" ht="35.25" customHeight="1" x14ac:dyDescent="0.5">
      <c r="B263" s="264" t="s">
        <v>760</v>
      </c>
      <c r="C263" s="254"/>
      <c r="D263" s="255">
        <f t="shared" ref="D263:AA263" si="11">SUM(D264:D379)</f>
        <v>91484286.529999971</v>
      </c>
      <c r="E263" s="255">
        <f t="shared" si="11"/>
        <v>1050811.72</v>
      </c>
      <c r="F263" s="255">
        <f t="shared" si="11"/>
        <v>656839</v>
      </c>
      <c r="G263" s="255">
        <f t="shared" si="11"/>
        <v>5097580.8600000003</v>
      </c>
      <c r="H263" s="255">
        <f t="shared" si="11"/>
        <v>748779</v>
      </c>
      <c r="I263" s="255">
        <f t="shared" si="11"/>
        <v>1031105.42</v>
      </c>
      <c r="J263" s="255">
        <f t="shared" si="11"/>
        <v>0</v>
      </c>
      <c r="K263" s="257">
        <f t="shared" si="11"/>
        <v>13</v>
      </c>
      <c r="L263" s="255">
        <f t="shared" si="11"/>
        <v>25592174</v>
      </c>
      <c r="M263" s="255">
        <f t="shared" si="11"/>
        <v>30505980.530000001</v>
      </c>
      <c r="N263" s="255">
        <f t="shared" si="11"/>
        <v>0</v>
      </c>
      <c r="O263" s="255">
        <f t="shared" si="11"/>
        <v>25669854.500000004</v>
      </c>
      <c r="P263" s="255">
        <f t="shared" si="11"/>
        <v>1131161.5</v>
      </c>
      <c r="Q263" s="255">
        <f t="shared" si="11"/>
        <v>0</v>
      </c>
      <c r="R263" s="255">
        <f t="shared" si="11"/>
        <v>0</v>
      </c>
      <c r="S263" s="255">
        <f t="shared" si="11"/>
        <v>0</v>
      </c>
      <c r="T263" s="255">
        <f t="shared" si="11"/>
        <v>0</v>
      </c>
      <c r="U263" s="255">
        <f t="shared" si="11"/>
        <v>0</v>
      </c>
      <c r="V263" s="255">
        <f t="shared" si="11"/>
        <v>0</v>
      </c>
      <c r="W263" s="255">
        <f t="shared" si="11"/>
        <v>0</v>
      </c>
      <c r="X263" s="255">
        <f t="shared" si="11"/>
        <v>0</v>
      </c>
      <c r="Y263" s="255">
        <f t="shared" si="11"/>
        <v>0</v>
      </c>
      <c r="Z263" s="255">
        <f t="shared" si="11"/>
        <v>0</v>
      </c>
      <c r="AA263" s="255">
        <f t="shared" si="11"/>
        <v>0</v>
      </c>
      <c r="AB263" s="256" t="s">
        <v>890</v>
      </c>
    </row>
    <row r="264" spans="1:28" s="6" customFormat="1" ht="35.25" customHeight="1" x14ac:dyDescent="0.5">
      <c r="A264" s="6">
        <v>1</v>
      </c>
      <c r="B264" s="225">
        <f>SUBTOTAL(103,$A$7:A264)</f>
        <v>253</v>
      </c>
      <c r="C264" s="254" t="s">
        <v>1804</v>
      </c>
      <c r="D264" s="255">
        <f t="shared" ref="D264:D327" si="12">E264+F264+G264+H264+I264+J264+L264+M264+N264+O264+P264+Q264+R264+S264+T264+U264+V264+W264+X264+Y264+Z264+AA264</f>
        <v>505117.35</v>
      </c>
      <c r="E264" s="258">
        <v>0</v>
      </c>
      <c r="F264" s="258">
        <v>0</v>
      </c>
      <c r="G264" s="258">
        <v>0</v>
      </c>
      <c r="H264" s="258">
        <v>0</v>
      </c>
      <c r="I264" s="258">
        <v>0</v>
      </c>
      <c r="J264" s="258">
        <v>0</v>
      </c>
      <c r="K264" s="259">
        <v>0</v>
      </c>
      <c r="L264" s="258">
        <v>0</v>
      </c>
      <c r="M264" s="258">
        <f>157000+348117.35</f>
        <v>505117.35</v>
      </c>
      <c r="N264" s="258">
        <v>0</v>
      </c>
      <c r="O264" s="258">
        <v>0</v>
      </c>
      <c r="P264" s="258">
        <v>0</v>
      </c>
      <c r="Q264" s="258">
        <v>0</v>
      </c>
      <c r="R264" s="258">
        <v>0</v>
      </c>
      <c r="S264" s="258">
        <v>0</v>
      </c>
      <c r="T264" s="258">
        <v>0</v>
      </c>
      <c r="U264" s="258">
        <v>0</v>
      </c>
      <c r="V264" s="258">
        <v>0</v>
      </c>
      <c r="W264" s="258">
        <v>0</v>
      </c>
      <c r="X264" s="258">
        <v>0</v>
      </c>
      <c r="Y264" s="258">
        <v>0</v>
      </c>
      <c r="Z264" s="258">
        <v>0</v>
      </c>
      <c r="AA264" s="258">
        <v>0</v>
      </c>
      <c r="AB264" s="260">
        <v>2020</v>
      </c>
    </row>
    <row r="265" spans="1:28" s="6" customFormat="1" ht="35.25" customHeight="1" x14ac:dyDescent="0.5">
      <c r="A265" s="6">
        <v>1</v>
      </c>
      <c r="B265" s="225">
        <f>SUBTOTAL(103,$A$7:A265)</f>
        <v>254</v>
      </c>
      <c r="C265" s="254" t="s">
        <v>1805</v>
      </c>
      <c r="D265" s="255">
        <f t="shared" si="12"/>
        <v>1832821</v>
      </c>
      <c r="E265" s="258">
        <v>0</v>
      </c>
      <c r="F265" s="258">
        <v>0</v>
      </c>
      <c r="G265" s="258">
        <v>0</v>
      </c>
      <c r="H265" s="258">
        <v>0</v>
      </c>
      <c r="I265" s="258">
        <v>0</v>
      </c>
      <c r="J265" s="258">
        <v>0</v>
      </c>
      <c r="K265" s="259">
        <v>1</v>
      </c>
      <c r="L265" s="258">
        <v>1832821</v>
      </c>
      <c r="M265" s="258">
        <v>0</v>
      </c>
      <c r="N265" s="258">
        <v>0</v>
      </c>
      <c r="O265" s="258">
        <v>0</v>
      </c>
      <c r="P265" s="258">
        <v>0</v>
      </c>
      <c r="Q265" s="258">
        <v>0</v>
      </c>
      <c r="R265" s="258">
        <v>0</v>
      </c>
      <c r="S265" s="258">
        <v>0</v>
      </c>
      <c r="T265" s="258">
        <v>0</v>
      </c>
      <c r="U265" s="258">
        <v>0</v>
      </c>
      <c r="V265" s="258">
        <v>0</v>
      </c>
      <c r="W265" s="258">
        <v>0</v>
      </c>
      <c r="X265" s="258">
        <v>0</v>
      </c>
      <c r="Y265" s="258">
        <v>0</v>
      </c>
      <c r="Z265" s="258">
        <v>0</v>
      </c>
      <c r="AA265" s="258">
        <v>0</v>
      </c>
      <c r="AB265" s="260">
        <v>2020</v>
      </c>
    </row>
    <row r="266" spans="1:28" s="6" customFormat="1" ht="35.25" customHeight="1" x14ac:dyDescent="0.5">
      <c r="A266" s="6">
        <v>1</v>
      </c>
      <c r="B266" s="225">
        <f>SUBTOTAL(103,$A$7:A266)</f>
        <v>255</v>
      </c>
      <c r="C266" s="254" t="s">
        <v>1806</v>
      </c>
      <c r="D266" s="255">
        <f t="shared" si="12"/>
        <v>199781</v>
      </c>
      <c r="E266" s="258">
        <v>0</v>
      </c>
      <c r="F266" s="258">
        <v>0</v>
      </c>
      <c r="G266" s="258">
        <v>0</v>
      </c>
      <c r="H266" s="258">
        <v>0</v>
      </c>
      <c r="I266" s="258">
        <v>0</v>
      </c>
      <c r="J266" s="258">
        <v>0</v>
      </c>
      <c r="K266" s="259">
        <v>0</v>
      </c>
      <c r="L266" s="258">
        <v>0</v>
      </c>
      <c r="M266" s="258">
        <v>199781</v>
      </c>
      <c r="N266" s="258">
        <v>0</v>
      </c>
      <c r="O266" s="258">
        <v>0</v>
      </c>
      <c r="P266" s="258">
        <v>0</v>
      </c>
      <c r="Q266" s="258">
        <v>0</v>
      </c>
      <c r="R266" s="258">
        <v>0</v>
      </c>
      <c r="S266" s="258">
        <v>0</v>
      </c>
      <c r="T266" s="258">
        <v>0</v>
      </c>
      <c r="U266" s="258">
        <v>0</v>
      </c>
      <c r="V266" s="258">
        <v>0</v>
      </c>
      <c r="W266" s="258">
        <v>0</v>
      </c>
      <c r="X266" s="258">
        <v>0</v>
      </c>
      <c r="Y266" s="258">
        <v>0</v>
      </c>
      <c r="Z266" s="258">
        <v>0</v>
      </c>
      <c r="AA266" s="258">
        <v>0</v>
      </c>
      <c r="AB266" s="260">
        <v>2020</v>
      </c>
    </row>
    <row r="267" spans="1:28" s="6" customFormat="1" ht="35.25" customHeight="1" x14ac:dyDescent="0.5">
      <c r="A267" s="6">
        <v>1</v>
      </c>
      <c r="B267" s="225">
        <f>SUBTOTAL(103,$A$7:A267)</f>
        <v>256</v>
      </c>
      <c r="C267" s="254" t="s">
        <v>1807</v>
      </c>
      <c r="D267" s="255">
        <f t="shared" si="12"/>
        <v>1864325</v>
      </c>
      <c r="E267" s="258">
        <v>0</v>
      </c>
      <c r="F267" s="258">
        <v>0</v>
      </c>
      <c r="G267" s="258">
        <v>0</v>
      </c>
      <c r="H267" s="258">
        <v>0</v>
      </c>
      <c r="I267" s="258">
        <v>0</v>
      </c>
      <c r="J267" s="258">
        <v>0</v>
      </c>
      <c r="K267" s="259">
        <v>1</v>
      </c>
      <c r="L267" s="258">
        <f>559000+1305325</f>
        <v>1864325</v>
      </c>
      <c r="M267" s="258">
        <v>0</v>
      </c>
      <c r="N267" s="258">
        <v>0</v>
      </c>
      <c r="O267" s="258">
        <v>0</v>
      </c>
      <c r="P267" s="258">
        <v>0</v>
      </c>
      <c r="Q267" s="258">
        <v>0</v>
      </c>
      <c r="R267" s="258">
        <v>0</v>
      </c>
      <c r="S267" s="258">
        <v>0</v>
      </c>
      <c r="T267" s="258">
        <v>0</v>
      </c>
      <c r="U267" s="258">
        <v>0</v>
      </c>
      <c r="V267" s="258">
        <v>0</v>
      </c>
      <c r="W267" s="258">
        <v>0</v>
      </c>
      <c r="X267" s="258">
        <v>0</v>
      </c>
      <c r="Y267" s="258">
        <v>0</v>
      </c>
      <c r="Z267" s="258">
        <v>0</v>
      </c>
      <c r="AA267" s="258">
        <v>0</v>
      </c>
      <c r="AB267" s="260">
        <v>2020</v>
      </c>
    </row>
    <row r="268" spans="1:28" s="6" customFormat="1" ht="35.25" customHeight="1" x14ac:dyDescent="0.5">
      <c r="A268" s="6">
        <v>1</v>
      </c>
      <c r="B268" s="225">
        <f>SUBTOTAL(103,$A$7:A268)</f>
        <v>257</v>
      </c>
      <c r="C268" s="254" t="s">
        <v>1808</v>
      </c>
      <c r="D268" s="255">
        <f t="shared" si="12"/>
        <v>120998</v>
      </c>
      <c r="E268" s="258">
        <v>0</v>
      </c>
      <c r="F268" s="258">
        <v>0</v>
      </c>
      <c r="G268" s="258">
        <v>0</v>
      </c>
      <c r="H268" s="258">
        <v>0</v>
      </c>
      <c r="I268" s="258">
        <v>0</v>
      </c>
      <c r="J268" s="258">
        <v>0</v>
      </c>
      <c r="K268" s="259">
        <v>0</v>
      </c>
      <c r="L268" s="258">
        <v>0</v>
      </c>
      <c r="M268" s="258">
        <v>0</v>
      </c>
      <c r="N268" s="258">
        <v>0</v>
      </c>
      <c r="O268" s="258">
        <v>120998</v>
      </c>
      <c r="P268" s="258">
        <v>0</v>
      </c>
      <c r="Q268" s="258">
        <v>0</v>
      </c>
      <c r="R268" s="258">
        <v>0</v>
      </c>
      <c r="S268" s="258">
        <v>0</v>
      </c>
      <c r="T268" s="258">
        <v>0</v>
      </c>
      <c r="U268" s="258">
        <v>0</v>
      </c>
      <c r="V268" s="258">
        <v>0</v>
      </c>
      <c r="W268" s="258">
        <v>0</v>
      </c>
      <c r="X268" s="258">
        <v>0</v>
      </c>
      <c r="Y268" s="258">
        <v>0</v>
      </c>
      <c r="Z268" s="258">
        <v>0</v>
      </c>
      <c r="AA268" s="258">
        <v>0</v>
      </c>
      <c r="AB268" s="260">
        <v>2020</v>
      </c>
    </row>
    <row r="269" spans="1:28" s="6" customFormat="1" ht="35.25" customHeight="1" x14ac:dyDescent="0.5">
      <c r="A269" s="6">
        <v>1</v>
      </c>
      <c r="B269" s="225">
        <f>SUBTOTAL(103,$A$7:A269)</f>
        <v>258</v>
      </c>
      <c r="C269" s="254" t="s">
        <v>1809</v>
      </c>
      <c r="D269" s="255">
        <f t="shared" si="12"/>
        <v>320995</v>
      </c>
      <c r="E269" s="258">
        <v>0</v>
      </c>
      <c r="F269" s="258">
        <v>320995</v>
      </c>
      <c r="G269" s="258">
        <v>0</v>
      </c>
      <c r="H269" s="258">
        <v>0</v>
      </c>
      <c r="I269" s="258">
        <v>0</v>
      </c>
      <c r="J269" s="258">
        <v>0</v>
      </c>
      <c r="K269" s="259">
        <v>0</v>
      </c>
      <c r="L269" s="258">
        <v>0</v>
      </c>
      <c r="M269" s="258">
        <v>0</v>
      </c>
      <c r="N269" s="258">
        <v>0</v>
      </c>
      <c r="O269" s="258">
        <v>0</v>
      </c>
      <c r="P269" s="258">
        <v>0</v>
      </c>
      <c r="Q269" s="258">
        <v>0</v>
      </c>
      <c r="R269" s="258">
        <v>0</v>
      </c>
      <c r="S269" s="258">
        <v>0</v>
      </c>
      <c r="T269" s="258">
        <v>0</v>
      </c>
      <c r="U269" s="258">
        <v>0</v>
      </c>
      <c r="V269" s="258">
        <v>0</v>
      </c>
      <c r="W269" s="258">
        <v>0</v>
      </c>
      <c r="X269" s="258">
        <v>0</v>
      </c>
      <c r="Y269" s="258">
        <v>0</v>
      </c>
      <c r="Z269" s="258">
        <v>0</v>
      </c>
      <c r="AA269" s="258">
        <v>0</v>
      </c>
      <c r="AB269" s="260">
        <v>2020</v>
      </c>
    </row>
    <row r="270" spans="1:28" s="6" customFormat="1" ht="35.25" customHeight="1" x14ac:dyDescent="0.5">
      <c r="A270" s="6">
        <v>1</v>
      </c>
      <c r="B270" s="225">
        <f>SUBTOTAL(103,$A$7:A270)</f>
        <v>259</v>
      </c>
      <c r="C270" s="254" t="s">
        <v>1810</v>
      </c>
      <c r="D270" s="255">
        <f t="shared" si="12"/>
        <v>1610664</v>
      </c>
      <c r="E270" s="258">
        <v>0</v>
      </c>
      <c r="F270" s="258">
        <v>0</v>
      </c>
      <c r="G270" s="258">
        <v>0</v>
      </c>
      <c r="H270" s="258">
        <v>0</v>
      </c>
      <c r="I270" s="258">
        <v>0</v>
      </c>
      <c r="J270" s="258">
        <v>0</v>
      </c>
      <c r="K270" s="259">
        <v>0</v>
      </c>
      <c r="L270" s="258">
        <v>0</v>
      </c>
      <c r="M270" s="258">
        <v>0</v>
      </c>
      <c r="N270" s="258">
        <v>0</v>
      </c>
      <c r="O270" s="258">
        <v>1610664</v>
      </c>
      <c r="P270" s="258">
        <v>0</v>
      </c>
      <c r="Q270" s="258">
        <v>0</v>
      </c>
      <c r="R270" s="258">
        <v>0</v>
      </c>
      <c r="S270" s="258">
        <v>0</v>
      </c>
      <c r="T270" s="258">
        <v>0</v>
      </c>
      <c r="U270" s="258">
        <v>0</v>
      </c>
      <c r="V270" s="258">
        <v>0</v>
      </c>
      <c r="W270" s="258">
        <v>0</v>
      </c>
      <c r="X270" s="258">
        <v>0</v>
      </c>
      <c r="Y270" s="258">
        <v>0</v>
      </c>
      <c r="Z270" s="258">
        <v>0</v>
      </c>
      <c r="AA270" s="258">
        <v>0</v>
      </c>
      <c r="AB270" s="260">
        <v>2020</v>
      </c>
    </row>
    <row r="271" spans="1:28" s="6" customFormat="1" ht="35.25" customHeight="1" x14ac:dyDescent="0.5">
      <c r="A271" s="6">
        <v>1</v>
      </c>
      <c r="B271" s="225">
        <f>SUBTOTAL(103,$A$7:A271)</f>
        <v>260</v>
      </c>
      <c r="C271" s="254" t="s">
        <v>1811</v>
      </c>
      <c r="D271" s="255">
        <f t="shared" si="12"/>
        <v>5202748</v>
      </c>
      <c r="E271" s="258">
        <v>0</v>
      </c>
      <c r="F271" s="258">
        <v>0</v>
      </c>
      <c r="G271" s="258">
        <v>0</v>
      </c>
      <c r="H271" s="258">
        <v>0</v>
      </c>
      <c r="I271" s="258">
        <v>0</v>
      </c>
      <c r="J271" s="258">
        <v>0</v>
      </c>
      <c r="K271" s="259">
        <v>2</v>
      </c>
      <c r="L271" s="258">
        <f>2120417+2292000</f>
        <v>4412417</v>
      </c>
      <c r="M271" s="258">
        <v>790331</v>
      </c>
      <c r="N271" s="258">
        <v>0</v>
      </c>
      <c r="O271" s="258">
        <v>0</v>
      </c>
      <c r="P271" s="258">
        <v>0</v>
      </c>
      <c r="Q271" s="258">
        <v>0</v>
      </c>
      <c r="R271" s="258">
        <v>0</v>
      </c>
      <c r="S271" s="258">
        <v>0</v>
      </c>
      <c r="T271" s="258">
        <v>0</v>
      </c>
      <c r="U271" s="258">
        <v>0</v>
      </c>
      <c r="V271" s="258">
        <v>0</v>
      </c>
      <c r="W271" s="258">
        <v>0</v>
      </c>
      <c r="X271" s="258">
        <v>0</v>
      </c>
      <c r="Y271" s="258">
        <v>0</v>
      </c>
      <c r="Z271" s="258">
        <v>0</v>
      </c>
      <c r="AA271" s="258">
        <v>0</v>
      </c>
      <c r="AB271" s="260">
        <v>2020</v>
      </c>
    </row>
    <row r="272" spans="1:28" s="6" customFormat="1" ht="35.25" customHeight="1" x14ac:dyDescent="0.5">
      <c r="A272" s="6">
        <v>1</v>
      </c>
      <c r="B272" s="225">
        <f>SUBTOTAL(103,$A$7:A272)</f>
        <v>261</v>
      </c>
      <c r="C272" s="254" t="s">
        <v>1812</v>
      </c>
      <c r="D272" s="255">
        <f t="shared" si="12"/>
        <v>2200000</v>
      </c>
      <c r="E272" s="258">
        <v>0</v>
      </c>
      <c r="F272" s="258">
        <v>0</v>
      </c>
      <c r="G272" s="258">
        <v>0</v>
      </c>
      <c r="H272" s="258">
        <v>0</v>
      </c>
      <c r="I272" s="258">
        <v>0</v>
      </c>
      <c r="J272" s="258">
        <v>0</v>
      </c>
      <c r="K272" s="259">
        <v>1</v>
      </c>
      <c r="L272" s="258">
        <v>2200000</v>
      </c>
      <c r="M272" s="258">
        <v>0</v>
      </c>
      <c r="N272" s="258">
        <v>0</v>
      </c>
      <c r="O272" s="258">
        <v>0</v>
      </c>
      <c r="P272" s="258">
        <v>0</v>
      </c>
      <c r="Q272" s="258">
        <v>0</v>
      </c>
      <c r="R272" s="258">
        <v>0</v>
      </c>
      <c r="S272" s="258">
        <v>0</v>
      </c>
      <c r="T272" s="258">
        <v>0</v>
      </c>
      <c r="U272" s="258">
        <v>0</v>
      </c>
      <c r="V272" s="258">
        <v>0</v>
      </c>
      <c r="W272" s="258">
        <v>0</v>
      </c>
      <c r="X272" s="258">
        <v>0</v>
      </c>
      <c r="Y272" s="258">
        <v>0</v>
      </c>
      <c r="Z272" s="258">
        <v>0</v>
      </c>
      <c r="AA272" s="258">
        <v>0</v>
      </c>
      <c r="AB272" s="260">
        <v>2020</v>
      </c>
    </row>
    <row r="273" spans="1:28" s="6" customFormat="1" ht="35.25" customHeight="1" x14ac:dyDescent="0.5">
      <c r="A273" s="6">
        <v>1</v>
      </c>
      <c r="B273" s="225">
        <f>SUBTOTAL(103,$A$7:A273)</f>
        <v>262</v>
      </c>
      <c r="C273" s="254" t="s">
        <v>1813</v>
      </c>
      <c r="D273" s="255">
        <f t="shared" si="12"/>
        <v>3101459.17</v>
      </c>
      <c r="E273" s="258">
        <v>0</v>
      </c>
      <c r="F273" s="258">
        <v>0</v>
      </c>
      <c r="G273" s="258">
        <v>0</v>
      </c>
      <c r="H273" s="258">
        <v>0</v>
      </c>
      <c r="I273" s="258">
        <v>0</v>
      </c>
      <c r="J273" s="258">
        <v>0</v>
      </c>
      <c r="K273" s="259">
        <v>0</v>
      </c>
      <c r="L273" s="258">
        <v>0</v>
      </c>
      <c r="M273" s="258">
        <f>843123.3+1632831.87</f>
        <v>2475955.17</v>
      </c>
      <c r="N273" s="258">
        <v>0</v>
      </c>
      <c r="O273" s="258">
        <v>625504</v>
      </c>
      <c r="P273" s="258">
        <v>0</v>
      </c>
      <c r="Q273" s="258">
        <v>0</v>
      </c>
      <c r="R273" s="258">
        <v>0</v>
      </c>
      <c r="S273" s="258">
        <v>0</v>
      </c>
      <c r="T273" s="258">
        <v>0</v>
      </c>
      <c r="U273" s="258">
        <v>0</v>
      </c>
      <c r="V273" s="258">
        <v>0</v>
      </c>
      <c r="W273" s="258">
        <v>0</v>
      </c>
      <c r="X273" s="258">
        <v>0</v>
      </c>
      <c r="Y273" s="258">
        <v>0</v>
      </c>
      <c r="Z273" s="258">
        <v>0</v>
      </c>
      <c r="AA273" s="258">
        <v>0</v>
      </c>
      <c r="AB273" s="260">
        <v>2020</v>
      </c>
    </row>
    <row r="274" spans="1:28" s="6" customFormat="1" ht="35.25" customHeight="1" x14ac:dyDescent="0.5">
      <c r="A274" s="6">
        <v>1</v>
      </c>
      <c r="B274" s="225">
        <f>SUBTOTAL(103,$A$7:A274)</f>
        <v>263</v>
      </c>
      <c r="C274" s="254" t="s">
        <v>1814</v>
      </c>
      <c r="D274" s="255">
        <f t="shared" si="12"/>
        <v>4818845</v>
      </c>
      <c r="E274" s="258">
        <v>218845</v>
      </c>
      <c r="F274" s="258">
        <v>0</v>
      </c>
      <c r="G274" s="258">
        <v>0</v>
      </c>
      <c r="H274" s="258">
        <v>0</v>
      </c>
      <c r="I274" s="258">
        <v>0</v>
      </c>
      <c r="J274" s="258">
        <v>0</v>
      </c>
      <c r="K274" s="259">
        <v>2</v>
      </c>
      <c r="L274" s="258">
        <v>4600000</v>
      </c>
      <c r="M274" s="258">
        <v>0</v>
      </c>
      <c r="N274" s="258">
        <v>0</v>
      </c>
      <c r="O274" s="258">
        <v>0</v>
      </c>
      <c r="P274" s="258">
        <v>0</v>
      </c>
      <c r="Q274" s="258">
        <v>0</v>
      </c>
      <c r="R274" s="258">
        <v>0</v>
      </c>
      <c r="S274" s="258">
        <v>0</v>
      </c>
      <c r="T274" s="258">
        <v>0</v>
      </c>
      <c r="U274" s="258">
        <v>0</v>
      </c>
      <c r="V274" s="258">
        <v>0</v>
      </c>
      <c r="W274" s="258">
        <v>0</v>
      </c>
      <c r="X274" s="258">
        <v>0</v>
      </c>
      <c r="Y274" s="258">
        <v>0</v>
      </c>
      <c r="Z274" s="258">
        <v>0</v>
      </c>
      <c r="AA274" s="258">
        <v>0</v>
      </c>
      <c r="AB274" s="260">
        <v>2020</v>
      </c>
    </row>
    <row r="275" spans="1:28" s="6" customFormat="1" ht="35.25" customHeight="1" x14ac:dyDescent="0.5">
      <c r="A275" s="6">
        <v>1</v>
      </c>
      <c r="B275" s="225">
        <f>SUBTOTAL(103,$A$7:A275)</f>
        <v>264</v>
      </c>
      <c r="C275" s="254" t="s">
        <v>1815</v>
      </c>
      <c r="D275" s="255">
        <f t="shared" si="12"/>
        <v>2271787</v>
      </c>
      <c r="E275" s="258">
        <v>0</v>
      </c>
      <c r="F275" s="258">
        <v>0</v>
      </c>
      <c r="G275" s="258">
        <v>0</v>
      </c>
      <c r="H275" s="258">
        <v>0</v>
      </c>
      <c r="I275" s="258">
        <v>0</v>
      </c>
      <c r="J275" s="258">
        <v>0</v>
      </c>
      <c r="K275" s="259">
        <v>1</v>
      </c>
      <c r="L275" s="258">
        <f>1247828+534783</f>
        <v>1782611</v>
      </c>
      <c r="M275" s="258">
        <v>489176</v>
      </c>
      <c r="N275" s="258">
        <v>0</v>
      </c>
      <c r="O275" s="258">
        <v>0</v>
      </c>
      <c r="P275" s="258">
        <v>0</v>
      </c>
      <c r="Q275" s="258">
        <v>0</v>
      </c>
      <c r="R275" s="258">
        <v>0</v>
      </c>
      <c r="S275" s="258">
        <v>0</v>
      </c>
      <c r="T275" s="258">
        <v>0</v>
      </c>
      <c r="U275" s="258">
        <v>0</v>
      </c>
      <c r="V275" s="258">
        <v>0</v>
      </c>
      <c r="W275" s="258">
        <v>0</v>
      </c>
      <c r="X275" s="258">
        <v>0</v>
      </c>
      <c r="Y275" s="258">
        <v>0</v>
      </c>
      <c r="Z275" s="258">
        <v>0</v>
      </c>
      <c r="AA275" s="258">
        <v>0</v>
      </c>
      <c r="AB275" s="260">
        <v>2020</v>
      </c>
    </row>
    <row r="276" spans="1:28" s="6" customFormat="1" ht="35.25" customHeight="1" x14ac:dyDescent="0.5">
      <c r="A276" s="6">
        <v>1</v>
      </c>
      <c r="B276" s="225">
        <f>SUBTOTAL(103,$A$7:A276)</f>
        <v>265</v>
      </c>
      <c r="C276" s="254" t="s">
        <v>1816</v>
      </c>
      <c r="D276" s="255">
        <f t="shared" si="12"/>
        <v>1820000</v>
      </c>
      <c r="E276" s="258">
        <v>0</v>
      </c>
      <c r="F276" s="258">
        <v>0</v>
      </c>
      <c r="G276" s="258">
        <v>0</v>
      </c>
      <c r="H276" s="258">
        <v>0</v>
      </c>
      <c r="I276" s="258">
        <v>0</v>
      </c>
      <c r="J276" s="258">
        <v>0</v>
      </c>
      <c r="K276" s="259">
        <v>1</v>
      </c>
      <c r="L276" s="258">
        <v>1820000</v>
      </c>
      <c r="M276" s="258">
        <v>0</v>
      </c>
      <c r="N276" s="258">
        <v>0</v>
      </c>
      <c r="O276" s="258">
        <v>0</v>
      </c>
      <c r="P276" s="258">
        <v>0</v>
      </c>
      <c r="Q276" s="258">
        <v>0</v>
      </c>
      <c r="R276" s="258">
        <v>0</v>
      </c>
      <c r="S276" s="258">
        <v>0</v>
      </c>
      <c r="T276" s="258">
        <v>0</v>
      </c>
      <c r="U276" s="258">
        <v>0</v>
      </c>
      <c r="V276" s="258">
        <v>0</v>
      </c>
      <c r="W276" s="258">
        <v>0</v>
      </c>
      <c r="X276" s="258">
        <v>0</v>
      </c>
      <c r="Y276" s="258">
        <v>0</v>
      </c>
      <c r="Z276" s="258">
        <v>0</v>
      </c>
      <c r="AA276" s="258">
        <v>0</v>
      </c>
      <c r="AB276" s="260">
        <v>2020</v>
      </c>
    </row>
    <row r="277" spans="1:28" s="6" customFormat="1" ht="35.25" customHeight="1" x14ac:dyDescent="0.5">
      <c r="A277" s="6">
        <v>1</v>
      </c>
      <c r="B277" s="225">
        <f>SUBTOTAL(103,$A$7:A277)</f>
        <v>266</v>
      </c>
      <c r="C277" s="254" t="s">
        <v>1817</v>
      </c>
      <c r="D277" s="255">
        <f t="shared" si="12"/>
        <v>1519461</v>
      </c>
      <c r="E277" s="258">
        <v>0</v>
      </c>
      <c r="F277" s="258">
        <v>0</v>
      </c>
      <c r="G277" s="258">
        <v>0</v>
      </c>
      <c r="H277" s="258">
        <v>0</v>
      </c>
      <c r="I277" s="258">
        <v>0</v>
      </c>
      <c r="J277" s="258">
        <v>0</v>
      </c>
      <c r="K277" s="259">
        <v>0</v>
      </c>
      <c r="L277" s="258">
        <v>0</v>
      </c>
      <c r="M277" s="258">
        <f>687000+832461</f>
        <v>1519461</v>
      </c>
      <c r="N277" s="258">
        <v>0</v>
      </c>
      <c r="O277" s="258">
        <v>0</v>
      </c>
      <c r="P277" s="258">
        <v>0</v>
      </c>
      <c r="Q277" s="258">
        <v>0</v>
      </c>
      <c r="R277" s="258">
        <v>0</v>
      </c>
      <c r="S277" s="258">
        <v>0</v>
      </c>
      <c r="T277" s="258">
        <v>0</v>
      </c>
      <c r="U277" s="258">
        <v>0</v>
      </c>
      <c r="V277" s="258">
        <v>0</v>
      </c>
      <c r="W277" s="258">
        <v>0</v>
      </c>
      <c r="X277" s="258">
        <v>0</v>
      </c>
      <c r="Y277" s="258">
        <v>0</v>
      </c>
      <c r="Z277" s="258">
        <v>0</v>
      </c>
      <c r="AA277" s="258">
        <v>0</v>
      </c>
      <c r="AB277" s="260">
        <v>2020</v>
      </c>
    </row>
    <row r="278" spans="1:28" s="6" customFormat="1" ht="35.25" customHeight="1" x14ac:dyDescent="0.5">
      <c r="A278" s="6">
        <v>1</v>
      </c>
      <c r="B278" s="225">
        <f>SUBTOTAL(103,$A$7:A278)</f>
        <v>267</v>
      </c>
      <c r="C278" s="254" t="s">
        <v>1818</v>
      </c>
      <c r="D278" s="255">
        <f t="shared" si="12"/>
        <v>1735000</v>
      </c>
      <c r="E278" s="258">
        <v>0</v>
      </c>
      <c r="F278" s="258">
        <v>0</v>
      </c>
      <c r="G278" s="258">
        <v>0</v>
      </c>
      <c r="H278" s="258">
        <v>0</v>
      </c>
      <c r="I278" s="258">
        <v>0</v>
      </c>
      <c r="J278" s="258">
        <v>0</v>
      </c>
      <c r="K278" s="259">
        <v>1</v>
      </c>
      <c r="L278" s="258">
        <v>1735000</v>
      </c>
      <c r="M278" s="258">
        <v>0</v>
      </c>
      <c r="N278" s="258">
        <v>0</v>
      </c>
      <c r="O278" s="258">
        <v>0</v>
      </c>
      <c r="P278" s="258">
        <v>0</v>
      </c>
      <c r="Q278" s="258">
        <v>0</v>
      </c>
      <c r="R278" s="258">
        <v>0</v>
      </c>
      <c r="S278" s="258">
        <v>0</v>
      </c>
      <c r="T278" s="258">
        <v>0</v>
      </c>
      <c r="U278" s="258">
        <v>0</v>
      </c>
      <c r="V278" s="258">
        <v>0</v>
      </c>
      <c r="W278" s="258">
        <v>0</v>
      </c>
      <c r="X278" s="258">
        <v>0</v>
      </c>
      <c r="Y278" s="258">
        <v>0</v>
      </c>
      <c r="Z278" s="258">
        <v>0</v>
      </c>
      <c r="AA278" s="258">
        <v>0</v>
      </c>
      <c r="AB278" s="260">
        <v>2020</v>
      </c>
    </row>
    <row r="279" spans="1:28" s="6" customFormat="1" ht="35.25" customHeight="1" x14ac:dyDescent="0.5">
      <c r="A279" s="6">
        <v>1</v>
      </c>
      <c r="B279" s="225">
        <f>SUBTOTAL(103,$A$7:A279)</f>
        <v>268</v>
      </c>
      <c r="C279" s="254" t="s">
        <v>1819</v>
      </c>
      <c r="D279" s="255">
        <f t="shared" si="12"/>
        <v>1035891.8</v>
      </c>
      <c r="E279" s="258">
        <v>0</v>
      </c>
      <c r="F279" s="258">
        <v>0</v>
      </c>
      <c r="G279" s="258">
        <v>0</v>
      </c>
      <c r="H279" s="258">
        <v>0</v>
      </c>
      <c r="I279" s="258">
        <v>0</v>
      </c>
      <c r="J279" s="258">
        <v>0</v>
      </c>
      <c r="K279" s="259">
        <v>0</v>
      </c>
      <c r="L279" s="258">
        <v>0</v>
      </c>
      <c r="M279" s="258">
        <v>0</v>
      </c>
      <c r="N279" s="258">
        <v>0</v>
      </c>
      <c r="O279" s="258">
        <v>1035891.8</v>
      </c>
      <c r="P279" s="258">
        <v>0</v>
      </c>
      <c r="Q279" s="258">
        <v>0</v>
      </c>
      <c r="R279" s="258">
        <v>0</v>
      </c>
      <c r="S279" s="258">
        <v>0</v>
      </c>
      <c r="T279" s="258">
        <v>0</v>
      </c>
      <c r="U279" s="258">
        <v>0</v>
      </c>
      <c r="V279" s="258">
        <v>0</v>
      </c>
      <c r="W279" s="258">
        <v>0</v>
      </c>
      <c r="X279" s="258">
        <v>0</v>
      </c>
      <c r="Y279" s="258">
        <v>0</v>
      </c>
      <c r="Z279" s="258">
        <v>0</v>
      </c>
      <c r="AA279" s="258">
        <v>0</v>
      </c>
      <c r="AB279" s="260">
        <v>2020</v>
      </c>
    </row>
    <row r="280" spans="1:28" s="6" customFormat="1" ht="35.25" customHeight="1" x14ac:dyDescent="0.5">
      <c r="A280" s="6">
        <v>1</v>
      </c>
      <c r="B280" s="225">
        <f>SUBTOTAL(103,$A$7:A280)</f>
        <v>269</v>
      </c>
      <c r="C280" s="254" t="s">
        <v>1820</v>
      </c>
      <c r="D280" s="255">
        <f t="shared" si="12"/>
        <v>1742886.75</v>
      </c>
      <c r="E280" s="258">
        <v>0</v>
      </c>
      <c r="F280" s="258">
        <v>0</v>
      </c>
      <c r="G280" s="258">
        <v>0</v>
      </c>
      <c r="H280" s="258">
        <v>0</v>
      </c>
      <c r="I280" s="258">
        <v>0</v>
      </c>
      <c r="J280" s="258">
        <v>0</v>
      </c>
      <c r="K280" s="259">
        <v>0</v>
      </c>
      <c r="L280" s="258">
        <v>0</v>
      </c>
      <c r="M280" s="258">
        <f>554000+1188886.75</f>
        <v>1742886.75</v>
      </c>
      <c r="N280" s="258">
        <v>0</v>
      </c>
      <c r="O280" s="258">
        <v>0</v>
      </c>
      <c r="P280" s="258">
        <v>0</v>
      </c>
      <c r="Q280" s="258">
        <v>0</v>
      </c>
      <c r="R280" s="258">
        <v>0</v>
      </c>
      <c r="S280" s="258">
        <v>0</v>
      </c>
      <c r="T280" s="258">
        <v>0</v>
      </c>
      <c r="U280" s="258">
        <v>0</v>
      </c>
      <c r="V280" s="258">
        <v>0</v>
      </c>
      <c r="W280" s="258">
        <v>0</v>
      </c>
      <c r="X280" s="258">
        <v>0</v>
      </c>
      <c r="Y280" s="258">
        <v>0</v>
      </c>
      <c r="Z280" s="258">
        <v>0</v>
      </c>
      <c r="AA280" s="258">
        <v>0</v>
      </c>
      <c r="AB280" s="260">
        <v>2020</v>
      </c>
    </row>
    <row r="281" spans="1:28" s="6" customFormat="1" ht="35.25" customHeight="1" x14ac:dyDescent="0.5">
      <c r="A281" s="6">
        <v>1</v>
      </c>
      <c r="B281" s="225">
        <f>SUBTOTAL(103,$A$7:A281)</f>
        <v>270</v>
      </c>
      <c r="C281" s="254" t="s">
        <v>1821</v>
      </c>
      <c r="D281" s="255">
        <f t="shared" si="12"/>
        <v>773255</v>
      </c>
      <c r="E281" s="258">
        <v>0</v>
      </c>
      <c r="F281" s="258">
        <v>0</v>
      </c>
      <c r="G281" s="258">
        <v>0</v>
      </c>
      <c r="H281" s="258">
        <v>604137</v>
      </c>
      <c r="I281" s="258">
        <v>0</v>
      </c>
      <c r="J281" s="258">
        <v>0</v>
      </c>
      <c r="K281" s="259">
        <v>0</v>
      </c>
      <c r="L281" s="258">
        <v>0</v>
      </c>
      <c r="M281" s="258">
        <v>0</v>
      </c>
      <c r="N281" s="258">
        <v>0</v>
      </c>
      <c r="O281" s="258">
        <v>169118</v>
      </c>
      <c r="P281" s="258">
        <v>0</v>
      </c>
      <c r="Q281" s="258">
        <v>0</v>
      </c>
      <c r="R281" s="258">
        <v>0</v>
      </c>
      <c r="S281" s="258">
        <v>0</v>
      </c>
      <c r="T281" s="258">
        <v>0</v>
      </c>
      <c r="U281" s="258">
        <v>0</v>
      </c>
      <c r="V281" s="258">
        <v>0</v>
      </c>
      <c r="W281" s="258">
        <v>0</v>
      </c>
      <c r="X281" s="258">
        <v>0</v>
      </c>
      <c r="Y281" s="258">
        <v>0</v>
      </c>
      <c r="Z281" s="258">
        <v>0</v>
      </c>
      <c r="AA281" s="258">
        <v>0</v>
      </c>
      <c r="AB281" s="260">
        <v>2020</v>
      </c>
    </row>
    <row r="282" spans="1:28" s="6" customFormat="1" ht="35.25" customHeight="1" x14ac:dyDescent="0.5">
      <c r="A282" s="6">
        <v>1</v>
      </c>
      <c r="B282" s="225">
        <f>SUBTOTAL(103,$A$7:A282)</f>
        <v>271</v>
      </c>
      <c r="C282" s="254" t="s">
        <v>1822</v>
      </c>
      <c r="D282" s="255">
        <f t="shared" si="12"/>
        <v>1045804.33</v>
      </c>
      <c r="E282" s="258">
        <v>0</v>
      </c>
      <c r="F282" s="258">
        <v>0</v>
      </c>
      <c r="G282" s="258">
        <v>0</v>
      </c>
      <c r="H282" s="258">
        <v>0</v>
      </c>
      <c r="I282" s="258">
        <v>0</v>
      </c>
      <c r="J282" s="258">
        <v>0</v>
      </c>
      <c r="K282" s="259">
        <v>0</v>
      </c>
      <c r="L282" s="258">
        <v>0</v>
      </c>
      <c r="M282" s="258">
        <f>334000+711804.33</f>
        <v>1045804.33</v>
      </c>
      <c r="N282" s="258">
        <v>0</v>
      </c>
      <c r="O282" s="258">
        <v>0</v>
      </c>
      <c r="P282" s="258">
        <v>0</v>
      </c>
      <c r="Q282" s="258">
        <v>0</v>
      </c>
      <c r="R282" s="258">
        <v>0</v>
      </c>
      <c r="S282" s="258">
        <v>0</v>
      </c>
      <c r="T282" s="258">
        <v>0</v>
      </c>
      <c r="U282" s="258">
        <v>0</v>
      </c>
      <c r="V282" s="258">
        <v>0</v>
      </c>
      <c r="W282" s="258">
        <v>0</v>
      </c>
      <c r="X282" s="258">
        <v>0</v>
      </c>
      <c r="Y282" s="258">
        <v>0</v>
      </c>
      <c r="Z282" s="258">
        <v>0</v>
      </c>
      <c r="AA282" s="258">
        <v>0</v>
      </c>
      <c r="AB282" s="260">
        <v>2020</v>
      </c>
    </row>
    <row r="283" spans="1:28" s="6" customFormat="1" ht="35.25" customHeight="1" x14ac:dyDescent="0.5">
      <c r="A283" s="6">
        <v>1</v>
      </c>
      <c r="B283" s="225">
        <f>SUBTOTAL(103,$A$7:A283)</f>
        <v>272</v>
      </c>
      <c r="C283" s="254" t="s">
        <v>1823</v>
      </c>
      <c r="D283" s="255">
        <f t="shared" si="12"/>
        <v>190602.5</v>
      </c>
      <c r="E283" s="258">
        <v>0</v>
      </c>
      <c r="F283" s="258">
        <v>0</v>
      </c>
      <c r="G283" s="258">
        <v>0</v>
      </c>
      <c r="H283" s="258">
        <v>0</v>
      </c>
      <c r="I283" s="258">
        <v>0</v>
      </c>
      <c r="J283" s="258">
        <v>0</v>
      </c>
      <c r="K283" s="259">
        <v>0</v>
      </c>
      <c r="L283" s="258">
        <v>0</v>
      </c>
      <c r="M283" s="258">
        <v>0</v>
      </c>
      <c r="N283" s="258">
        <v>0</v>
      </c>
      <c r="O283" s="258">
        <f>107200+18400</f>
        <v>125600</v>
      </c>
      <c r="P283" s="258">
        <v>65002.5</v>
      </c>
      <c r="Q283" s="258">
        <v>0</v>
      </c>
      <c r="R283" s="258">
        <v>0</v>
      </c>
      <c r="S283" s="258">
        <v>0</v>
      </c>
      <c r="T283" s="258">
        <v>0</v>
      </c>
      <c r="U283" s="258">
        <v>0</v>
      </c>
      <c r="V283" s="258">
        <v>0</v>
      </c>
      <c r="W283" s="258">
        <v>0</v>
      </c>
      <c r="X283" s="258">
        <v>0</v>
      </c>
      <c r="Y283" s="258">
        <v>0</v>
      </c>
      <c r="Z283" s="258">
        <v>0</v>
      </c>
      <c r="AA283" s="258">
        <v>0</v>
      </c>
      <c r="AB283" s="260">
        <v>2020</v>
      </c>
    </row>
    <row r="284" spans="1:28" s="6" customFormat="1" ht="35.25" customHeight="1" x14ac:dyDescent="0.5">
      <c r="A284" s="6">
        <v>1</v>
      </c>
      <c r="B284" s="225">
        <f>SUBTOTAL(103,$A$7:A284)</f>
        <v>273</v>
      </c>
      <c r="C284" s="254" t="s">
        <v>1824</v>
      </c>
      <c r="D284" s="255">
        <f t="shared" si="12"/>
        <v>250071</v>
      </c>
      <c r="E284" s="258">
        <v>0</v>
      </c>
      <c r="F284" s="258">
        <v>0</v>
      </c>
      <c r="G284" s="258">
        <v>0</v>
      </c>
      <c r="H284" s="258">
        <v>0</v>
      </c>
      <c r="I284" s="258">
        <v>0</v>
      </c>
      <c r="J284" s="258">
        <v>0</v>
      </c>
      <c r="K284" s="259">
        <v>0</v>
      </c>
      <c r="L284" s="258">
        <v>0</v>
      </c>
      <c r="M284" s="258">
        <v>0</v>
      </c>
      <c r="N284" s="258">
        <v>0</v>
      </c>
      <c r="O284" s="258">
        <v>250071</v>
      </c>
      <c r="P284" s="258">
        <v>0</v>
      </c>
      <c r="Q284" s="258">
        <v>0</v>
      </c>
      <c r="R284" s="258">
        <v>0</v>
      </c>
      <c r="S284" s="258">
        <v>0</v>
      </c>
      <c r="T284" s="258">
        <v>0</v>
      </c>
      <c r="U284" s="258">
        <v>0</v>
      </c>
      <c r="V284" s="258">
        <v>0</v>
      </c>
      <c r="W284" s="258">
        <v>0</v>
      </c>
      <c r="X284" s="258">
        <v>0</v>
      </c>
      <c r="Y284" s="258">
        <v>0</v>
      </c>
      <c r="Z284" s="258">
        <v>0</v>
      </c>
      <c r="AA284" s="258">
        <v>0</v>
      </c>
      <c r="AB284" s="260">
        <v>2020</v>
      </c>
    </row>
    <row r="285" spans="1:28" s="6" customFormat="1" ht="35.25" customHeight="1" x14ac:dyDescent="0.5">
      <c r="A285" s="6">
        <v>1</v>
      </c>
      <c r="B285" s="225">
        <f>SUBTOTAL(103,$A$7:A285)</f>
        <v>274</v>
      </c>
      <c r="C285" s="254" t="s">
        <v>1825</v>
      </c>
      <c r="D285" s="255">
        <f t="shared" si="12"/>
        <v>1715000</v>
      </c>
      <c r="E285" s="258">
        <v>0</v>
      </c>
      <c r="F285" s="258">
        <v>0</v>
      </c>
      <c r="G285" s="258">
        <v>0</v>
      </c>
      <c r="H285" s="258">
        <v>0</v>
      </c>
      <c r="I285" s="258">
        <v>0</v>
      </c>
      <c r="J285" s="258">
        <v>0</v>
      </c>
      <c r="K285" s="259">
        <v>1</v>
      </c>
      <c r="L285" s="258">
        <v>1715000</v>
      </c>
      <c r="M285" s="258">
        <v>0</v>
      </c>
      <c r="N285" s="258">
        <v>0</v>
      </c>
      <c r="O285" s="258">
        <v>0</v>
      </c>
      <c r="P285" s="258">
        <v>0</v>
      </c>
      <c r="Q285" s="258">
        <v>0</v>
      </c>
      <c r="R285" s="258">
        <v>0</v>
      </c>
      <c r="S285" s="258">
        <v>0</v>
      </c>
      <c r="T285" s="258">
        <v>0</v>
      </c>
      <c r="U285" s="258">
        <v>0</v>
      </c>
      <c r="V285" s="258">
        <v>0</v>
      </c>
      <c r="W285" s="258">
        <v>0</v>
      </c>
      <c r="X285" s="258">
        <v>0</v>
      </c>
      <c r="Y285" s="258">
        <v>0</v>
      </c>
      <c r="Z285" s="258">
        <v>0</v>
      </c>
      <c r="AA285" s="258">
        <v>0</v>
      </c>
      <c r="AB285" s="260">
        <v>2020</v>
      </c>
    </row>
    <row r="286" spans="1:28" s="6" customFormat="1" ht="35.25" customHeight="1" x14ac:dyDescent="0.5">
      <c r="A286" s="6">
        <v>1</v>
      </c>
      <c r="B286" s="225">
        <f>SUBTOTAL(103,$A$7:A286)</f>
        <v>275</v>
      </c>
      <c r="C286" s="254" t="s">
        <v>2086</v>
      </c>
      <c r="D286" s="255">
        <f t="shared" si="12"/>
        <v>242201.66</v>
      </c>
      <c r="E286" s="261">
        <v>0</v>
      </c>
      <c r="F286" s="261">
        <v>0</v>
      </c>
      <c r="G286" s="261">
        <v>0</v>
      </c>
      <c r="H286" s="261">
        <v>0</v>
      </c>
      <c r="I286" s="261">
        <v>0</v>
      </c>
      <c r="J286" s="261">
        <v>0</v>
      </c>
      <c r="K286" s="262">
        <v>0</v>
      </c>
      <c r="L286" s="261">
        <v>0</v>
      </c>
      <c r="M286" s="261">
        <v>0</v>
      </c>
      <c r="N286" s="261">
        <v>0</v>
      </c>
      <c r="O286" s="261">
        <v>242201.66</v>
      </c>
      <c r="P286" s="261">
        <v>0</v>
      </c>
      <c r="Q286" s="261">
        <v>0</v>
      </c>
      <c r="R286" s="261">
        <v>0</v>
      </c>
      <c r="S286" s="261">
        <v>0</v>
      </c>
      <c r="T286" s="261">
        <v>0</v>
      </c>
      <c r="U286" s="261">
        <v>0</v>
      </c>
      <c r="V286" s="261">
        <v>0</v>
      </c>
      <c r="W286" s="261">
        <v>0</v>
      </c>
      <c r="X286" s="261">
        <v>0</v>
      </c>
      <c r="Y286" s="261">
        <v>0</v>
      </c>
      <c r="Z286" s="261">
        <v>0</v>
      </c>
      <c r="AA286" s="261">
        <v>0</v>
      </c>
      <c r="AB286" s="260">
        <v>2020</v>
      </c>
    </row>
    <row r="287" spans="1:28" s="6" customFormat="1" ht="35.25" customHeight="1" x14ac:dyDescent="0.5">
      <c r="A287" s="6">
        <v>1</v>
      </c>
      <c r="B287" s="225">
        <f>SUBTOTAL(103,$A$7:A287)</f>
        <v>276</v>
      </c>
      <c r="C287" s="254" t="s">
        <v>2087</v>
      </c>
      <c r="D287" s="255">
        <f t="shared" si="12"/>
        <v>508550.07</v>
      </c>
      <c r="E287" s="261">
        <v>0</v>
      </c>
      <c r="F287" s="261">
        <v>0</v>
      </c>
      <c r="G287" s="261">
        <v>0</v>
      </c>
      <c r="H287" s="261">
        <v>0</v>
      </c>
      <c r="I287" s="261">
        <v>0</v>
      </c>
      <c r="J287" s="261">
        <v>0</v>
      </c>
      <c r="K287" s="262">
        <v>0</v>
      </c>
      <c r="L287" s="261">
        <v>0</v>
      </c>
      <c r="M287" s="261">
        <v>0</v>
      </c>
      <c r="N287" s="261">
        <v>0</v>
      </c>
      <c r="O287" s="261">
        <v>508550.07</v>
      </c>
      <c r="P287" s="261">
        <v>0</v>
      </c>
      <c r="Q287" s="261">
        <v>0</v>
      </c>
      <c r="R287" s="261">
        <v>0</v>
      </c>
      <c r="S287" s="261">
        <v>0</v>
      </c>
      <c r="T287" s="261">
        <v>0</v>
      </c>
      <c r="U287" s="261">
        <v>0</v>
      </c>
      <c r="V287" s="261">
        <v>0</v>
      </c>
      <c r="W287" s="261">
        <v>0</v>
      </c>
      <c r="X287" s="261">
        <v>0</v>
      </c>
      <c r="Y287" s="261">
        <v>0</v>
      </c>
      <c r="Z287" s="261">
        <v>0</v>
      </c>
      <c r="AA287" s="261">
        <v>0</v>
      </c>
      <c r="AB287" s="260">
        <v>2020</v>
      </c>
    </row>
    <row r="288" spans="1:28" s="6" customFormat="1" ht="35.25" customHeight="1" x14ac:dyDescent="0.5">
      <c r="A288" s="6">
        <v>1</v>
      </c>
      <c r="B288" s="225">
        <f>SUBTOTAL(103,$A$7:A288)</f>
        <v>277</v>
      </c>
      <c r="C288" s="254" t="s">
        <v>2088</v>
      </c>
      <c r="D288" s="255">
        <f t="shared" si="12"/>
        <v>1247325.5900000001</v>
      </c>
      <c r="E288" s="261">
        <v>0</v>
      </c>
      <c r="F288" s="261">
        <v>0</v>
      </c>
      <c r="G288" s="261">
        <v>0</v>
      </c>
      <c r="H288" s="261">
        <v>0</v>
      </c>
      <c r="I288" s="261">
        <v>0</v>
      </c>
      <c r="J288" s="261">
        <v>0</v>
      </c>
      <c r="K288" s="262">
        <v>0</v>
      </c>
      <c r="L288" s="261">
        <v>0</v>
      </c>
      <c r="M288" s="261">
        <v>1247325.5900000001</v>
      </c>
      <c r="N288" s="261">
        <v>0</v>
      </c>
      <c r="O288" s="261">
        <v>0</v>
      </c>
      <c r="P288" s="261">
        <v>0</v>
      </c>
      <c r="Q288" s="261">
        <v>0</v>
      </c>
      <c r="R288" s="261">
        <v>0</v>
      </c>
      <c r="S288" s="261">
        <v>0</v>
      </c>
      <c r="T288" s="261">
        <v>0</v>
      </c>
      <c r="U288" s="261">
        <v>0</v>
      </c>
      <c r="V288" s="261">
        <v>0</v>
      </c>
      <c r="W288" s="261">
        <v>0</v>
      </c>
      <c r="X288" s="261">
        <v>0</v>
      </c>
      <c r="Y288" s="261">
        <v>0</v>
      </c>
      <c r="Z288" s="261">
        <v>0</v>
      </c>
      <c r="AA288" s="261">
        <v>0</v>
      </c>
      <c r="AB288" s="260">
        <v>2020</v>
      </c>
    </row>
    <row r="289" spans="1:28" s="6" customFormat="1" ht="35.25" customHeight="1" x14ac:dyDescent="0.5">
      <c r="A289" s="6">
        <v>1</v>
      </c>
      <c r="B289" s="225">
        <f>SUBTOTAL(103,$A$7:A289)</f>
        <v>278</v>
      </c>
      <c r="C289" s="254" t="s">
        <v>2089</v>
      </c>
      <c r="D289" s="255">
        <f t="shared" si="12"/>
        <v>1278007.1000000001</v>
      </c>
      <c r="E289" s="261">
        <v>0</v>
      </c>
      <c r="F289" s="261">
        <v>0</v>
      </c>
      <c r="G289" s="261">
        <v>0</v>
      </c>
      <c r="H289" s="261">
        <v>0</v>
      </c>
      <c r="I289" s="261">
        <v>0</v>
      </c>
      <c r="J289" s="261">
        <v>0</v>
      </c>
      <c r="K289" s="262">
        <v>0</v>
      </c>
      <c r="L289" s="261">
        <v>0</v>
      </c>
      <c r="M289" s="261">
        <v>0</v>
      </c>
      <c r="N289" s="261">
        <v>0</v>
      </c>
      <c r="O289" s="261">
        <v>1278007.1000000001</v>
      </c>
      <c r="P289" s="261">
        <v>0</v>
      </c>
      <c r="Q289" s="261">
        <v>0</v>
      </c>
      <c r="R289" s="261">
        <v>0</v>
      </c>
      <c r="S289" s="261">
        <v>0</v>
      </c>
      <c r="T289" s="261">
        <v>0</v>
      </c>
      <c r="U289" s="261">
        <v>0</v>
      </c>
      <c r="V289" s="261">
        <v>0</v>
      </c>
      <c r="W289" s="261">
        <v>0</v>
      </c>
      <c r="X289" s="261">
        <v>0</v>
      </c>
      <c r="Y289" s="261">
        <v>0</v>
      </c>
      <c r="Z289" s="261">
        <v>0</v>
      </c>
      <c r="AA289" s="261">
        <v>0</v>
      </c>
      <c r="AB289" s="260">
        <v>2020</v>
      </c>
    </row>
    <row r="290" spans="1:28" s="6" customFormat="1" ht="35.25" customHeight="1" x14ac:dyDescent="0.5">
      <c r="A290" s="6">
        <v>1</v>
      </c>
      <c r="B290" s="225">
        <f>SUBTOTAL(103,$A$7:A290)</f>
        <v>279</v>
      </c>
      <c r="C290" s="254" t="s">
        <v>2090</v>
      </c>
      <c r="D290" s="255">
        <f t="shared" si="12"/>
        <v>1573506.01</v>
      </c>
      <c r="E290" s="261">
        <v>0</v>
      </c>
      <c r="F290" s="261">
        <v>0</v>
      </c>
      <c r="G290" s="261">
        <v>0</v>
      </c>
      <c r="H290" s="261">
        <v>0</v>
      </c>
      <c r="I290" s="261">
        <v>0</v>
      </c>
      <c r="J290" s="261">
        <v>0</v>
      </c>
      <c r="K290" s="262">
        <v>0</v>
      </c>
      <c r="L290" s="261">
        <v>0</v>
      </c>
      <c r="M290" s="261">
        <v>1573506.01</v>
      </c>
      <c r="N290" s="261">
        <v>0</v>
      </c>
      <c r="O290" s="261">
        <v>0</v>
      </c>
      <c r="P290" s="261">
        <v>0</v>
      </c>
      <c r="Q290" s="261">
        <v>0</v>
      </c>
      <c r="R290" s="261">
        <v>0</v>
      </c>
      <c r="S290" s="261">
        <v>0</v>
      </c>
      <c r="T290" s="261">
        <v>0</v>
      </c>
      <c r="U290" s="261">
        <v>0</v>
      </c>
      <c r="V290" s="261">
        <v>0</v>
      </c>
      <c r="W290" s="261">
        <v>0</v>
      </c>
      <c r="X290" s="261">
        <v>0</v>
      </c>
      <c r="Y290" s="261">
        <v>0</v>
      </c>
      <c r="Z290" s="261">
        <v>0</v>
      </c>
      <c r="AA290" s="261">
        <v>0</v>
      </c>
      <c r="AB290" s="260">
        <v>2020</v>
      </c>
    </row>
    <row r="291" spans="1:28" s="6" customFormat="1" ht="35.25" customHeight="1" x14ac:dyDescent="0.5">
      <c r="A291" s="6">
        <v>1</v>
      </c>
      <c r="B291" s="225">
        <f>SUBTOTAL(103,$A$7:A291)</f>
        <v>280</v>
      </c>
      <c r="C291" s="254" t="s">
        <v>1934</v>
      </c>
      <c r="D291" s="255">
        <f t="shared" si="12"/>
        <v>589794.53</v>
      </c>
      <c r="E291" s="261">
        <v>0</v>
      </c>
      <c r="F291" s="261">
        <v>0</v>
      </c>
      <c r="G291" s="261">
        <v>0</v>
      </c>
      <c r="H291" s="261">
        <v>0</v>
      </c>
      <c r="I291" s="261">
        <v>0</v>
      </c>
      <c r="J291" s="261">
        <v>0</v>
      </c>
      <c r="K291" s="262">
        <v>0</v>
      </c>
      <c r="L291" s="261">
        <v>0</v>
      </c>
      <c r="M291" s="261">
        <v>0</v>
      </c>
      <c r="N291" s="261">
        <v>0</v>
      </c>
      <c r="O291" s="261">
        <v>589794.53</v>
      </c>
      <c r="P291" s="261">
        <v>0</v>
      </c>
      <c r="Q291" s="261">
        <v>0</v>
      </c>
      <c r="R291" s="261">
        <v>0</v>
      </c>
      <c r="S291" s="261">
        <v>0</v>
      </c>
      <c r="T291" s="261">
        <v>0</v>
      </c>
      <c r="U291" s="261">
        <v>0</v>
      </c>
      <c r="V291" s="261">
        <v>0</v>
      </c>
      <c r="W291" s="261">
        <v>0</v>
      </c>
      <c r="X291" s="261">
        <v>0</v>
      </c>
      <c r="Y291" s="261">
        <v>0</v>
      </c>
      <c r="Z291" s="261">
        <v>0</v>
      </c>
      <c r="AA291" s="261">
        <v>0</v>
      </c>
      <c r="AB291" s="260">
        <v>2020</v>
      </c>
    </row>
    <row r="292" spans="1:28" s="6" customFormat="1" ht="35.25" customHeight="1" x14ac:dyDescent="0.5">
      <c r="A292" s="6">
        <v>1</v>
      </c>
      <c r="B292" s="225">
        <f>SUBTOTAL(103,$A$7:A292)</f>
        <v>281</v>
      </c>
      <c r="C292" s="254" t="s">
        <v>2091</v>
      </c>
      <c r="D292" s="255">
        <f t="shared" si="12"/>
        <v>1815600.86</v>
      </c>
      <c r="E292" s="261">
        <v>0</v>
      </c>
      <c r="F292" s="261">
        <v>0</v>
      </c>
      <c r="G292" s="261">
        <v>1815600.86</v>
      </c>
      <c r="H292" s="261">
        <v>0</v>
      </c>
      <c r="I292" s="261">
        <v>0</v>
      </c>
      <c r="J292" s="261">
        <v>0</v>
      </c>
      <c r="K292" s="262">
        <v>0</v>
      </c>
      <c r="L292" s="261">
        <v>0</v>
      </c>
      <c r="M292" s="261">
        <v>0</v>
      </c>
      <c r="N292" s="261">
        <v>0</v>
      </c>
      <c r="O292" s="261">
        <v>0</v>
      </c>
      <c r="P292" s="261">
        <v>0</v>
      </c>
      <c r="Q292" s="261">
        <v>0</v>
      </c>
      <c r="R292" s="261">
        <v>0</v>
      </c>
      <c r="S292" s="261">
        <v>0</v>
      </c>
      <c r="T292" s="261">
        <v>0</v>
      </c>
      <c r="U292" s="261">
        <v>0</v>
      </c>
      <c r="V292" s="261">
        <v>0</v>
      </c>
      <c r="W292" s="261">
        <v>0</v>
      </c>
      <c r="X292" s="261">
        <v>0</v>
      </c>
      <c r="Y292" s="261">
        <v>0</v>
      </c>
      <c r="Z292" s="261">
        <v>0</v>
      </c>
      <c r="AA292" s="261">
        <v>0</v>
      </c>
      <c r="AB292" s="260">
        <v>2020</v>
      </c>
    </row>
    <row r="293" spans="1:28" s="6" customFormat="1" ht="35.25" customHeight="1" x14ac:dyDescent="0.5">
      <c r="A293" s="6">
        <v>1</v>
      </c>
      <c r="B293" s="225">
        <f>SUBTOTAL(103,$A$7:A293)</f>
        <v>282</v>
      </c>
      <c r="C293" s="254" t="s">
        <v>2092</v>
      </c>
      <c r="D293" s="255">
        <f t="shared" si="12"/>
        <v>1078229.55</v>
      </c>
      <c r="E293" s="261">
        <v>0</v>
      </c>
      <c r="F293" s="261">
        <v>0</v>
      </c>
      <c r="G293" s="261">
        <v>0</v>
      </c>
      <c r="H293" s="261">
        <v>0</v>
      </c>
      <c r="I293" s="261">
        <v>0</v>
      </c>
      <c r="J293" s="261">
        <v>0</v>
      </c>
      <c r="K293" s="262">
        <v>0</v>
      </c>
      <c r="L293" s="261">
        <v>0</v>
      </c>
      <c r="M293" s="261">
        <v>0</v>
      </c>
      <c r="N293" s="261">
        <v>0</v>
      </c>
      <c r="O293" s="261">
        <v>1078229.55</v>
      </c>
      <c r="P293" s="261">
        <v>0</v>
      </c>
      <c r="Q293" s="261">
        <v>0</v>
      </c>
      <c r="R293" s="261">
        <v>0</v>
      </c>
      <c r="S293" s="261">
        <v>0</v>
      </c>
      <c r="T293" s="261">
        <v>0</v>
      </c>
      <c r="U293" s="261">
        <v>0</v>
      </c>
      <c r="V293" s="261">
        <v>0</v>
      </c>
      <c r="W293" s="261">
        <v>0</v>
      </c>
      <c r="X293" s="261">
        <v>0</v>
      </c>
      <c r="Y293" s="261">
        <v>0</v>
      </c>
      <c r="Z293" s="261">
        <v>0</v>
      </c>
      <c r="AA293" s="261">
        <v>0</v>
      </c>
      <c r="AB293" s="260">
        <v>2020</v>
      </c>
    </row>
    <row r="294" spans="1:28" s="6" customFormat="1" ht="35.25" customHeight="1" x14ac:dyDescent="0.5">
      <c r="A294" s="6">
        <v>1</v>
      </c>
      <c r="B294" s="225">
        <f>SUBTOTAL(103,$A$7:A294)</f>
        <v>283</v>
      </c>
      <c r="C294" s="254" t="s">
        <v>2093</v>
      </c>
      <c r="D294" s="255">
        <f t="shared" si="12"/>
        <v>231984</v>
      </c>
      <c r="E294" s="261">
        <v>0</v>
      </c>
      <c r="F294" s="261">
        <v>0</v>
      </c>
      <c r="G294" s="261">
        <v>0</v>
      </c>
      <c r="H294" s="261">
        <v>0</v>
      </c>
      <c r="I294" s="261">
        <v>0</v>
      </c>
      <c r="J294" s="261">
        <v>0</v>
      </c>
      <c r="K294" s="262">
        <v>0</v>
      </c>
      <c r="L294" s="261">
        <v>0</v>
      </c>
      <c r="M294" s="261">
        <v>0</v>
      </c>
      <c r="N294" s="261">
        <v>0</v>
      </c>
      <c r="O294" s="261">
        <v>0</v>
      </c>
      <c r="P294" s="261">
        <v>231984</v>
      </c>
      <c r="Q294" s="261">
        <v>0</v>
      </c>
      <c r="R294" s="261">
        <v>0</v>
      </c>
      <c r="S294" s="261">
        <v>0</v>
      </c>
      <c r="T294" s="261">
        <v>0</v>
      </c>
      <c r="U294" s="261">
        <v>0</v>
      </c>
      <c r="V294" s="261">
        <v>0</v>
      </c>
      <c r="W294" s="261">
        <v>0</v>
      </c>
      <c r="X294" s="261">
        <v>0</v>
      </c>
      <c r="Y294" s="261">
        <v>0</v>
      </c>
      <c r="Z294" s="261">
        <v>0</v>
      </c>
      <c r="AA294" s="261">
        <v>0</v>
      </c>
      <c r="AB294" s="260">
        <v>2020</v>
      </c>
    </row>
    <row r="295" spans="1:28" s="6" customFormat="1" ht="35.25" customHeight="1" x14ac:dyDescent="0.5">
      <c r="A295" s="6">
        <v>1</v>
      </c>
      <c r="B295" s="225">
        <f>SUBTOTAL(103,$A$7:A295)</f>
        <v>284</v>
      </c>
      <c r="C295" s="254" t="s">
        <v>2094</v>
      </c>
      <c r="D295" s="255">
        <f t="shared" si="12"/>
        <v>1578380.8</v>
      </c>
      <c r="E295" s="261">
        <v>0</v>
      </c>
      <c r="F295" s="261">
        <v>0</v>
      </c>
      <c r="G295" s="261">
        <v>0</v>
      </c>
      <c r="H295" s="261">
        <v>0</v>
      </c>
      <c r="I295" s="261">
        <v>0</v>
      </c>
      <c r="J295" s="261">
        <v>0</v>
      </c>
      <c r="K295" s="262">
        <v>0</v>
      </c>
      <c r="L295" s="261">
        <v>0</v>
      </c>
      <c r="M295" s="261">
        <v>1028291</v>
      </c>
      <c r="N295" s="261">
        <v>0</v>
      </c>
      <c r="O295" s="261">
        <v>550089.80000000005</v>
      </c>
      <c r="P295" s="261">
        <v>0</v>
      </c>
      <c r="Q295" s="261">
        <v>0</v>
      </c>
      <c r="R295" s="261">
        <v>0</v>
      </c>
      <c r="S295" s="261">
        <v>0</v>
      </c>
      <c r="T295" s="261">
        <v>0</v>
      </c>
      <c r="U295" s="261">
        <v>0</v>
      </c>
      <c r="V295" s="261">
        <v>0</v>
      </c>
      <c r="W295" s="261">
        <v>0</v>
      </c>
      <c r="X295" s="261">
        <v>0</v>
      </c>
      <c r="Y295" s="261">
        <v>0</v>
      </c>
      <c r="Z295" s="261">
        <v>0</v>
      </c>
      <c r="AA295" s="261">
        <v>0</v>
      </c>
      <c r="AB295" s="260">
        <v>2020</v>
      </c>
    </row>
    <row r="296" spans="1:28" s="6" customFormat="1" ht="35.25" customHeight="1" x14ac:dyDescent="0.5">
      <c r="A296" s="6">
        <v>1</v>
      </c>
      <c r="B296" s="225">
        <f>SUBTOTAL(103,$A$7:A296)</f>
        <v>285</v>
      </c>
      <c r="C296" s="254" t="s">
        <v>2095</v>
      </c>
      <c r="D296" s="255">
        <f t="shared" si="12"/>
        <v>567062.04</v>
      </c>
      <c r="E296" s="261">
        <v>0</v>
      </c>
      <c r="F296" s="261">
        <v>0</v>
      </c>
      <c r="G296" s="261">
        <v>0</v>
      </c>
      <c r="H296" s="261">
        <v>0</v>
      </c>
      <c r="I296" s="261">
        <v>567062.04</v>
      </c>
      <c r="J296" s="261">
        <v>0</v>
      </c>
      <c r="K296" s="262">
        <v>0</v>
      </c>
      <c r="L296" s="261">
        <v>0</v>
      </c>
      <c r="M296" s="261">
        <v>0</v>
      </c>
      <c r="N296" s="261">
        <v>0</v>
      </c>
      <c r="O296" s="261">
        <v>0</v>
      </c>
      <c r="P296" s="261">
        <v>0</v>
      </c>
      <c r="Q296" s="261">
        <v>0</v>
      </c>
      <c r="R296" s="261">
        <v>0</v>
      </c>
      <c r="S296" s="261">
        <v>0</v>
      </c>
      <c r="T296" s="261">
        <v>0</v>
      </c>
      <c r="U296" s="261">
        <v>0</v>
      </c>
      <c r="V296" s="261">
        <v>0</v>
      </c>
      <c r="W296" s="261">
        <v>0</v>
      </c>
      <c r="X296" s="261">
        <v>0</v>
      </c>
      <c r="Y296" s="261">
        <v>0</v>
      </c>
      <c r="Z296" s="261">
        <v>0</v>
      </c>
      <c r="AA296" s="261">
        <v>0</v>
      </c>
      <c r="AB296" s="260">
        <v>2020</v>
      </c>
    </row>
    <row r="297" spans="1:28" s="6" customFormat="1" ht="35.25" customHeight="1" x14ac:dyDescent="0.5">
      <c r="A297" s="6">
        <v>1</v>
      </c>
      <c r="B297" s="225">
        <f>SUBTOTAL(103,$A$7:A297)</f>
        <v>286</v>
      </c>
      <c r="C297" s="254" t="s">
        <v>2096</v>
      </c>
      <c r="D297" s="255">
        <f t="shared" si="12"/>
        <v>2516334.0499999998</v>
      </c>
      <c r="E297" s="261">
        <v>0</v>
      </c>
      <c r="F297" s="261">
        <v>0</v>
      </c>
      <c r="G297" s="261">
        <v>0</v>
      </c>
      <c r="H297" s="261">
        <v>0</v>
      </c>
      <c r="I297" s="261">
        <v>0</v>
      </c>
      <c r="J297" s="261">
        <v>0</v>
      </c>
      <c r="K297" s="262">
        <v>0</v>
      </c>
      <c r="L297" s="261">
        <v>0</v>
      </c>
      <c r="M297" s="261">
        <v>2516334.0499999998</v>
      </c>
      <c r="N297" s="261">
        <v>0</v>
      </c>
      <c r="O297" s="261">
        <v>0</v>
      </c>
      <c r="P297" s="261">
        <v>0</v>
      </c>
      <c r="Q297" s="261">
        <v>0</v>
      </c>
      <c r="R297" s="261">
        <v>0</v>
      </c>
      <c r="S297" s="261">
        <v>0</v>
      </c>
      <c r="T297" s="261">
        <v>0</v>
      </c>
      <c r="U297" s="261">
        <v>0</v>
      </c>
      <c r="V297" s="261">
        <v>0</v>
      </c>
      <c r="W297" s="261">
        <v>0</v>
      </c>
      <c r="X297" s="261">
        <v>0</v>
      </c>
      <c r="Y297" s="261">
        <v>0</v>
      </c>
      <c r="Z297" s="261">
        <v>0</v>
      </c>
      <c r="AA297" s="261">
        <v>0</v>
      </c>
      <c r="AB297" s="260">
        <v>2020</v>
      </c>
    </row>
    <row r="298" spans="1:28" s="6" customFormat="1" ht="35.25" customHeight="1" x14ac:dyDescent="0.5">
      <c r="A298" s="6">
        <v>1</v>
      </c>
      <c r="B298" s="225">
        <f>SUBTOTAL(103,$A$7:A298)</f>
        <v>287</v>
      </c>
      <c r="C298" s="254" t="s">
        <v>2097</v>
      </c>
      <c r="D298" s="255">
        <f t="shared" si="12"/>
        <v>294657.71999999997</v>
      </c>
      <c r="E298" s="261">
        <v>294657.71999999997</v>
      </c>
      <c r="F298" s="261">
        <v>0</v>
      </c>
      <c r="G298" s="261">
        <v>0</v>
      </c>
      <c r="H298" s="261">
        <v>0</v>
      </c>
      <c r="I298" s="261">
        <v>0</v>
      </c>
      <c r="J298" s="261">
        <v>0</v>
      </c>
      <c r="K298" s="262">
        <v>0</v>
      </c>
      <c r="L298" s="261">
        <v>0</v>
      </c>
      <c r="M298" s="261">
        <v>0</v>
      </c>
      <c r="N298" s="261">
        <v>0</v>
      </c>
      <c r="O298" s="261">
        <v>0</v>
      </c>
      <c r="P298" s="261">
        <v>0</v>
      </c>
      <c r="Q298" s="261">
        <v>0</v>
      </c>
      <c r="R298" s="261">
        <v>0</v>
      </c>
      <c r="S298" s="261">
        <v>0</v>
      </c>
      <c r="T298" s="261">
        <v>0</v>
      </c>
      <c r="U298" s="261">
        <v>0</v>
      </c>
      <c r="V298" s="261">
        <v>0</v>
      </c>
      <c r="W298" s="261">
        <v>0</v>
      </c>
      <c r="X298" s="261">
        <v>0</v>
      </c>
      <c r="Y298" s="261">
        <v>0</v>
      </c>
      <c r="Z298" s="261">
        <v>0</v>
      </c>
      <c r="AA298" s="261">
        <v>0</v>
      </c>
      <c r="AB298" s="260">
        <v>2020</v>
      </c>
    </row>
    <row r="299" spans="1:28" s="6" customFormat="1" ht="35.25" customHeight="1" x14ac:dyDescent="0.5">
      <c r="A299" s="6">
        <v>1</v>
      </c>
      <c r="B299" s="225">
        <f>SUBTOTAL(103,$A$7:A299)</f>
        <v>288</v>
      </c>
      <c r="C299" s="254" t="s">
        <v>2098</v>
      </c>
      <c r="D299" s="255">
        <f t="shared" si="12"/>
        <v>369249.28000000003</v>
      </c>
      <c r="E299" s="261">
        <v>0</v>
      </c>
      <c r="F299" s="261">
        <v>0</v>
      </c>
      <c r="G299" s="261">
        <v>0</v>
      </c>
      <c r="H299" s="261">
        <v>0</v>
      </c>
      <c r="I299" s="261">
        <v>0</v>
      </c>
      <c r="J299" s="261">
        <v>0</v>
      </c>
      <c r="K299" s="262">
        <v>0</v>
      </c>
      <c r="L299" s="261">
        <v>0</v>
      </c>
      <c r="M299" s="261">
        <v>369249.28000000003</v>
      </c>
      <c r="N299" s="261">
        <v>0</v>
      </c>
      <c r="O299" s="261">
        <v>0</v>
      </c>
      <c r="P299" s="261">
        <v>0</v>
      </c>
      <c r="Q299" s="261">
        <v>0</v>
      </c>
      <c r="R299" s="261">
        <v>0</v>
      </c>
      <c r="S299" s="261">
        <v>0</v>
      </c>
      <c r="T299" s="261">
        <v>0</v>
      </c>
      <c r="U299" s="261">
        <v>0</v>
      </c>
      <c r="V299" s="261">
        <v>0</v>
      </c>
      <c r="W299" s="261">
        <v>0</v>
      </c>
      <c r="X299" s="261">
        <v>0</v>
      </c>
      <c r="Y299" s="261">
        <v>0</v>
      </c>
      <c r="Z299" s="261">
        <v>0</v>
      </c>
      <c r="AA299" s="261">
        <v>0</v>
      </c>
      <c r="AB299" s="260">
        <v>2020</v>
      </c>
    </row>
    <row r="300" spans="1:28" s="6" customFormat="1" ht="35.25" customHeight="1" x14ac:dyDescent="0.5">
      <c r="A300" s="6">
        <v>1</v>
      </c>
      <c r="B300" s="225">
        <f>SUBTOTAL(103,$A$7:A300)</f>
        <v>289</v>
      </c>
      <c r="C300" s="254" t="s">
        <v>2099</v>
      </c>
      <c r="D300" s="255">
        <f t="shared" si="12"/>
        <v>1052055</v>
      </c>
      <c r="E300" s="261">
        <v>0</v>
      </c>
      <c r="F300" s="261">
        <v>0</v>
      </c>
      <c r="G300" s="261">
        <v>1052055</v>
      </c>
      <c r="H300" s="261">
        <v>0</v>
      </c>
      <c r="I300" s="261">
        <v>0</v>
      </c>
      <c r="J300" s="261">
        <v>0</v>
      </c>
      <c r="K300" s="262">
        <v>0</v>
      </c>
      <c r="L300" s="261">
        <v>0</v>
      </c>
      <c r="M300" s="261">
        <v>0</v>
      </c>
      <c r="N300" s="261">
        <v>0</v>
      </c>
      <c r="O300" s="261">
        <v>0</v>
      </c>
      <c r="P300" s="261">
        <v>0</v>
      </c>
      <c r="Q300" s="261">
        <v>0</v>
      </c>
      <c r="R300" s="261">
        <v>0</v>
      </c>
      <c r="S300" s="261">
        <v>0</v>
      </c>
      <c r="T300" s="261">
        <v>0</v>
      </c>
      <c r="U300" s="261">
        <v>0</v>
      </c>
      <c r="V300" s="261">
        <v>0</v>
      </c>
      <c r="W300" s="261">
        <v>0</v>
      </c>
      <c r="X300" s="261">
        <v>0</v>
      </c>
      <c r="Y300" s="261">
        <v>0</v>
      </c>
      <c r="Z300" s="261">
        <v>0</v>
      </c>
      <c r="AA300" s="261">
        <v>0</v>
      </c>
      <c r="AB300" s="260">
        <v>2020</v>
      </c>
    </row>
    <row r="301" spans="1:28" s="6" customFormat="1" ht="35.25" customHeight="1" x14ac:dyDescent="0.5">
      <c r="A301" s="6">
        <v>1</v>
      </c>
      <c r="B301" s="225">
        <f>SUBTOTAL(103,$A$7:A301)</f>
        <v>290</v>
      </c>
      <c r="C301" s="254" t="s">
        <v>2100</v>
      </c>
      <c r="D301" s="255">
        <f t="shared" si="12"/>
        <v>527399.5</v>
      </c>
      <c r="E301" s="261">
        <v>0</v>
      </c>
      <c r="F301" s="261">
        <v>0</v>
      </c>
      <c r="G301" s="261">
        <v>0</v>
      </c>
      <c r="H301" s="261">
        <v>0</v>
      </c>
      <c r="I301" s="261">
        <v>0</v>
      </c>
      <c r="J301" s="261">
        <v>0</v>
      </c>
      <c r="K301" s="262">
        <v>0</v>
      </c>
      <c r="L301" s="261">
        <v>0</v>
      </c>
      <c r="M301" s="261">
        <v>527399.5</v>
      </c>
      <c r="N301" s="261">
        <v>0</v>
      </c>
      <c r="O301" s="261">
        <v>0</v>
      </c>
      <c r="P301" s="261">
        <v>0</v>
      </c>
      <c r="Q301" s="261">
        <v>0</v>
      </c>
      <c r="R301" s="261">
        <v>0</v>
      </c>
      <c r="S301" s="261">
        <v>0</v>
      </c>
      <c r="T301" s="261">
        <v>0</v>
      </c>
      <c r="U301" s="261">
        <v>0</v>
      </c>
      <c r="V301" s="261">
        <v>0</v>
      </c>
      <c r="W301" s="261">
        <v>0</v>
      </c>
      <c r="X301" s="261">
        <v>0</v>
      </c>
      <c r="Y301" s="261">
        <v>0</v>
      </c>
      <c r="Z301" s="261">
        <v>0</v>
      </c>
      <c r="AA301" s="261">
        <v>0</v>
      </c>
      <c r="AB301" s="260">
        <v>2020</v>
      </c>
    </row>
    <row r="302" spans="1:28" s="6" customFormat="1" ht="35.25" customHeight="1" x14ac:dyDescent="0.5">
      <c r="A302" s="6">
        <v>1</v>
      </c>
      <c r="B302" s="225">
        <f>SUBTOTAL(103,$A$7:A302)</f>
        <v>291</v>
      </c>
      <c r="C302" s="254" t="s">
        <v>2101</v>
      </c>
      <c r="D302" s="255">
        <f t="shared" si="12"/>
        <v>687319</v>
      </c>
      <c r="E302" s="261">
        <v>0</v>
      </c>
      <c r="F302" s="261">
        <v>0</v>
      </c>
      <c r="G302" s="261">
        <v>0</v>
      </c>
      <c r="H302" s="261">
        <v>0</v>
      </c>
      <c r="I302" s="261">
        <v>0</v>
      </c>
      <c r="J302" s="261">
        <v>0</v>
      </c>
      <c r="K302" s="262">
        <v>0</v>
      </c>
      <c r="L302" s="261">
        <v>0</v>
      </c>
      <c r="M302" s="261">
        <v>687319</v>
      </c>
      <c r="N302" s="261">
        <v>0</v>
      </c>
      <c r="O302" s="261">
        <v>0</v>
      </c>
      <c r="P302" s="261">
        <v>0</v>
      </c>
      <c r="Q302" s="261">
        <v>0</v>
      </c>
      <c r="R302" s="261">
        <v>0</v>
      </c>
      <c r="S302" s="261">
        <v>0</v>
      </c>
      <c r="T302" s="261">
        <v>0</v>
      </c>
      <c r="U302" s="261">
        <v>0</v>
      </c>
      <c r="V302" s="261">
        <v>0</v>
      </c>
      <c r="W302" s="261">
        <v>0</v>
      </c>
      <c r="X302" s="261">
        <v>0</v>
      </c>
      <c r="Y302" s="261">
        <v>0</v>
      </c>
      <c r="Z302" s="261">
        <v>0</v>
      </c>
      <c r="AA302" s="261">
        <v>0</v>
      </c>
      <c r="AB302" s="260">
        <v>2020</v>
      </c>
    </row>
    <row r="303" spans="1:28" s="6" customFormat="1" ht="35.25" customHeight="1" x14ac:dyDescent="0.5">
      <c r="A303" s="6">
        <v>1</v>
      </c>
      <c r="B303" s="225">
        <f>SUBTOTAL(103,$A$7:A303)</f>
        <v>292</v>
      </c>
      <c r="C303" s="254" t="s">
        <v>2102</v>
      </c>
      <c r="D303" s="255">
        <f t="shared" si="12"/>
        <v>350000</v>
      </c>
      <c r="E303" s="261">
        <v>0</v>
      </c>
      <c r="F303" s="261">
        <v>0</v>
      </c>
      <c r="G303" s="261">
        <v>0</v>
      </c>
      <c r="H303" s="261">
        <v>0</v>
      </c>
      <c r="I303" s="261">
        <v>0</v>
      </c>
      <c r="J303" s="261">
        <v>0</v>
      </c>
      <c r="K303" s="262">
        <v>0</v>
      </c>
      <c r="L303" s="261">
        <v>0</v>
      </c>
      <c r="M303" s="261">
        <v>350000</v>
      </c>
      <c r="N303" s="261">
        <v>0</v>
      </c>
      <c r="O303" s="261">
        <v>0</v>
      </c>
      <c r="P303" s="261">
        <v>0</v>
      </c>
      <c r="Q303" s="261">
        <v>0</v>
      </c>
      <c r="R303" s="261">
        <v>0</v>
      </c>
      <c r="S303" s="261">
        <v>0</v>
      </c>
      <c r="T303" s="261">
        <v>0</v>
      </c>
      <c r="U303" s="261">
        <v>0</v>
      </c>
      <c r="V303" s="261">
        <v>0</v>
      </c>
      <c r="W303" s="261">
        <v>0</v>
      </c>
      <c r="X303" s="261">
        <v>0</v>
      </c>
      <c r="Y303" s="261">
        <v>0</v>
      </c>
      <c r="Z303" s="261">
        <v>0</v>
      </c>
      <c r="AA303" s="261">
        <v>0</v>
      </c>
      <c r="AB303" s="260">
        <v>2020</v>
      </c>
    </row>
    <row r="304" spans="1:28" s="6" customFormat="1" ht="35.25" customHeight="1" x14ac:dyDescent="0.5">
      <c r="A304" s="6">
        <v>1</v>
      </c>
      <c r="B304" s="225">
        <f>SUBTOTAL(103,$A$7:A304)</f>
        <v>293</v>
      </c>
      <c r="C304" s="254" t="s">
        <v>2103</v>
      </c>
      <c r="D304" s="255">
        <f t="shared" si="12"/>
        <v>571302</v>
      </c>
      <c r="E304" s="261">
        <v>0</v>
      </c>
      <c r="F304" s="261">
        <v>0</v>
      </c>
      <c r="G304" s="261">
        <v>0</v>
      </c>
      <c r="H304" s="261">
        <v>0</v>
      </c>
      <c r="I304" s="261">
        <v>0</v>
      </c>
      <c r="J304" s="261">
        <v>0</v>
      </c>
      <c r="K304" s="262">
        <v>0</v>
      </c>
      <c r="L304" s="261">
        <v>0</v>
      </c>
      <c r="M304" s="261">
        <v>0</v>
      </c>
      <c r="N304" s="261">
        <v>0</v>
      </c>
      <c r="O304" s="261">
        <v>571302</v>
      </c>
      <c r="P304" s="261">
        <v>0</v>
      </c>
      <c r="Q304" s="261">
        <v>0</v>
      </c>
      <c r="R304" s="261">
        <v>0</v>
      </c>
      <c r="S304" s="261">
        <v>0</v>
      </c>
      <c r="T304" s="261">
        <v>0</v>
      </c>
      <c r="U304" s="261">
        <v>0</v>
      </c>
      <c r="V304" s="261">
        <v>0</v>
      </c>
      <c r="W304" s="261">
        <v>0</v>
      </c>
      <c r="X304" s="261">
        <v>0</v>
      </c>
      <c r="Y304" s="261">
        <v>0</v>
      </c>
      <c r="Z304" s="261">
        <v>0</v>
      </c>
      <c r="AA304" s="261">
        <v>0</v>
      </c>
      <c r="AB304" s="260">
        <v>2020</v>
      </c>
    </row>
    <row r="305" spans="1:28" s="6" customFormat="1" ht="35.25" customHeight="1" x14ac:dyDescent="0.5">
      <c r="A305" s="6">
        <v>1</v>
      </c>
      <c r="B305" s="225">
        <f>SUBTOTAL(103,$A$7:A305)</f>
        <v>294</v>
      </c>
      <c r="C305" s="254" t="s">
        <v>2104</v>
      </c>
      <c r="D305" s="255">
        <f t="shared" si="12"/>
        <v>283242</v>
      </c>
      <c r="E305" s="261">
        <v>0</v>
      </c>
      <c r="F305" s="261">
        <v>0</v>
      </c>
      <c r="G305" s="261">
        <v>0</v>
      </c>
      <c r="H305" s="261">
        <v>0</v>
      </c>
      <c r="I305" s="261">
        <v>0</v>
      </c>
      <c r="J305" s="261">
        <v>0</v>
      </c>
      <c r="K305" s="262">
        <v>0</v>
      </c>
      <c r="L305" s="261">
        <v>0</v>
      </c>
      <c r="M305" s="261">
        <v>283242</v>
      </c>
      <c r="N305" s="261">
        <v>0</v>
      </c>
      <c r="O305" s="261">
        <v>0</v>
      </c>
      <c r="P305" s="261">
        <v>0</v>
      </c>
      <c r="Q305" s="261">
        <v>0</v>
      </c>
      <c r="R305" s="261">
        <v>0</v>
      </c>
      <c r="S305" s="261">
        <v>0</v>
      </c>
      <c r="T305" s="261">
        <v>0</v>
      </c>
      <c r="U305" s="261">
        <v>0</v>
      </c>
      <c r="V305" s="261">
        <v>0</v>
      </c>
      <c r="W305" s="261">
        <v>0</v>
      </c>
      <c r="X305" s="261">
        <v>0</v>
      </c>
      <c r="Y305" s="261">
        <v>0</v>
      </c>
      <c r="Z305" s="261">
        <v>0</v>
      </c>
      <c r="AA305" s="261">
        <v>0</v>
      </c>
      <c r="AB305" s="260">
        <v>2020</v>
      </c>
    </row>
    <row r="306" spans="1:28" s="6" customFormat="1" ht="35.25" customHeight="1" x14ac:dyDescent="0.5">
      <c r="A306" s="6">
        <v>1</v>
      </c>
      <c r="B306" s="225">
        <f>SUBTOTAL(103,$A$7:A306)</f>
        <v>295</v>
      </c>
      <c r="C306" s="254" t="s">
        <v>2105</v>
      </c>
      <c r="D306" s="255">
        <f t="shared" si="12"/>
        <v>210000</v>
      </c>
      <c r="E306" s="261">
        <v>0</v>
      </c>
      <c r="F306" s="261">
        <v>0</v>
      </c>
      <c r="G306" s="261">
        <v>0</v>
      </c>
      <c r="H306" s="261">
        <v>0</v>
      </c>
      <c r="I306" s="261">
        <v>0</v>
      </c>
      <c r="J306" s="261">
        <v>0</v>
      </c>
      <c r="K306" s="262">
        <v>0</v>
      </c>
      <c r="L306" s="261">
        <v>0</v>
      </c>
      <c r="M306" s="261">
        <v>210000</v>
      </c>
      <c r="N306" s="261">
        <v>0</v>
      </c>
      <c r="O306" s="261">
        <v>0</v>
      </c>
      <c r="P306" s="261">
        <v>0</v>
      </c>
      <c r="Q306" s="261">
        <v>0</v>
      </c>
      <c r="R306" s="261">
        <v>0</v>
      </c>
      <c r="S306" s="261">
        <v>0</v>
      </c>
      <c r="T306" s="261">
        <v>0</v>
      </c>
      <c r="U306" s="261">
        <v>0</v>
      </c>
      <c r="V306" s="261">
        <v>0</v>
      </c>
      <c r="W306" s="261">
        <v>0</v>
      </c>
      <c r="X306" s="261">
        <v>0</v>
      </c>
      <c r="Y306" s="261">
        <v>0</v>
      </c>
      <c r="Z306" s="261">
        <v>0</v>
      </c>
      <c r="AA306" s="261">
        <v>0</v>
      </c>
      <c r="AB306" s="260">
        <v>2020</v>
      </c>
    </row>
    <row r="307" spans="1:28" s="6" customFormat="1" ht="35.25" customHeight="1" x14ac:dyDescent="0.5">
      <c r="A307" s="6">
        <v>1</v>
      </c>
      <c r="B307" s="225">
        <f>SUBTOTAL(103,$A$7:A307)</f>
        <v>296</v>
      </c>
      <c r="C307" s="254" t="s">
        <v>2106</v>
      </c>
      <c r="D307" s="255">
        <f t="shared" si="12"/>
        <v>482863</v>
      </c>
      <c r="E307" s="261">
        <v>0</v>
      </c>
      <c r="F307" s="261">
        <v>0</v>
      </c>
      <c r="G307" s="261">
        <v>482863</v>
      </c>
      <c r="H307" s="261">
        <v>0</v>
      </c>
      <c r="I307" s="261">
        <v>0</v>
      </c>
      <c r="J307" s="261">
        <v>0</v>
      </c>
      <c r="K307" s="262">
        <v>0</v>
      </c>
      <c r="L307" s="261">
        <v>0</v>
      </c>
      <c r="M307" s="261">
        <v>0</v>
      </c>
      <c r="N307" s="261">
        <v>0</v>
      </c>
      <c r="O307" s="261">
        <v>0</v>
      </c>
      <c r="P307" s="261">
        <v>0</v>
      </c>
      <c r="Q307" s="261">
        <v>0</v>
      </c>
      <c r="R307" s="261">
        <v>0</v>
      </c>
      <c r="S307" s="261">
        <v>0</v>
      </c>
      <c r="T307" s="261">
        <v>0</v>
      </c>
      <c r="U307" s="261">
        <v>0</v>
      </c>
      <c r="V307" s="261">
        <v>0</v>
      </c>
      <c r="W307" s="261">
        <v>0</v>
      </c>
      <c r="X307" s="261">
        <v>0</v>
      </c>
      <c r="Y307" s="261">
        <v>0</v>
      </c>
      <c r="Z307" s="261">
        <v>0</v>
      </c>
      <c r="AA307" s="261">
        <v>0</v>
      </c>
      <c r="AB307" s="260">
        <v>2020</v>
      </c>
    </row>
    <row r="308" spans="1:28" s="6" customFormat="1" ht="35.25" customHeight="1" x14ac:dyDescent="0.5">
      <c r="A308" s="6">
        <v>1</v>
      </c>
      <c r="B308" s="225">
        <f>SUBTOTAL(103,$A$7:A308)</f>
        <v>297</v>
      </c>
      <c r="C308" s="254" t="s">
        <v>2107</v>
      </c>
      <c r="D308" s="255">
        <f t="shared" si="12"/>
        <v>71221.2</v>
      </c>
      <c r="E308" s="261">
        <v>0</v>
      </c>
      <c r="F308" s="261">
        <v>0</v>
      </c>
      <c r="G308" s="261">
        <v>0</v>
      </c>
      <c r="H308" s="261">
        <v>0</v>
      </c>
      <c r="I308" s="261">
        <v>0</v>
      </c>
      <c r="J308" s="261">
        <v>0</v>
      </c>
      <c r="K308" s="262">
        <v>0</v>
      </c>
      <c r="L308" s="261">
        <v>0</v>
      </c>
      <c r="M308" s="261">
        <v>71221.2</v>
      </c>
      <c r="N308" s="261">
        <v>0</v>
      </c>
      <c r="O308" s="261">
        <v>0</v>
      </c>
      <c r="P308" s="261">
        <v>0</v>
      </c>
      <c r="Q308" s="261">
        <v>0</v>
      </c>
      <c r="R308" s="261">
        <v>0</v>
      </c>
      <c r="S308" s="261">
        <v>0</v>
      </c>
      <c r="T308" s="261">
        <v>0</v>
      </c>
      <c r="U308" s="261">
        <v>0</v>
      </c>
      <c r="V308" s="261">
        <v>0</v>
      </c>
      <c r="W308" s="261">
        <v>0</v>
      </c>
      <c r="X308" s="261">
        <v>0</v>
      </c>
      <c r="Y308" s="261">
        <v>0</v>
      </c>
      <c r="Z308" s="261">
        <v>0</v>
      </c>
      <c r="AA308" s="261">
        <v>0</v>
      </c>
      <c r="AB308" s="260">
        <v>2020</v>
      </c>
    </row>
    <row r="309" spans="1:28" s="6" customFormat="1" ht="35.25" customHeight="1" x14ac:dyDescent="0.5">
      <c r="A309" s="6">
        <v>1</v>
      </c>
      <c r="B309" s="225">
        <f>SUBTOTAL(103,$A$7:A309)</f>
        <v>298</v>
      </c>
      <c r="C309" s="254" t="s">
        <v>2108</v>
      </c>
      <c r="D309" s="255">
        <f t="shared" si="12"/>
        <v>265768</v>
      </c>
      <c r="E309" s="261">
        <v>0</v>
      </c>
      <c r="F309" s="261">
        <v>0</v>
      </c>
      <c r="G309" s="261">
        <v>265768</v>
      </c>
      <c r="H309" s="261">
        <v>0</v>
      </c>
      <c r="I309" s="261">
        <v>0</v>
      </c>
      <c r="J309" s="261">
        <v>0</v>
      </c>
      <c r="K309" s="262">
        <v>0</v>
      </c>
      <c r="L309" s="261">
        <v>0</v>
      </c>
      <c r="M309" s="261">
        <v>0</v>
      </c>
      <c r="N309" s="261">
        <v>0</v>
      </c>
      <c r="O309" s="261">
        <v>0</v>
      </c>
      <c r="P309" s="261">
        <v>0</v>
      </c>
      <c r="Q309" s="261">
        <v>0</v>
      </c>
      <c r="R309" s="261">
        <v>0</v>
      </c>
      <c r="S309" s="261">
        <v>0</v>
      </c>
      <c r="T309" s="261">
        <v>0</v>
      </c>
      <c r="U309" s="261">
        <v>0</v>
      </c>
      <c r="V309" s="261">
        <v>0</v>
      </c>
      <c r="W309" s="261">
        <v>0</v>
      </c>
      <c r="X309" s="261">
        <v>0</v>
      </c>
      <c r="Y309" s="261">
        <v>0</v>
      </c>
      <c r="Z309" s="261">
        <v>0</v>
      </c>
      <c r="AA309" s="261">
        <v>0</v>
      </c>
      <c r="AB309" s="260">
        <v>2020</v>
      </c>
    </row>
    <row r="310" spans="1:28" s="6" customFormat="1" ht="35.25" customHeight="1" x14ac:dyDescent="0.5">
      <c r="A310" s="6">
        <v>1</v>
      </c>
      <c r="B310" s="225">
        <f>SUBTOTAL(103,$A$7:A310)</f>
        <v>299</v>
      </c>
      <c r="C310" s="254" t="s">
        <v>2109</v>
      </c>
      <c r="D310" s="255">
        <f t="shared" si="12"/>
        <v>223076</v>
      </c>
      <c r="E310" s="261">
        <v>0</v>
      </c>
      <c r="F310" s="261">
        <v>0</v>
      </c>
      <c r="G310" s="261">
        <v>0</v>
      </c>
      <c r="H310" s="261">
        <v>13076</v>
      </c>
      <c r="I310" s="261">
        <v>0</v>
      </c>
      <c r="J310" s="261">
        <v>0</v>
      </c>
      <c r="K310" s="262">
        <v>0</v>
      </c>
      <c r="L310" s="261">
        <v>0</v>
      </c>
      <c r="M310" s="261">
        <v>0</v>
      </c>
      <c r="N310" s="261">
        <v>0</v>
      </c>
      <c r="O310" s="261">
        <v>210000</v>
      </c>
      <c r="P310" s="261">
        <v>0</v>
      </c>
      <c r="Q310" s="261">
        <v>0</v>
      </c>
      <c r="R310" s="261">
        <v>0</v>
      </c>
      <c r="S310" s="261">
        <v>0</v>
      </c>
      <c r="T310" s="261">
        <v>0</v>
      </c>
      <c r="U310" s="261">
        <v>0</v>
      </c>
      <c r="V310" s="261">
        <v>0</v>
      </c>
      <c r="W310" s="261">
        <v>0</v>
      </c>
      <c r="X310" s="261">
        <v>0</v>
      </c>
      <c r="Y310" s="261">
        <v>0</v>
      </c>
      <c r="Z310" s="261">
        <v>0</v>
      </c>
      <c r="AA310" s="261">
        <v>0</v>
      </c>
      <c r="AB310" s="260">
        <v>2020</v>
      </c>
    </row>
    <row r="311" spans="1:28" s="6" customFormat="1" ht="35.25" customHeight="1" x14ac:dyDescent="0.5">
      <c r="A311" s="6">
        <v>1</v>
      </c>
      <c r="B311" s="225">
        <f>SUBTOTAL(103,$A$7:A311)</f>
        <v>300</v>
      </c>
      <c r="C311" s="254" t="s">
        <v>2110</v>
      </c>
      <c r="D311" s="255">
        <f t="shared" si="12"/>
        <v>682931</v>
      </c>
      <c r="E311" s="261">
        <v>0</v>
      </c>
      <c r="F311" s="261">
        <v>0</v>
      </c>
      <c r="G311" s="261">
        <v>0</v>
      </c>
      <c r="H311" s="261">
        <v>0</v>
      </c>
      <c r="I311" s="261">
        <v>0</v>
      </c>
      <c r="J311" s="261">
        <v>0</v>
      </c>
      <c r="K311" s="262">
        <v>0</v>
      </c>
      <c r="L311" s="261">
        <v>0</v>
      </c>
      <c r="M311" s="261">
        <v>0</v>
      </c>
      <c r="N311" s="261">
        <v>0</v>
      </c>
      <c r="O311" s="261">
        <v>682931</v>
      </c>
      <c r="P311" s="261">
        <v>0</v>
      </c>
      <c r="Q311" s="261">
        <v>0</v>
      </c>
      <c r="R311" s="261">
        <v>0</v>
      </c>
      <c r="S311" s="261">
        <v>0</v>
      </c>
      <c r="T311" s="261">
        <v>0</v>
      </c>
      <c r="U311" s="261">
        <v>0</v>
      </c>
      <c r="V311" s="261">
        <v>0</v>
      </c>
      <c r="W311" s="261">
        <v>0</v>
      </c>
      <c r="X311" s="261">
        <v>0</v>
      </c>
      <c r="Y311" s="261">
        <v>0</v>
      </c>
      <c r="Z311" s="261">
        <v>0</v>
      </c>
      <c r="AA311" s="261">
        <v>0</v>
      </c>
      <c r="AB311" s="260">
        <v>2020</v>
      </c>
    </row>
    <row r="312" spans="1:28" s="6" customFormat="1" ht="35.25" customHeight="1" x14ac:dyDescent="0.5">
      <c r="A312" s="6">
        <v>1</v>
      </c>
      <c r="B312" s="225">
        <f>SUBTOTAL(103,$A$7:A312)</f>
        <v>301</v>
      </c>
      <c r="C312" s="254" t="s">
        <v>2111</v>
      </c>
      <c r="D312" s="255">
        <f t="shared" si="12"/>
        <v>67129</v>
      </c>
      <c r="E312" s="261">
        <v>0</v>
      </c>
      <c r="F312" s="261">
        <v>0</v>
      </c>
      <c r="G312" s="261">
        <v>0</v>
      </c>
      <c r="H312" s="261">
        <v>0</v>
      </c>
      <c r="I312" s="261">
        <v>0</v>
      </c>
      <c r="J312" s="261">
        <v>0</v>
      </c>
      <c r="K312" s="262">
        <v>0</v>
      </c>
      <c r="L312" s="261">
        <v>0</v>
      </c>
      <c r="M312" s="261">
        <v>0</v>
      </c>
      <c r="N312" s="261">
        <v>0</v>
      </c>
      <c r="O312" s="261">
        <v>67129</v>
      </c>
      <c r="P312" s="261">
        <v>0</v>
      </c>
      <c r="Q312" s="261">
        <v>0</v>
      </c>
      <c r="R312" s="261">
        <v>0</v>
      </c>
      <c r="S312" s="261">
        <v>0</v>
      </c>
      <c r="T312" s="261">
        <v>0</v>
      </c>
      <c r="U312" s="261">
        <v>0</v>
      </c>
      <c r="V312" s="261">
        <v>0</v>
      </c>
      <c r="W312" s="261">
        <v>0</v>
      </c>
      <c r="X312" s="261">
        <v>0</v>
      </c>
      <c r="Y312" s="261">
        <v>0</v>
      </c>
      <c r="Z312" s="261">
        <v>0</v>
      </c>
      <c r="AA312" s="261">
        <v>0</v>
      </c>
      <c r="AB312" s="260">
        <v>2020</v>
      </c>
    </row>
    <row r="313" spans="1:28" s="6" customFormat="1" ht="35.25" customHeight="1" x14ac:dyDescent="0.5">
      <c r="A313" s="6">
        <v>1</v>
      </c>
      <c r="B313" s="225">
        <f>SUBTOTAL(103,$A$7:A313)</f>
        <v>302</v>
      </c>
      <c r="C313" s="254" t="s">
        <v>2112</v>
      </c>
      <c r="D313" s="255">
        <f t="shared" si="12"/>
        <v>304016</v>
      </c>
      <c r="E313" s="261">
        <v>0</v>
      </c>
      <c r="F313" s="261">
        <v>0</v>
      </c>
      <c r="G313" s="261">
        <v>0</v>
      </c>
      <c r="H313" s="261">
        <v>0</v>
      </c>
      <c r="I313" s="261">
        <v>0</v>
      </c>
      <c r="J313" s="261">
        <v>0</v>
      </c>
      <c r="K313" s="262">
        <v>0</v>
      </c>
      <c r="L313" s="261">
        <v>0</v>
      </c>
      <c r="M313" s="261">
        <v>304016</v>
      </c>
      <c r="N313" s="261">
        <v>0</v>
      </c>
      <c r="O313" s="261">
        <v>0</v>
      </c>
      <c r="P313" s="261">
        <v>0</v>
      </c>
      <c r="Q313" s="261">
        <v>0</v>
      </c>
      <c r="R313" s="261">
        <v>0</v>
      </c>
      <c r="S313" s="261">
        <v>0</v>
      </c>
      <c r="T313" s="261">
        <v>0</v>
      </c>
      <c r="U313" s="261">
        <v>0</v>
      </c>
      <c r="V313" s="261">
        <v>0</v>
      </c>
      <c r="W313" s="261">
        <v>0</v>
      </c>
      <c r="X313" s="261">
        <v>0</v>
      </c>
      <c r="Y313" s="261">
        <v>0</v>
      </c>
      <c r="Z313" s="261">
        <v>0</v>
      </c>
      <c r="AA313" s="261">
        <v>0</v>
      </c>
      <c r="AB313" s="260">
        <v>2020</v>
      </c>
    </row>
    <row r="314" spans="1:28" s="6" customFormat="1" ht="35.25" customHeight="1" x14ac:dyDescent="0.5">
      <c r="A314" s="6">
        <v>1</v>
      </c>
      <c r="B314" s="225">
        <f>SUBTOTAL(103,$A$7:A314)</f>
        <v>303</v>
      </c>
      <c r="C314" s="254" t="s">
        <v>2113</v>
      </c>
      <c r="D314" s="255">
        <f t="shared" si="12"/>
        <v>155485</v>
      </c>
      <c r="E314" s="261">
        <v>0</v>
      </c>
      <c r="F314" s="261">
        <v>0</v>
      </c>
      <c r="G314" s="261">
        <v>0</v>
      </c>
      <c r="H314" s="261">
        <v>0</v>
      </c>
      <c r="I314" s="261">
        <v>0</v>
      </c>
      <c r="J314" s="261">
        <v>0</v>
      </c>
      <c r="K314" s="262">
        <v>0</v>
      </c>
      <c r="L314" s="261">
        <v>0</v>
      </c>
      <c r="M314" s="261">
        <v>0</v>
      </c>
      <c r="N314" s="261">
        <v>0</v>
      </c>
      <c r="O314" s="261">
        <v>155485</v>
      </c>
      <c r="P314" s="261">
        <v>0</v>
      </c>
      <c r="Q314" s="261">
        <v>0</v>
      </c>
      <c r="R314" s="261">
        <v>0</v>
      </c>
      <c r="S314" s="261">
        <v>0</v>
      </c>
      <c r="T314" s="261">
        <v>0</v>
      </c>
      <c r="U314" s="261">
        <v>0</v>
      </c>
      <c r="V314" s="261">
        <v>0</v>
      </c>
      <c r="W314" s="261">
        <v>0</v>
      </c>
      <c r="X314" s="261">
        <v>0</v>
      </c>
      <c r="Y314" s="261">
        <v>0</v>
      </c>
      <c r="Z314" s="261">
        <v>0</v>
      </c>
      <c r="AA314" s="261">
        <v>0</v>
      </c>
      <c r="AB314" s="260">
        <v>2020</v>
      </c>
    </row>
    <row r="315" spans="1:28" s="6" customFormat="1" ht="35.25" customHeight="1" x14ac:dyDescent="0.5">
      <c r="A315" s="6">
        <v>1</v>
      </c>
      <c r="B315" s="225">
        <f>SUBTOTAL(103,$A$7:A315)</f>
        <v>304</v>
      </c>
      <c r="C315" s="254" t="s">
        <v>2114</v>
      </c>
      <c r="D315" s="255">
        <f t="shared" si="12"/>
        <v>690218</v>
      </c>
      <c r="E315" s="261">
        <v>0</v>
      </c>
      <c r="F315" s="261">
        <v>0</v>
      </c>
      <c r="G315" s="261">
        <v>0</v>
      </c>
      <c r="H315" s="261">
        <v>0</v>
      </c>
      <c r="I315" s="261">
        <v>0</v>
      </c>
      <c r="J315" s="261">
        <v>0</v>
      </c>
      <c r="K315" s="262">
        <v>0</v>
      </c>
      <c r="L315" s="261">
        <v>0</v>
      </c>
      <c r="M315" s="261">
        <v>690218</v>
      </c>
      <c r="N315" s="261">
        <v>0</v>
      </c>
      <c r="O315" s="261">
        <v>0</v>
      </c>
      <c r="P315" s="261">
        <v>0</v>
      </c>
      <c r="Q315" s="261">
        <v>0</v>
      </c>
      <c r="R315" s="261">
        <v>0</v>
      </c>
      <c r="S315" s="261">
        <v>0</v>
      </c>
      <c r="T315" s="261">
        <v>0</v>
      </c>
      <c r="U315" s="261">
        <v>0</v>
      </c>
      <c r="V315" s="261">
        <v>0</v>
      </c>
      <c r="W315" s="261">
        <v>0</v>
      </c>
      <c r="X315" s="261">
        <v>0</v>
      </c>
      <c r="Y315" s="261">
        <v>0</v>
      </c>
      <c r="Z315" s="261">
        <v>0</v>
      </c>
      <c r="AA315" s="261">
        <v>0</v>
      </c>
      <c r="AB315" s="260">
        <v>2020</v>
      </c>
    </row>
    <row r="316" spans="1:28" s="6" customFormat="1" ht="35.25" customHeight="1" x14ac:dyDescent="0.5">
      <c r="A316" s="6">
        <v>1</v>
      </c>
      <c r="B316" s="225">
        <f>SUBTOTAL(103,$A$7:A316)</f>
        <v>305</v>
      </c>
      <c r="C316" s="254" t="s">
        <v>2115</v>
      </c>
      <c r="D316" s="255">
        <f t="shared" si="12"/>
        <v>714020</v>
      </c>
      <c r="E316" s="261">
        <v>0</v>
      </c>
      <c r="F316" s="261">
        <v>0</v>
      </c>
      <c r="G316" s="261">
        <v>0</v>
      </c>
      <c r="H316" s="261">
        <v>0</v>
      </c>
      <c r="I316" s="261">
        <v>0</v>
      </c>
      <c r="J316" s="261">
        <v>0</v>
      </c>
      <c r="K316" s="262">
        <v>0</v>
      </c>
      <c r="L316" s="261">
        <v>0</v>
      </c>
      <c r="M316" s="261">
        <v>714020</v>
      </c>
      <c r="N316" s="261">
        <v>0</v>
      </c>
      <c r="O316" s="261">
        <v>0</v>
      </c>
      <c r="P316" s="261">
        <v>0</v>
      </c>
      <c r="Q316" s="261">
        <v>0</v>
      </c>
      <c r="R316" s="261">
        <v>0</v>
      </c>
      <c r="S316" s="261">
        <v>0</v>
      </c>
      <c r="T316" s="261">
        <v>0</v>
      </c>
      <c r="U316" s="261">
        <v>0</v>
      </c>
      <c r="V316" s="261">
        <v>0</v>
      </c>
      <c r="W316" s="261">
        <v>0</v>
      </c>
      <c r="X316" s="261">
        <v>0</v>
      </c>
      <c r="Y316" s="261">
        <v>0</v>
      </c>
      <c r="Z316" s="261">
        <v>0</v>
      </c>
      <c r="AA316" s="261">
        <v>0</v>
      </c>
      <c r="AB316" s="260">
        <v>2020</v>
      </c>
    </row>
    <row r="317" spans="1:28" s="6" customFormat="1" ht="35.25" customHeight="1" x14ac:dyDescent="0.5">
      <c r="A317" s="6">
        <v>1</v>
      </c>
      <c r="B317" s="225">
        <f>SUBTOTAL(103,$A$7:A317)</f>
        <v>306</v>
      </c>
      <c r="C317" s="254" t="s">
        <v>2116</v>
      </c>
      <c r="D317" s="255">
        <f t="shared" si="12"/>
        <v>131566</v>
      </c>
      <c r="E317" s="261">
        <v>0</v>
      </c>
      <c r="F317" s="261">
        <v>0</v>
      </c>
      <c r="G317" s="261">
        <v>0</v>
      </c>
      <c r="H317" s="261">
        <v>131566</v>
      </c>
      <c r="I317" s="261">
        <v>0</v>
      </c>
      <c r="J317" s="261">
        <v>0</v>
      </c>
      <c r="K317" s="262">
        <v>0</v>
      </c>
      <c r="L317" s="261">
        <v>0</v>
      </c>
      <c r="M317" s="261">
        <v>0</v>
      </c>
      <c r="N317" s="261">
        <v>0</v>
      </c>
      <c r="O317" s="261">
        <v>0</v>
      </c>
      <c r="P317" s="261">
        <v>0</v>
      </c>
      <c r="Q317" s="261">
        <v>0</v>
      </c>
      <c r="R317" s="261">
        <v>0</v>
      </c>
      <c r="S317" s="261">
        <v>0</v>
      </c>
      <c r="T317" s="261">
        <v>0</v>
      </c>
      <c r="U317" s="261">
        <v>0</v>
      </c>
      <c r="V317" s="261">
        <v>0</v>
      </c>
      <c r="W317" s="261">
        <v>0</v>
      </c>
      <c r="X317" s="261">
        <v>0</v>
      </c>
      <c r="Y317" s="261">
        <v>0</v>
      </c>
      <c r="Z317" s="261">
        <v>0</v>
      </c>
      <c r="AA317" s="261">
        <v>0</v>
      </c>
      <c r="AB317" s="260">
        <v>2020</v>
      </c>
    </row>
    <row r="318" spans="1:28" s="6" customFormat="1" ht="35.25" customHeight="1" x14ac:dyDescent="0.5">
      <c r="A318" s="6">
        <v>1</v>
      </c>
      <c r="B318" s="225">
        <f>SUBTOTAL(103,$A$7:A318)</f>
        <v>307</v>
      </c>
      <c r="C318" s="254" t="s">
        <v>2117</v>
      </c>
      <c r="D318" s="255">
        <f t="shared" si="12"/>
        <v>1143898</v>
      </c>
      <c r="E318" s="261">
        <v>0</v>
      </c>
      <c r="F318" s="261">
        <v>0</v>
      </c>
      <c r="G318" s="261">
        <v>0</v>
      </c>
      <c r="H318" s="261">
        <v>0</v>
      </c>
      <c r="I318" s="261">
        <v>0</v>
      </c>
      <c r="J318" s="261">
        <v>0</v>
      </c>
      <c r="K318" s="262">
        <v>0</v>
      </c>
      <c r="L318" s="261">
        <v>0</v>
      </c>
      <c r="M318" s="261">
        <v>0</v>
      </c>
      <c r="N318" s="261">
        <v>0</v>
      </c>
      <c r="O318" s="261">
        <v>1143898</v>
      </c>
      <c r="P318" s="261">
        <v>0</v>
      </c>
      <c r="Q318" s="261">
        <v>0</v>
      </c>
      <c r="R318" s="261">
        <v>0</v>
      </c>
      <c r="S318" s="261">
        <v>0</v>
      </c>
      <c r="T318" s="261">
        <v>0</v>
      </c>
      <c r="U318" s="261">
        <v>0</v>
      </c>
      <c r="V318" s="261">
        <v>0</v>
      </c>
      <c r="W318" s="261">
        <v>0</v>
      </c>
      <c r="X318" s="261">
        <v>0</v>
      </c>
      <c r="Y318" s="261">
        <v>0</v>
      </c>
      <c r="Z318" s="261">
        <v>0</v>
      </c>
      <c r="AA318" s="261">
        <v>0</v>
      </c>
      <c r="AB318" s="260">
        <v>2020</v>
      </c>
    </row>
    <row r="319" spans="1:28" s="6" customFormat="1" ht="35.25" customHeight="1" x14ac:dyDescent="0.5">
      <c r="A319" s="6">
        <v>1</v>
      </c>
      <c r="B319" s="225">
        <f>SUBTOTAL(103,$A$7:A319)</f>
        <v>308</v>
      </c>
      <c r="C319" s="254" t="s">
        <v>2118</v>
      </c>
      <c r="D319" s="255">
        <f t="shared" si="12"/>
        <v>295760</v>
      </c>
      <c r="E319" s="261">
        <v>0</v>
      </c>
      <c r="F319" s="261">
        <v>0</v>
      </c>
      <c r="G319" s="261">
        <v>0</v>
      </c>
      <c r="H319" s="261">
        <v>0</v>
      </c>
      <c r="I319" s="261">
        <v>0</v>
      </c>
      <c r="J319" s="261">
        <v>0</v>
      </c>
      <c r="K319" s="262">
        <v>0</v>
      </c>
      <c r="L319" s="261">
        <v>0</v>
      </c>
      <c r="M319" s="261">
        <v>0</v>
      </c>
      <c r="N319" s="261">
        <v>0</v>
      </c>
      <c r="O319" s="261">
        <v>295760</v>
      </c>
      <c r="P319" s="261">
        <v>0</v>
      </c>
      <c r="Q319" s="261">
        <v>0</v>
      </c>
      <c r="R319" s="261">
        <v>0</v>
      </c>
      <c r="S319" s="261">
        <v>0</v>
      </c>
      <c r="T319" s="261">
        <v>0</v>
      </c>
      <c r="U319" s="261">
        <v>0</v>
      </c>
      <c r="V319" s="261">
        <v>0</v>
      </c>
      <c r="W319" s="261">
        <v>0</v>
      </c>
      <c r="X319" s="261">
        <v>0</v>
      </c>
      <c r="Y319" s="261">
        <v>0</v>
      </c>
      <c r="Z319" s="261">
        <v>0</v>
      </c>
      <c r="AA319" s="261">
        <v>0</v>
      </c>
      <c r="AB319" s="260">
        <v>2020</v>
      </c>
    </row>
    <row r="320" spans="1:28" s="6" customFormat="1" ht="35.25" customHeight="1" x14ac:dyDescent="0.5">
      <c r="A320" s="6">
        <v>1</v>
      </c>
      <c r="B320" s="225">
        <f>SUBTOTAL(103,$A$7:A320)</f>
        <v>309</v>
      </c>
      <c r="C320" s="254" t="s">
        <v>2119</v>
      </c>
      <c r="D320" s="255">
        <f t="shared" si="12"/>
        <v>299644</v>
      </c>
      <c r="E320" s="261">
        <v>0</v>
      </c>
      <c r="F320" s="261">
        <v>0</v>
      </c>
      <c r="G320" s="261">
        <v>0</v>
      </c>
      <c r="H320" s="261">
        <v>0</v>
      </c>
      <c r="I320" s="261">
        <v>0</v>
      </c>
      <c r="J320" s="261">
        <v>0</v>
      </c>
      <c r="K320" s="262">
        <v>0</v>
      </c>
      <c r="L320" s="261">
        <v>0</v>
      </c>
      <c r="M320" s="261">
        <v>299644</v>
      </c>
      <c r="N320" s="261">
        <v>0</v>
      </c>
      <c r="O320" s="261">
        <v>0</v>
      </c>
      <c r="P320" s="261">
        <v>0</v>
      </c>
      <c r="Q320" s="261">
        <v>0</v>
      </c>
      <c r="R320" s="261">
        <v>0</v>
      </c>
      <c r="S320" s="261">
        <v>0</v>
      </c>
      <c r="T320" s="261">
        <v>0</v>
      </c>
      <c r="U320" s="261">
        <v>0</v>
      </c>
      <c r="V320" s="261">
        <v>0</v>
      </c>
      <c r="W320" s="261">
        <v>0</v>
      </c>
      <c r="X320" s="261">
        <v>0</v>
      </c>
      <c r="Y320" s="261">
        <v>0</v>
      </c>
      <c r="Z320" s="261">
        <v>0</v>
      </c>
      <c r="AA320" s="261">
        <v>0</v>
      </c>
      <c r="AB320" s="260">
        <v>2020</v>
      </c>
    </row>
    <row r="321" spans="1:28" s="6" customFormat="1" ht="35.25" customHeight="1" x14ac:dyDescent="0.5">
      <c r="A321" s="6">
        <v>1</v>
      </c>
      <c r="B321" s="225">
        <f>SUBTOTAL(103,$A$7:A321)</f>
        <v>310</v>
      </c>
      <c r="C321" s="254" t="s">
        <v>2120</v>
      </c>
      <c r="D321" s="255">
        <f t="shared" si="12"/>
        <v>169491</v>
      </c>
      <c r="E321" s="261">
        <v>0</v>
      </c>
      <c r="F321" s="261">
        <v>0</v>
      </c>
      <c r="G321" s="261">
        <v>0</v>
      </c>
      <c r="H321" s="261">
        <v>0</v>
      </c>
      <c r="I321" s="261">
        <v>0</v>
      </c>
      <c r="J321" s="261">
        <v>0</v>
      </c>
      <c r="K321" s="262">
        <v>0</v>
      </c>
      <c r="L321" s="261">
        <v>0</v>
      </c>
      <c r="M321" s="261">
        <v>169491</v>
      </c>
      <c r="N321" s="261">
        <v>0</v>
      </c>
      <c r="O321" s="261">
        <v>0</v>
      </c>
      <c r="P321" s="261">
        <v>0</v>
      </c>
      <c r="Q321" s="261">
        <v>0</v>
      </c>
      <c r="R321" s="261">
        <v>0</v>
      </c>
      <c r="S321" s="261">
        <v>0</v>
      </c>
      <c r="T321" s="261">
        <v>0</v>
      </c>
      <c r="U321" s="261">
        <v>0</v>
      </c>
      <c r="V321" s="261">
        <v>0</v>
      </c>
      <c r="W321" s="261">
        <v>0</v>
      </c>
      <c r="X321" s="261">
        <v>0</v>
      </c>
      <c r="Y321" s="261">
        <v>0</v>
      </c>
      <c r="Z321" s="261">
        <v>0</v>
      </c>
      <c r="AA321" s="261">
        <v>0</v>
      </c>
      <c r="AB321" s="260">
        <v>2020</v>
      </c>
    </row>
    <row r="322" spans="1:28" s="6" customFormat="1" ht="35.25" customHeight="1" x14ac:dyDescent="0.5">
      <c r="A322" s="6">
        <v>1</v>
      </c>
      <c r="B322" s="225">
        <f>SUBTOTAL(103,$A$7:A322)</f>
        <v>311</v>
      </c>
      <c r="C322" s="254" t="s">
        <v>2121</v>
      </c>
      <c r="D322" s="255">
        <f t="shared" si="12"/>
        <v>563800</v>
      </c>
      <c r="E322" s="261">
        <v>0</v>
      </c>
      <c r="F322" s="261">
        <v>0</v>
      </c>
      <c r="G322" s="261">
        <v>563800</v>
      </c>
      <c r="H322" s="261">
        <v>0</v>
      </c>
      <c r="I322" s="261">
        <v>0</v>
      </c>
      <c r="J322" s="261">
        <v>0</v>
      </c>
      <c r="K322" s="262">
        <v>0</v>
      </c>
      <c r="L322" s="261">
        <v>0</v>
      </c>
      <c r="M322" s="261">
        <v>0</v>
      </c>
      <c r="N322" s="261">
        <v>0</v>
      </c>
      <c r="O322" s="261">
        <v>0</v>
      </c>
      <c r="P322" s="261">
        <v>0</v>
      </c>
      <c r="Q322" s="261">
        <v>0</v>
      </c>
      <c r="R322" s="261">
        <v>0</v>
      </c>
      <c r="S322" s="261">
        <v>0</v>
      </c>
      <c r="T322" s="261">
        <v>0</v>
      </c>
      <c r="U322" s="261">
        <v>0</v>
      </c>
      <c r="V322" s="261">
        <v>0</v>
      </c>
      <c r="W322" s="261">
        <v>0</v>
      </c>
      <c r="X322" s="261">
        <v>0</v>
      </c>
      <c r="Y322" s="261">
        <v>0</v>
      </c>
      <c r="Z322" s="261">
        <v>0</v>
      </c>
      <c r="AA322" s="261">
        <v>0</v>
      </c>
      <c r="AB322" s="260">
        <v>2020</v>
      </c>
    </row>
    <row r="323" spans="1:28" s="6" customFormat="1" ht="35.25" customHeight="1" x14ac:dyDescent="0.5">
      <c r="A323" s="6">
        <v>1</v>
      </c>
      <c r="B323" s="225">
        <f>SUBTOTAL(103,$A$7:A323)</f>
        <v>312</v>
      </c>
      <c r="C323" s="254" t="s">
        <v>2122</v>
      </c>
      <c r="D323" s="255">
        <f t="shared" si="12"/>
        <v>806650</v>
      </c>
      <c r="E323" s="261">
        <v>0</v>
      </c>
      <c r="F323" s="261">
        <v>0</v>
      </c>
      <c r="G323" s="261">
        <v>0</v>
      </c>
      <c r="H323" s="261">
        <v>0</v>
      </c>
      <c r="I323" s="261">
        <v>0</v>
      </c>
      <c r="J323" s="261">
        <v>0</v>
      </c>
      <c r="K323" s="262">
        <v>0</v>
      </c>
      <c r="L323" s="261">
        <v>0</v>
      </c>
      <c r="M323" s="261">
        <v>0</v>
      </c>
      <c r="N323" s="261">
        <v>0</v>
      </c>
      <c r="O323" s="261">
        <v>806650</v>
      </c>
      <c r="P323" s="261">
        <v>0</v>
      </c>
      <c r="Q323" s="261">
        <v>0</v>
      </c>
      <c r="R323" s="261">
        <v>0</v>
      </c>
      <c r="S323" s="261">
        <v>0</v>
      </c>
      <c r="T323" s="261">
        <v>0</v>
      </c>
      <c r="U323" s="261">
        <v>0</v>
      </c>
      <c r="V323" s="261">
        <v>0</v>
      </c>
      <c r="W323" s="261">
        <v>0</v>
      </c>
      <c r="X323" s="261">
        <v>0</v>
      </c>
      <c r="Y323" s="261">
        <v>0</v>
      </c>
      <c r="Z323" s="261">
        <v>0</v>
      </c>
      <c r="AA323" s="261">
        <v>0</v>
      </c>
      <c r="AB323" s="260">
        <v>2020</v>
      </c>
    </row>
    <row r="324" spans="1:28" s="6" customFormat="1" ht="35.25" customHeight="1" x14ac:dyDescent="0.5">
      <c r="A324" s="6">
        <v>1</v>
      </c>
      <c r="B324" s="225">
        <f>SUBTOTAL(103,$A$7:A324)</f>
        <v>313</v>
      </c>
      <c r="C324" s="254" t="s">
        <v>2123</v>
      </c>
      <c r="D324" s="255">
        <f t="shared" si="12"/>
        <v>454614</v>
      </c>
      <c r="E324" s="261">
        <v>0</v>
      </c>
      <c r="F324" s="261">
        <v>0</v>
      </c>
      <c r="G324" s="261">
        <v>0</v>
      </c>
      <c r="H324" s="261">
        <v>0</v>
      </c>
      <c r="I324" s="261">
        <v>0</v>
      </c>
      <c r="J324" s="261">
        <v>0</v>
      </c>
      <c r="K324" s="262">
        <v>0</v>
      </c>
      <c r="L324" s="261">
        <v>0</v>
      </c>
      <c r="M324" s="261">
        <v>0</v>
      </c>
      <c r="N324" s="261">
        <v>0</v>
      </c>
      <c r="O324" s="261">
        <v>454614</v>
      </c>
      <c r="P324" s="261">
        <v>0</v>
      </c>
      <c r="Q324" s="261">
        <v>0</v>
      </c>
      <c r="R324" s="261">
        <v>0</v>
      </c>
      <c r="S324" s="261">
        <v>0</v>
      </c>
      <c r="T324" s="261">
        <v>0</v>
      </c>
      <c r="U324" s="261">
        <v>0</v>
      </c>
      <c r="V324" s="261">
        <v>0</v>
      </c>
      <c r="W324" s="261">
        <v>0</v>
      </c>
      <c r="X324" s="261">
        <v>0</v>
      </c>
      <c r="Y324" s="261">
        <v>0</v>
      </c>
      <c r="Z324" s="261">
        <v>0</v>
      </c>
      <c r="AA324" s="261">
        <v>0</v>
      </c>
      <c r="AB324" s="260">
        <v>2020</v>
      </c>
    </row>
    <row r="325" spans="1:28" s="6" customFormat="1" ht="35.25" customHeight="1" x14ac:dyDescent="0.5">
      <c r="A325" s="6">
        <v>1</v>
      </c>
      <c r="B325" s="225">
        <f>SUBTOTAL(103,$A$7:A325)</f>
        <v>314</v>
      </c>
      <c r="C325" s="254" t="s">
        <v>2124</v>
      </c>
      <c r="D325" s="255">
        <f t="shared" si="12"/>
        <v>131148</v>
      </c>
      <c r="E325" s="261">
        <v>0</v>
      </c>
      <c r="F325" s="261">
        <v>0</v>
      </c>
      <c r="G325" s="261">
        <v>0</v>
      </c>
      <c r="H325" s="261">
        <v>0</v>
      </c>
      <c r="I325" s="261">
        <v>0</v>
      </c>
      <c r="J325" s="261">
        <v>0</v>
      </c>
      <c r="K325" s="262">
        <v>0</v>
      </c>
      <c r="L325" s="261">
        <v>0</v>
      </c>
      <c r="M325" s="261">
        <v>131148</v>
      </c>
      <c r="N325" s="261">
        <v>0</v>
      </c>
      <c r="O325" s="261">
        <v>0</v>
      </c>
      <c r="P325" s="261">
        <v>0</v>
      </c>
      <c r="Q325" s="261">
        <v>0</v>
      </c>
      <c r="R325" s="261">
        <v>0</v>
      </c>
      <c r="S325" s="261">
        <v>0</v>
      </c>
      <c r="T325" s="261">
        <v>0</v>
      </c>
      <c r="U325" s="261">
        <v>0</v>
      </c>
      <c r="V325" s="261">
        <v>0</v>
      </c>
      <c r="W325" s="261">
        <v>0</v>
      </c>
      <c r="X325" s="261">
        <v>0</v>
      </c>
      <c r="Y325" s="261">
        <v>0</v>
      </c>
      <c r="Z325" s="261">
        <v>0</v>
      </c>
      <c r="AA325" s="261">
        <v>0</v>
      </c>
      <c r="AB325" s="260">
        <v>2020</v>
      </c>
    </row>
    <row r="326" spans="1:28" s="6" customFormat="1" ht="35.25" customHeight="1" x14ac:dyDescent="0.5">
      <c r="A326" s="6">
        <v>1</v>
      </c>
      <c r="B326" s="225">
        <f>SUBTOTAL(103,$A$7:A326)</f>
        <v>315</v>
      </c>
      <c r="C326" s="254" t="s">
        <v>2125</v>
      </c>
      <c r="D326" s="255">
        <f t="shared" si="12"/>
        <v>68679.3</v>
      </c>
      <c r="E326" s="261">
        <v>0</v>
      </c>
      <c r="F326" s="261">
        <v>0</v>
      </c>
      <c r="G326" s="261">
        <v>0</v>
      </c>
      <c r="H326" s="261">
        <v>0</v>
      </c>
      <c r="I326" s="261">
        <v>0</v>
      </c>
      <c r="J326" s="261">
        <v>0</v>
      </c>
      <c r="K326" s="262">
        <v>0</v>
      </c>
      <c r="L326" s="261">
        <v>0</v>
      </c>
      <c r="M326" s="261">
        <v>0</v>
      </c>
      <c r="N326" s="261">
        <v>0</v>
      </c>
      <c r="O326" s="261">
        <v>68679.3</v>
      </c>
      <c r="P326" s="261">
        <v>0</v>
      </c>
      <c r="Q326" s="261">
        <v>0</v>
      </c>
      <c r="R326" s="261">
        <v>0</v>
      </c>
      <c r="S326" s="261">
        <v>0</v>
      </c>
      <c r="T326" s="261">
        <v>0</v>
      </c>
      <c r="U326" s="261">
        <v>0</v>
      </c>
      <c r="V326" s="261">
        <v>0</v>
      </c>
      <c r="W326" s="261">
        <v>0</v>
      </c>
      <c r="X326" s="261">
        <v>0</v>
      </c>
      <c r="Y326" s="261">
        <v>0</v>
      </c>
      <c r="Z326" s="261">
        <v>0</v>
      </c>
      <c r="AA326" s="261">
        <v>0</v>
      </c>
      <c r="AB326" s="260">
        <v>2020</v>
      </c>
    </row>
    <row r="327" spans="1:28" s="6" customFormat="1" ht="35.25" customHeight="1" x14ac:dyDescent="0.5">
      <c r="A327" s="6">
        <v>1</v>
      </c>
      <c r="B327" s="225">
        <f>SUBTOTAL(103,$A$7:A327)</f>
        <v>316</v>
      </c>
      <c r="C327" s="254" t="s">
        <v>2126</v>
      </c>
      <c r="D327" s="255">
        <f t="shared" si="12"/>
        <v>409967</v>
      </c>
      <c r="E327" s="261">
        <v>409967</v>
      </c>
      <c r="F327" s="261">
        <v>0</v>
      </c>
      <c r="G327" s="261">
        <v>0</v>
      </c>
      <c r="H327" s="261">
        <v>0</v>
      </c>
      <c r="I327" s="261">
        <v>0</v>
      </c>
      <c r="J327" s="261">
        <v>0</v>
      </c>
      <c r="K327" s="262">
        <v>0</v>
      </c>
      <c r="L327" s="261">
        <v>0</v>
      </c>
      <c r="M327" s="261">
        <v>0</v>
      </c>
      <c r="N327" s="261">
        <v>0</v>
      </c>
      <c r="O327" s="261">
        <v>0</v>
      </c>
      <c r="P327" s="261">
        <v>0</v>
      </c>
      <c r="Q327" s="261">
        <v>0</v>
      </c>
      <c r="R327" s="261">
        <v>0</v>
      </c>
      <c r="S327" s="261">
        <v>0</v>
      </c>
      <c r="T327" s="261">
        <v>0</v>
      </c>
      <c r="U327" s="261">
        <v>0</v>
      </c>
      <c r="V327" s="261">
        <v>0</v>
      </c>
      <c r="W327" s="261">
        <v>0</v>
      </c>
      <c r="X327" s="261">
        <v>0</v>
      </c>
      <c r="Y327" s="261">
        <v>0</v>
      </c>
      <c r="Z327" s="261">
        <v>0</v>
      </c>
      <c r="AA327" s="261">
        <v>0</v>
      </c>
      <c r="AB327" s="260">
        <v>2020</v>
      </c>
    </row>
    <row r="328" spans="1:28" s="6" customFormat="1" ht="35.25" customHeight="1" x14ac:dyDescent="0.5">
      <c r="A328" s="6">
        <v>1</v>
      </c>
      <c r="B328" s="225">
        <f>SUBTOTAL(103,$A$7:A328)</f>
        <v>317</v>
      </c>
      <c r="C328" s="254" t="s">
        <v>2127</v>
      </c>
      <c r="D328" s="255">
        <f t="shared" ref="D328:D363" si="13">E328+F328+G328+H328+I328+J328+L328+M328+N328+O328+P328+Q328+R328+S328+T328+U328+V328+W328+X328+Y328+Z328+AA328</f>
        <v>216187</v>
      </c>
      <c r="E328" s="261">
        <v>0</v>
      </c>
      <c r="F328" s="261">
        <v>0</v>
      </c>
      <c r="G328" s="261">
        <v>0</v>
      </c>
      <c r="H328" s="261">
        <v>0</v>
      </c>
      <c r="I328" s="261">
        <v>0</v>
      </c>
      <c r="J328" s="261">
        <v>0</v>
      </c>
      <c r="K328" s="262">
        <v>0</v>
      </c>
      <c r="L328" s="261">
        <v>0</v>
      </c>
      <c r="M328" s="261">
        <v>0</v>
      </c>
      <c r="N328" s="261">
        <v>0</v>
      </c>
      <c r="O328" s="261">
        <v>95414</v>
      </c>
      <c r="P328" s="261">
        <v>120773</v>
      </c>
      <c r="Q328" s="261">
        <v>0</v>
      </c>
      <c r="R328" s="261">
        <v>0</v>
      </c>
      <c r="S328" s="261">
        <v>0</v>
      </c>
      <c r="T328" s="261">
        <v>0</v>
      </c>
      <c r="U328" s="261">
        <v>0</v>
      </c>
      <c r="V328" s="261">
        <v>0</v>
      </c>
      <c r="W328" s="261">
        <v>0</v>
      </c>
      <c r="X328" s="261">
        <v>0</v>
      </c>
      <c r="Y328" s="261">
        <v>0</v>
      </c>
      <c r="Z328" s="261">
        <v>0</v>
      </c>
      <c r="AA328" s="261">
        <v>0</v>
      </c>
      <c r="AB328" s="260">
        <v>2020</v>
      </c>
    </row>
    <row r="329" spans="1:28" s="6" customFormat="1" ht="35.25" customHeight="1" x14ac:dyDescent="0.5">
      <c r="A329" s="6">
        <v>1</v>
      </c>
      <c r="B329" s="225">
        <f>SUBTOTAL(103,$A$7:A329)</f>
        <v>318</v>
      </c>
      <c r="C329" s="254" t="s">
        <v>2128</v>
      </c>
      <c r="D329" s="255">
        <f t="shared" si="13"/>
        <v>45391</v>
      </c>
      <c r="E329" s="261">
        <v>0</v>
      </c>
      <c r="F329" s="261">
        <v>0</v>
      </c>
      <c r="G329" s="261">
        <v>45391</v>
      </c>
      <c r="H329" s="261">
        <v>0</v>
      </c>
      <c r="I329" s="261">
        <v>0</v>
      </c>
      <c r="J329" s="261">
        <v>0</v>
      </c>
      <c r="K329" s="262">
        <v>0</v>
      </c>
      <c r="L329" s="261">
        <v>0</v>
      </c>
      <c r="M329" s="261">
        <v>0</v>
      </c>
      <c r="N329" s="261">
        <v>0</v>
      </c>
      <c r="O329" s="261">
        <v>0</v>
      </c>
      <c r="P329" s="261">
        <v>0</v>
      </c>
      <c r="Q329" s="261">
        <v>0</v>
      </c>
      <c r="R329" s="261">
        <v>0</v>
      </c>
      <c r="S329" s="261">
        <v>0</v>
      </c>
      <c r="T329" s="261">
        <v>0</v>
      </c>
      <c r="U329" s="261">
        <v>0</v>
      </c>
      <c r="V329" s="261">
        <v>0</v>
      </c>
      <c r="W329" s="261">
        <v>0</v>
      </c>
      <c r="X329" s="261">
        <v>0</v>
      </c>
      <c r="Y329" s="261">
        <v>0</v>
      </c>
      <c r="Z329" s="261">
        <v>0</v>
      </c>
      <c r="AA329" s="261">
        <v>0</v>
      </c>
      <c r="AB329" s="260">
        <v>2020</v>
      </c>
    </row>
    <row r="330" spans="1:28" s="6" customFormat="1" ht="35.25" customHeight="1" x14ac:dyDescent="0.5">
      <c r="A330" s="6">
        <v>1</v>
      </c>
      <c r="B330" s="225">
        <f>SUBTOTAL(103,$A$7:A330)</f>
        <v>319</v>
      </c>
      <c r="C330" s="254" t="s">
        <v>2129</v>
      </c>
      <c r="D330" s="255">
        <f t="shared" si="13"/>
        <v>300000</v>
      </c>
      <c r="E330" s="261">
        <v>0</v>
      </c>
      <c r="F330" s="261">
        <v>0</v>
      </c>
      <c r="G330" s="261">
        <v>0</v>
      </c>
      <c r="H330" s="261">
        <v>0</v>
      </c>
      <c r="I330" s="261">
        <v>0</v>
      </c>
      <c r="J330" s="261">
        <v>0</v>
      </c>
      <c r="K330" s="262">
        <v>0</v>
      </c>
      <c r="L330" s="261">
        <v>0</v>
      </c>
      <c r="M330" s="261">
        <v>0</v>
      </c>
      <c r="N330" s="261">
        <v>0</v>
      </c>
      <c r="O330" s="261">
        <v>300000</v>
      </c>
      <c r="P330" s="261">
        <v>0</v>
      </c>
      <c r="Q330" s="261">
        <v>0</v>
      </c>
      <c r="R330" s="261">
        <v>0</v>
      </c>
      <c r="S330" s="261">
        <v>0</v>
      </c>
      <c r="T330" s="261">
        <v>0</v>
      </c>
      <c r="U330" s="261">
        <v>0</v>
      </c>
      <c r="V330" s="261">
        <v>0</v>
      </c>
      <c r="W330" s="261">
        <v>0</v>
      </c>
      <c r="X330" s="261">
        <v>0</v>
      </c>
      <c r="Y330" s="261">
        <v>0</v>
      </c>
      <c r="Z330" s="261">
        <v>0</v>
      </c>
      <c r="AA330" s="261">
        <v>0</v>
      </c>
      <c r="AB330" s="260">
        <v>2020</v>
      </c>
    </row>
    <row r="331" spans="1:28" s="6" customFormat="1" ht="35.25" customHeight="1" x14ac:dyDescent="0.5">
      <c r="A331" s="6">
        <v>1</v>
      </c>
      <c r="B331" s="225">
        <f>SUBTOTAL(103,$A$7:A331)</f>
        <v>320</v>
      </c>
      <c r="C331" s="254" t="s">
        <v>2130</v>
      </c>
      <c r="D331" s="255">
        <f t="shared" si="13"/>
        <v>185000</v>
      </c>
      <c r="E331" s="261">
        <v>0</v>
      </c>
      <c r="F331" s="261">
        <v>0</v>
      </c>
      <c r="G331" s="261">
        <v>0</v>
      </c>
      <c r="H331" s="261">
        <v>0</v>
      </c>
      <c r="I331" s="261">
        <v>0</v>
      </c>
      <c r="J331" s="261">
        <v>0</v>
      </c>
      <c r="K331" s="262">
        <v>0</v>
      </c>
      <c r="L331" s="261">
        <v>0</v>
      </c>
      <c r="M331" s="261">
        <v>0</v>
      </c>
      <c r="N331" s="261">
        <v>0</v>
      </c>
      <c r="O331" s="261">
        <v>185000</v>
      </c>
      <c r="P331" s="261">
        <v>0</v>
      </c>
      <c r="Q331" s="261">
        <v>0</v>
      </c>
      <c r="R331" s="261">
        <v>0</v>
      </c>
      <c r="S331" s="261">
        <v>0</v>
      </c>
      <c r="T331" s="261">
        <v>0</v>
      </c>
      <c r="U331" s="261">
        <v>0</v>
      </c>
      <c r="V331" s="261">
        <v>0</v>
      </c>
      <c r="W331" s="261">
        <v>0</v>
      </c>
      <c r="X331" s="261">
        <v>0</v>
      </c>
      <c r="Y331" s="261">
        <v>0</v>
      </c>
      <c r="Z331" s="261">
        <v>0</v>
      </c>
      <c r="AA331" s="261">
        <v>0</v>
      </c>
      <c r="AB331" s="260">
        <v>2020</v>
      </c>
    </row>
    <row r="332" spans="1:28" s="6" customFormat="1" ht="35.25" customHeight="1" x14ac:dyDescent="0.5">
      <c r="A332" s="6">
        <v>1</v>
      </c>
      <c r="B332" s="225">
        <f>SUBTOTAL(103,$A$7:A332)</f>
        <v>321</v>
      </c>
      <c r="C332" s="254" t="s">
        <v>2131</v>
      </c>
      <c r="D332" s="255">
        <f t="shared" si="13"/>
        <v>536083</v>
      </c>
      <c r="E332" s="261">
        <v>127342</v>
      </c>
      <c r="F332" s="261">
        <v>161294</v>
      </c>
      <c r="G332" s="261">
        <v>0</v>
      </c>
      <c r="H332" s="261">
        <v>0</v>
      </c>
      <c r="I332" s="261">
        <v>48447</v>
      </c>
      <c r="J332" s="261">
        <v>0</v>
      </c>
      <c r="K332" s="262">
        <v>0</v>
      </c>
      <c r="L332" s="261">
        <v>0</v>
      </c>
      <c r="M332" s="261">
        <v>0</v>
      </c>
      <c r="N332" s="261">
        <v>0</v>
      </c>
      <c r="O332" s="261">
        <v>199000</v>
      </c>
      <c r="P332" s="261">
        <v>0</v>
      </c>
      <c r="Q332" s="261">
        <v>0</v>
      </c>
      <c r="R332" s="261">
        <v>0</v>
      </c>
      <c r="S332" s="261">
        <v>0</v>
      </c>
      <c r="T332" s="261">
        <v>0</v>
      </c>
      <c r="U332" s="261">
        <v>0</v>
      </c>
      <c r="V332" s="261">
        <v>0</v>
      </c>
      <c r="W332" s="261">
        <v>0</v>
      </c>
      <c r="X332" s="261">
        <v>0</v>
      </c>
      <c r="Y332" s="261">
        <v>0</v>
      </c>
      <c r="Z332" s="261">
        <v>0</v>
      </c>
      <c r="AA332" s="261">
        <v>0</v>
      </c>
      <c r="AB332" s="260">
        <v>2020</v>
      </c>
    </row>
    <row r="333" spans="1:28" s="6" customFormat="1" ht="35.25" customHeight="1" x14ac:dyDescent="0.5">
      <c r="A333" s="6">
        <v>1</v>
      </c>
      <c r="B333" s="225">
        <f>SUBTOTAL(103,$A$7:A333)</f>
        <v>322</v>
      </c>
      <c r="C333" s="254" t="s">
        <v>2132</v>
      </c>
      <c r="D333" s="255">
        <f t="shared" si="13"/>
        <v>1195423</v>
      </c>
      <c r="E333" s="261">
        <v>0</v>
      </c>
      <c r="F333" s="261">
        <v>0</v>
      </c>
      <c r="G333" s="261">
        <v>0</v>
      </c>
      <c r="H333" s="261">
        <v>0</v>
      </c>
      <c r="I333" s="261">
        <v>0</v>
      </c>
      <c r="J333" s="261">
        <v>0</v>
      </c>
      <c r="K333" s="262">
        <v>0</v>
      </c>
      <c r="L333" s="261">
        <v>0</v>
      </c>
      <c r="M333" s="261">
        <v>0</v>
      </c>
      <c r="N333" s="261">
        <v>0</v>
      </c>
      <c r="O333" s="261">
        <v>1195423</v>
      </c>
      <c r="P333" s="261">
        <v>0</v>
      </c>
      <c r="Q333" s="261">
        <v>0</v>
      </c>
      <c r="R333" s="261">
        <v>0</v>
      </c>
      <c r="S333" s="261">
        <v>0</v>
      </c>
      <c r="T333" s="261">
        <v>0</v>
      </c>
      <c r="U333" s="261">
        <v>0</v>
      </c>
      <c r="V333" s="261">
        <v>0</v>
      </c>
      <c r="W333" s="261">
        <v>0</v>
      </c>
      <c r="X333" s="261">
        <v>0</v>
      </c>
      <c r="Y333" s="261">
        <v>0</v>
      </c>
      <c r="Z333" s="261">
        <v>0</v>
      </c>
      <c r="AA333" s="261">
        <v>0</v>
      </c>
      <c r="AB333" s="260">
        <v>2020</v>
      </c>
    </row>
    <row r="334" spans="1:28" s="6" customFormat="1" ht="35.25" customHeight="1" x14ac:dyDescent="0.5">
      <c r="A334" s="6">
        <v>1</v>
      </c>
      <c r="B334" s="225">
        <f>SUBTOTAL(103,$A$7:A334)</f>
        <v>323</v>
      </c>
      <c r="C334" s="254" t="s">
        <v>2133</v>
      </c>
      <c r="D334" s="255">
        <f t="shared" si="13"/>
        <v>381537</v>
      </c>
      <c r="E334" s="261">
        <v>0</v>
      </c>
      <c r="F334" s="261">
        <v>0</v>
      </c>
      <c r="G334" s="261">
        <v>0</v>
      </c>
      <c r="H334" s="261">
        <v>0</v>
      </c>
      <c r="I334" s="261">
        <v>170882</v>
      </c>
      <c r="J334" s="261">
        <v>0</v>
      </c>
      <c r="K334" s="262">
        <v>0</v>
      </c>
      <c r="L334" s="261">
        <v>0</v>
      </c>
      <c r="M334" s="261">
        <v>0</v>
      </c>
      <c r="N334" s="261">
        <v>0</v>
      </c>
      <c r="O334" s="261">
        <v>210655</v>
      </c>
      <c r="P334" s="261">
        <v>0</v>
      </c>
      <c r="Q334" s="261">
        <v>0</v>
      </c>
      <c r="R334" s="261">
        <v>0</v>
      </c>
      <c r="S334" s="261">
        <v>0</v>
      </c>
      <c r="T334" s="261">
        <v>0</v>
      </c>
      <c r="U334" s="261">
        <v>0</v>
      </c>
      <c r="V334" s="261">
        <v>0</v>
      </c>
      <c r="W334" s="261">
        <v>0</v>
      </c>
      <c r="X334" s="261">
        <v>0</v>
      </c>
      <c r="Y334" s="261">
        <v>0</v>
      </c>
      <c r="Z334" s="261">
        <v>0</v>
      </c>
      <c r="AA334" s="261">
        <v>0</v>
      </c>
      <c r="AB334" s="260">
        <v>2020</v>
      </c>
    </row>
    <row r="335" spans="1:28" s="6" customFormat="1" ht="35.25" customHeight="1" x14ac:dyDescent="0.5">
      <c r="A335" s="6">
        <v>1</v>
      </c>
      <c r="B335" s="225">
        <f>SUBTOTAL(103,$A$7:A335)</f>
        <v>324</v>
      </c>
      <c r="C335" s="254" t="s">
        <v>2134</v>
      </c>
      <c r="D335" s="255">
        <f t="shared" si="13"/>
        <v>239525</v>
      </c>
      <c r="E335" s="261">
        <v>0</v>
      </c>
      <c r="F335" s="261">
        <v>0</v>
      </c>
      <c r="G335" s="261">
        <v>0</v>
      </c>
      <c r="H335" s="261">
        <v>0</v>
      </c>
      <c r="I335" s="261">
        <v>0</v>
      </c>
      <c r="J335" s="261">
        <v>0</v>
      </c>
      <c r="K335" s="262">
        <v>0</v>
      </c>
      <c r="L335" s="261">
        <v>0</v>
      </c>
      <c r="M335" s="261">
        <v>0</v>
      </c>
      <c r="N335" s="261">
        <v>0</v>
      </c>
      <c r="O335" s="261">
        <v>239525</v>
      </c>
      <c r="P335" s="261">
        <v>0</v>
      </c>
      <c r="Q335" s="261">
        <v>0</v>
      </c>
      <c r="R335" s="261">
        <v>0</v>
      </c>
      <c r="S335" s="261">
        <v>0</v>
      </c>
      <c r="T335" s="261">
        <v>0</v>
      </c>
      <c r="U335" s="261">
        <v>0</v>
      </c>
      <c r="V335" s="261">
        <v>0</v>
      </c>
      <c r="W335" s="261">
        <v>0</v>
      </c>
      <c r="X335" s="261">
        <v>0</v>
      </c>
      <c r="Y335" s="261">
        <v>0</v>
      </c>
      <c r="Z335" s="261">
        <v>0</v>
      </c>
      <c r="AA335" s="261">
        <v>0</v>
      </c>
      <c r="AB335" s="260">
        <v>2020</v>
      </c>
    </row>
    <row r="336" spans="1:28" s="6" customFormat="1" ht="35.25" customHeight="1" x14ac:dyDescent="0.5">
      <c r="A336" s="6">
        <v>1</v>
      </c>
      <c r="B336" s="225">
        <f>SUBTOTAL(103,$A$7:A336)</f>
        <v>325</v>
      </c>
      <c r="C336" s="254" t="s">
        <v>2135</v>
      </c>
      <c r="D336" s="255">
        <f t="shared" si="13"/>
        <v>443675</v>
      </c>
      <c r="E336" s="261">
        <v>0</v>
      </c>
      <c r="F336" s="261">
        <v>0</v>
      </c>
      <c r="G336" s="261">
        <v>0</v>
      </c>
      <c r="H336" s="261">
        <v>0</v>
      </c>
      <c r="I336" s="261">
        <v>0</v>
      </c>
      <c r="J336" s="261">
        <v>0</v>
      </c>
      <c r="K336" s="262">
        <v>0</v>
      </c>
      <c r="L336" s="261">
        <v>0</v>
      </c>
      <c r="M336" s="261">
        <v>0</v>
      </c>
      <c r="N336" s="261">
        <v>0</v>
      </c>
      <c r="O336" s="261">
        <v>443675</v>
      </c>
      <c r="P336" s="261">
        <v>0</v>
      </c>
      <c r="Q336" s="261">
        <v>0</v>
      </c>
      <c r="R336" s="261">
        <v>0</v>
      </c>
      <c r="S336" s="261">
        <v>0</v>
      </c>
      <c r="T336" s="261">
        <v>0</v>
      </c>
      <c r="U336" s="261">
        <v>0</v>
      </c>
      <c r="V336" s="261">
        <v>0</v>
      </c>
      <c r="W336" s="261">
        <v>0</v>
      </c>
      <c r="X336" s="261">
        <v>0</v>
      </c>
      <c r="Y336" s="261">
        <v>0</v>
      </c>
      <c r="Z336" s="261">
        <v>0</v>
      </c>
      <c r="AA336" s="261">
        <v>0</v>
      </c>
      <c r="AB336" s="260">
        <v>2020</v>
      </c>
    </row>
    <row r="337" spans="1:28" s="6" customFormat="1" ht="35.25" customHeight="1" x14ac:dyDescent="0.5">
      <c r="A337" s="6">
        <v>1</v>
      </c>
      <c r="B337" s="225">
        <f>SUBTOTAL(103,$A$7:A337)</f>
        <v>326</v>
      </c>
      <c r="C337" s="254" t="s">
        <v>2136</v>
      </c>
      <c r="D337" s="255">
        <f t="shared" si="13"/>
        <v>278300</v>
      </c>
      <c r="E337" s="261">
        <v>0</v>
      </c>
      <c r="F337" s="261">
        <v>0</v>
      </c>
      <c r="G337" s="261">
        <v>0</v>
      </c>
      <c r="H337" s="261">
        <v>0</v>
      </c>
      <c r="I337" s="261">
        <v>0</v>
      </c>
      <c r="J337" s="261">
        <v>0</v>
      </c>
      <c r="K337" s="262">
        <v>0</v>
      </c>
      <c r="L337" s="261">
        <v>0</v>
      </c>
      <c r="M337" s="261">
        <v>0</v>
      </c>
      <c r="N337" s="261">
        <v>0</v>
      </c>
      <c r="O337" s="261">
        <v>278300</v>
      </c>
      <c r="P337" s="261">
        <v>0</v>
      </c>
      <c r="Q337" s="261">
        <v>0</v>
      </c>
      <c r="R337" s="261">
        <v>0</v>
      </c>
      <c r="S337" s="261">
        <v>0</v>
      </c>
      <c r="T337" s="261">
        <v>0</v>
      </c>
      <c r="U337" s="261">
        <v>0</v>
      </c>
      <c r="V337" s="261">
        <v>0</v>
      </c>
      <c r="W337" s="261">
        <v>0</v>
      </c>
      <c r="X337" s="261">
        <v>0</v>
      </c>
      <c r="Y337" s="261">
        <v>0</v>
      </c>
      <c r="Z337" s="261">
        <v>0</v>
      </c>
      <c r="AA337" s="261">
        <v>0</v>
      </c>
      <c r="AB337" s="260">
        <v>2020</v>
      </c>
    </row>
    <row r="338" spans="1:28" s="6" customFormat="1" ht="35.25" customHeight="1" x14ac:dyDescent="0.5">
      <c r="A338" s="6">
        <v>1</v>
      </c>
      <c r="B338" s="225">
        <f>SUBTOTAL(103,$A$7:A338)</f>
        <v>327</v>
      </c>
      <c r="C338" s="254" t="s">
        <v>2137</v>
      </c>
      <c r="D338" s="255">
        <f t="shared" si="13"/>
        <v>400000</v>
      </c>
      <c r="E338" s="261">
        <v>0</v>
      </c>
      <c r="F338" s="261">
        <v>0</v>
      </c>
      <c r="G338" s="261">
        <v>0</v>
      </c>
      <c r="H338" s="261">
        <v>0</v>
      </c>
      <c r="I338" s="261">
        <v>0</v>
      </c>
      <c r="J338" s="261">
        <v>0</v>
      </c>
      <c r="K338" s="262">
        <v>0</v>
      </c>
      <c r="L338" s="261">
        <v>0</v>
      </c>
      <c r="M338" s="261">
        <v>0</v>
      </c>
      <c r="N338" s="261">
        <v>0</v>
      </c>
      <c r="O338" s="261">
        <v>400000</v>
      </c>
      <c r="P338" s="261">
        <v>0</v>
      </c>
      <c r="Q338" s="261">
        <v>0</v>
      </c>
      <c r="R338" s="261">
        <v>0</v>
      </c>
      <c r="S338" s="261">
        <v>0</v>
      </c>
      <c r="T338" s="261">
        <v>0</v>
      </c>
      <c r="U338" s="261">
        <v>0</v>
      </c>
      <c r="V338" s="261">
        <v>0</v>
      </c>
      <c r="W338" s="261">
        <v>0</v>
      </c>
      <c r="X338" s="261">
        <v>0</v>
      </c>
      <c r="Y338" s="261">
        <v>0</v>
      </c>
      <c r="Z338" s="261">
        <v>0</v>
      </c>
      <c r="AA338" s="261">
        <v>0</v>
      </c>
      <c r="AB338" s="260">
        <v>2020</v>
      </c>
    </row>
    <row r="339" spans="1:28" s="6" customFormat="1" ht="35.25" customHeight="1" x14ac:dyDescent="0.5">
      <c r="A339" s="6">
        <v>1</v>
      </c>
      <c r="B339" s="225">
        <f>SUBTOTAL(103,$A$7:A339)</f>
        <v>328</v>
      </c>
      <c r="C339" s="254" t="s">
        <v>2138</v>
      </c>
      <c r="D339" s="255">
        <f t="shared" si="13"/>
        <v>223100</v>
      </c>
      <c r="E339" s="261">
        <v>0</v>
      </c>
      <c r="F339" s="261">
        <v>0</v>
      </c>
      <c r="G339" s="261">
        <v>0</v>
      </c>
      <c r="H339" s="261">
        <v>0</v>
      </c>
      <c r="I339" s="261">
        <v>0</v>
      </c>
      <c r="J339" s="261">
        <v>0</v>
      </c>
      <c r="K339" s="262">
        <v>0</v>
      </c>
      <c r="L339" s="261">
        <v>0</v>
      </c>
      <c r="M339" s="261">
        <v>223100</v>
      </c>
      <c r="N339" s="261">
        <v>0</v>
      </c>
      <c r="O339" s="261">
        <v>0</v>
      </c>
      <c r="P339" s="261">
        <v>0</v>
      </c>
      <c r="Q339" s="261">
        <v>0</v>
      </c>
      <c r="R339" s="261">
        <v>0</v>
      </c>
      <c r="S339" s="261">
        <v>0</v>
      </c>
      <c r="T339" s="261">
        <v>0</v>
      </c>
      <c r="U339" s="261">
        <v>0</v>
      </c>
      <c r="V339" s="261">
        <v>0</v>
      </c>
      <c r="W339" s="261">
        <v>0</v>
      </c>
      <c r="X339" s="261">
        <v>0</v>
      </c>
      <c r="Y339" s="261">
        <v>0</v>
      </c>
      <c r="Z339" s="261">
        <v>0</v>
      </c>
      <c r="AA339" s="261">
        <v>0</v>
      </c>
      <c r="AB339" s="260">
        <v>2020</v>
      </c>
    </row>
    <row r="340" spans="1:28" s="6" customFormat="1" ht="35.25" customHeight="1" x14ac:dyDescent="0.5">
      <c r="A340" s="6">
        <v>1</v>
      </c>
      <c r="B340" s="225">
        <f>SUBTOTAL(103,$A$7:A340)</f>
        <v>329</v>
      </c>
      <c r="C340" s="254" t="s">
        <v>2139</v>
      </c>
      <c r="D340" s="255">
        <f t="shared" si="13"/>
        <v>76725</v>
      </c>
      <c r="E340" s="261">
        <v>0</v>
      </c>
      <c r="F340" s="261">
        <v>0</v>
      </c>
      <c r="G340" s="261">
        <v>0</v>
      </c>
      <c r="H340" s="261">
        <v>0</v>
      </c>
      <c r="I340" s="261">
        <v>0</v>
      </c>
      <c r="J340" s="261">
        <v>0</v>
      </c>
      <c r="K340" s="262">
        <v>0</v>
      </c>
      <c r="L340" s="261">
        <v>0</v>
      </c>
      <c r="M340" s="261">
        <v>76725</v>
      </c>
      <c r="N340" s="261">
        <v>0</v>
      </c>
      <c r="O340" s="261">
        <v>0</v>
      </c>
      <c r="P340" s="261">
        <v>0</v>
      </c>
      <c r="Q340" s="261">
        <v>0</v>
      </c>
      <c r="R340" s="261">
        <v>0</v>
      </c>
      <c r="S340" s="261">
        <v>0</v>
      </c>
      <c r="T340" s="261">
        <v>0</v>
      </c>
      <c r="U340" s="261">
        <v>0</v>
      </c>
      <c r="V340" s="261">
        <v>0</v>
      </c>
      <c r="W340" s="261">
        <v>0</v>
      </c>
      <c r="X340" s="261">
        <v>0</v>
      </c>
      <c r="Y340" s="261">
        <v>0</v>
      </c>
      <c r="Z340" s="261">
        <v>0</v>
      </c>
      <c r="AA340" s="261">
        <v>0</v>
      </c>
      <c r="AB340" s="260">
        <v>2020</v>
      </c>
    </row>
    <row r="341" spans="1:28" s="6" customFormat="1" ht="35.25" customHeight="1" x14ac:dyDescent="0.5">
      <c r="A341" s="6">
        <v>1</v>
      </c>
      <c r="B341" s="225">
        <f>SUBTOTAL(103,$A$7:A341)</f>
        <v>330</v>
      </c>
      <c r="C341" s="254" t="s">
        <v>2140</v>
      </c>
      <c r="D341" s="255">
        <f t="shared" si="13"/>
        <v>333783</v>
      </c>
      <c r="E341" s="261">
        <v>0</v>
      </c>
      <c r="F341" s="261">
        <v>0</v>
      </c>
      <c r="G341" s="261">
        <v>0</v>
      </c>
      <c r="H341" s="261">
        <v>0</v>
      </c>
      <c r="I341" s="261">
        <v>0</v>
      </c>
      <c r="J341" s="261">
        <v>0</v>
      </c>
      <c r="K341" s="262">
        <v>0</v>
      </c>
      <c r="L341" s="261">
        <v>0</v>
      </c>
      <c r="M341" s="261">
        <v>0</v>
      </c>
      <c r="N341" s="261">
        <v>0</v>
      </c>
      <c r="O341" s="261">
        <v>0</v>
      </c>
      <c r="P341" s="261">
        <v>333783</v>
      </c>
      <c r="Q341" s="261">
        <v>0</v>
      </c>
      <c r="R341" s="261">
        <v>0</v>
      </c>
      <c r="S341" s="261">
        <v>0</v>
      </c>
      <c r="T341" s="261">
        <v>0</v>
      </c>
      <c r="U341" s="261">
        <v>0</v>
      </c>
      <c r="V341" s="261">
        <v>0</v>
      </c>
      <c r="W341" s="261">
        <v>0</v>
      </c>
      <c r="X341" s="261">
        <v>0</v>
      </c>
      <c r="Y341" s="261">
        <v>0</v>
      </c>
      <c r="Z341" s="261">
        <v>0</v>
      </c>
      <c r="AA341" s="261">
        <v>0</v>
      </c>
      <c r="AB341" s="260">
        <v>2020</v>
      </c>
    </row>
    <row r="342" spans="1:28" s="6" customFormat="1" ht="35.25" customHeight="1" x14ac:dyDescent="0.5">
      <c r="A342" s="6">
        <v>1</v>
      </c>
      <c r="B342" s="225">
        <f>SUBTOTAL(103,$A$7:A342)</f>
        <v>331</v>
      </c>
      <c r="C342" s="254" t="s">
        <v>2141</v>
      </c>
      <c r="D342" s="255">
        <f t="shared" si="13"/>
        <v>524585</v>
      </c>
      <c r="E342" s="261">
        <v>0</v>
      </c>
      <c r="F342" s="261">
        <v>0</v>
      </c>
      <c r="G342" s="261">
        <v>0</v>
      </c>
      <c r="H342" s="261">
        <v>0</v>
      </c>
      <c r="I342" s="261">
        <v>0</v>
      </c>
      <c r="J342" s="261">
        <v>0</v>
      </c>
      <c r="K342" s="262">
        <v>0</v>
      </c>
      <c r="L342" s="261">
        <v>0</v>
      </c>
      <c r="M342" s="261">
        <v>0</v>
      </c>
      <c r="N342" s="261">
        <v>0</v>
      </c>
      <c r="O342" s="261">
        <v>524585</v>
      </c>
      <c r="P342" s="261">
        <v>0</v>
      </c>
      <c r="Q342" s="261">
        <v>0</v>
      </c>
      <c r="R342" s="261">
        <v>0</v>
      </c>
      <c r="S342" s="261">
        <v>0</v>
      </c>
      <c r="T342" s="261">
        <v>0</v>
      </c>
      <c r="U342" s="261">
        <v>0</v>
      </c>
      <c r="V342" s="261">
        <v>0</v>
      </c>
      <c r="W342" s="261">
        <v>0</v>
      </c>
      <c r="X342" s="261">
        <v>0</v>
      </c>
      <c r="Y342" s="261">
        <v>0</v>
      </c>
      <c r="Z342" s="261">
        <v>0</v>
      </c>
      <c r="AA342" s="261">
        <v>0</v>
      </c>
      <c r="AB342" s="260">
        <v>2020</v>
      </c>
    </row>
    <row r="343" spans="1:28" s="6" customFormat="1" ht="35.25" customHeight="1" x14ac:dyDescent="0.5">
      <c r="A343" s="6">
        <v>1</v>
      </c>
      <c r="B343" s="225">
        <f>SUBTOTAL(103,$A$7:A343)</f>
        <v>332</v>
      </c>
      <c r="C343" s="254" t="s">
        <v>2142</v>
      </c>
      <c r="D343" s="255">
        <f t="shared" si="13"/>
        <v>523713.59</v>
      </c>
      <c r="E343" s="261">
        <v>0</v>
      </c>
      <c r="F343" s="261">
        <v>0</v>
      </c>
      <c r="G343" s="261">
        <v>0</v>
      </c>
      <c r="H343" s="261">
        <v>0</v>
      </c>
      <c r="I343" s="261">
        <v>0</v>
      </c>
      <c r="J343" s="261">
        <v>0</v>
      </c>
      <c r="K343" s="262">
        <v>0</v>
      </c>
      <c r="L343" s="261">
        <v>0</v>
      </c>
      <c r="M343" s="261">
        <v>0</v>
      </c>
      <c r="N343" s="261">
        <v>0</v>
      </c>
      <c r="O343" s="261">
        <v>523713.59</v>
      </c>
      <c r="P343" s="261">
        <v>0</v>
      </c>
      <c r="Q343" s="261">
        <v>0</v>
      </c>
      <c r="R343" s="261">
        <v>0</v>
      </c>
      <c r="S343" s="261">
        <v>0</v>
      </c>
      <c r="T343" s="261">
        <v>0</v>
      </c>
      <c r="U343" s="261">
        <v>0</v>
      </c>
      <c r="V343" s="261">
        <v>0</v>
      </c>
      <c r="W343" s="261">
        <v>0</v>
      </c>
      <c r="X343" s="261">
        <v>0</v>
      </c>
      <c r="Y343" s="261">
        <v>0</v>
      </c>
      <c r="Z343" s="261">
        <v>0</v>
      </c>
      <c r="AA343" s="261">
        <v>0</v>
      </c>
      <c r="AB343" s="260">
        <v>2020</v>
      </c>
    </row>
    <row r="344" spans="1:28" s="6" customFormat="1" ht="35.25" customHeight="1" x14ac:dyDescent="0.5">
      <c r="A344" s="6">
        <v>1</v>
      </c>
      <c r="B344" s="225">
        <f>SUBTOTAL(103,$A$7:A344)</f>
        <v>333</v>
      </c>
      <c r="C344" s="254" t="s">
        <v>2143</v>
      </c>
      <c r="D344" s="255">
        <f t="shared" si="13"/>
        <v>1050321.76</v>
      </c>
      <c r="E344" s="261">
        <v>0</v>
      </c>
      <c r="F344" s="261">
        <v>0</v>
      </c>
      <c r="G344" s="261">
        <v>637270</v>
      </c>
      <c r="H344" s="261">
        <v>0</v>
      </c>
      <c r="I344" s="261">
        <v>0</v>
      </c>
      <c r="J344" s="261">
        <v>0</v>
      </c>
      <c r="K344" s="262">
        <v>0</v>
      </c>
      <c r="L344" s="261">
        <v>0</v>
      </c>
      <c r="M344" s="261">
        <v>0</v>
      </c>
      <c r="N344" s="261">
        <v>0</v>
      </c>
      <c r="O344" s="261">
        <v>413051.76</v>
      </c>
      <c r="P344" s="261">
        <v>0</v>
      </c>
      <c r="Q344" s="261">
        <v>0</v>
      </c>
      <c r="R344" s="261">
        <v>0</v>
      </c>
      <c r="S344" s="261">
        <v>0</v>
      </c>
      <c r="T344" s="261">
        <v>0</v>
      </c>
      <c r="U344" s="261">
        <v>0</v>
      </c>
      <c r="V344" s="261">
        <v>0</v>
      </c>
      <c r="W344" s="261">
        <v>0</v>
      </c>
      <c r="X344" s="261">
        <v>0</v>
      </c>
      <c r="Y344" s="261">
        <v>0</v>
      </c>
      <c r="Z344" s="261">
        <v>0</v>
      </c>
      <c r="AA344" s="261">
        <v>0</v>
      </c>
      <c r="AB344" s="260">
        <v>2020</v>
      </c>
    </row>
    <row r="345" spans="1:28" s="6" customFormat="1" ht="35.25" customHeight="1" x14ac:dyDescent="0.5">
      <c r="A345" s="6">
        <v>1</v>
      </c>
      <c r="B345" s="225">
        <f>SUBTOTAL(103,$A$7:A345)</f>
        <v>334</v>
      </c>
      <c r="C345" s="254" t="s">
        <v>2144</v>
      </c>
      <c r="D345" s="255">
        <f t="shared" si="13"/>
        <v>46494</v>
      </c>
      <c r="E345" s="261">
        <v>0</v>
      </c>
      <c r="F345" s="261">
        <v>0</v>
      </c>
      <c r="G345" s="261">
        <v>46494</v>
      </c>
      <c r="H345" s="261">
        <v>0</v>
      </c>
      <c r="I345" s="261">
        <v>0</v>
      </c>
      <c r="J345" s="261">
        <v>0</v>
      </c>
      <c r="K345" s="262">
        <v>0</v>
      </c>
      <c r="L345" s="261">
        <v>0</v>
      </c>
      <c r="M345" s="261">
        <v>0</v>
      </c>
      <c r="N345" s="261">
        <v>0</v>
      </c>
      <c r="O345" s="261">
        <v>0</v>
      </c>
      <c r="P345" s="261">
        <v>0</v>
      </c>
      <c r="Q345" s="261">
        <v>0</v>
      </c>
      <c r="R345" s="261">
        <v>0</v>
      </c>
      <c r="S345" s="261">
        <v>0</v>
      </c>
      <c r="T345" s="261">
        <v>0</v>
      </c>
      <c r="U345" s="261">
        <v>0</v>
      </c>
      <c r="V345" s="261">
        <v>0</v>
      </c>
      <c r="W345" s="261">
        <v>0</v>
      </c>
      <c r="X345" s="261">
        <v>0</v>
      </c>
      <c r="Y345" s="261">
        <v>0</v>
      </c>
      <c r="Z345" s="261">
        <v>0</v>
      </c>
      <c r="AA345" s="261">
        <v>0</v>
      </c>
      <c r="AB345" s="260">
        <v>2020</v>
      </c>
    </row>
    <row r="346" spans="1:28" s="6" customFormat="1" ht="35.25" customHeight="1" x14ac:dyDescent="0.5">
      <c r="A346" s="6">
        <v>1</v>
      </c>
      <c r="B346" s="225">
        <f>SUBTOTAL(103,$A$7:A346)</f>
        <v>335</v>
      </c>
      <c r="C346" s="254" t="s">
        <v>2145</v>
      </c>
      <c r="D346" s="255">
        <f t="shared" si="13"/>
        <v>48083</v>
      </c>
      <c r="E346" s="261">
        <v>0</v>
      </c>
      <c r="F346" s="261">
        <v>0</v>
      </c>
      <c r="G346" s="261">
        <v>48083</v>
      </c>
      <c r="H346" s="261">
        <v>0</v>
      </c>
      <c r="I346" s="261">
        <v>0</v>
      </c>
      <c r="J346" s="261">
        <v>0</v>
      </c>
      <c r="K346" s="262">
        <v>0</v>
      </c>
      <c r="L346" s="261">
        <v>0</v>
      </c>
      <c r="M346" s="261">
        <v>0</v>
      </c>
      <c r="N346" s="261">
        <v>0</v>
      </c>
      <c r="O346" s="261">
        <v>0</v>
      </c>
      <c r="P346" s="261">
        <v>0</v>
      </c>
      <c r="Q346" s="261">
        <v>0</v>
      </c>
      <c r="R346" s="261">
        <v>0</v>
      </c>
      <c r="S346" s="261">
        <v>0</v>
      </c>
      <c r="T346" s="261">
        <v>0</v>
      </c>
      <c r="U346" s="261">
        <v>0</v>
      </c>
      <c r="V346" s="261">
        <v>0</v>
      </c>
      <c r="W346" s="261">
        <v>0</v>
      </c>
      <c r="X346" s="261">
        <v>0</v>
      </c>
      <c r="Y346" s="261">
        <v>0</v>
      </c>
      <c r="Z346" s="261">
        <v>0</v>
      </c>
      <c r="AA346" s="261">
        <v>0</v>
      </c>
      <c r="AB346" s="260">
        <v>2020</v>
      </c>
    </row>
    <row r="347" spans="1:28" s="6" customFormat="1" ht="35.25" customHeight="1" x14ac:dyDescent="0.5">
      <c r="A347" s="6">
        <v>1</v>
      </c>
      <c r="B347" s="225">
        <f>SUBTOTAL(103,$A$7:A347)</f>
        <v>336</v>
      </c>
      <c r="C347" s="254" t="s">
        <v>2146</v>
      </c>
      <c r="D347" s="255">
        <f t="shared" si="13"/>
        <v>174550</v>
      </c>
      <c r="E347" s="261">
        <v>0</v>
      </c>
      <c r="F347" s="261">
        <v>174550</v>
      </c>
      <c r="G347" s="261">
        <v>0</v>
      </c>
      <c r="H347" s="261">
        <v>0</v>
      </c>
      <c r="I347" s="261">
        <v>0</v>
      </c>
      <c r="J347" s="261">
        <v>0</v>
      </c>
      <c r="K347" s="262">
        <v>0</v>
      </c>
      <c r="L347" s="261">
        <v>0</v>
      </c>
      <c r="M347" s="261">
        <v>0</v>
      </c>
      <c r="N347" s="261">
        <v>0</v>
      </c>
      <c r="O347" s="261">
        <v>0</v>
      </c>
      <c r="P347" s="261">
        <v>0</v>
      </c>
      <c r="Q347" s="261">
        <v>0</v>
      </c>
      <c r="R347" s="261">
        <v>0</v>
      </c>
      <c r="S347" s="261">
        <v>0</v>
      </c>
      <c r="T347" s="261">
        <v>0</v>
      </c>
      <c r="U347" s="261">
        <v>0</v>
      </c>
      <c r="V347" s="261">
        <v>0</v>
      </c>
      <c r="W347" s="261">
        <v>0</v>
      </c>
      <c r="X347" s="261">
        <v>0</v>
      </c>
      <c r="Y347" s="261">
        <v>0</v>
      </c>
      <c r="Z347" s="261">
        <v>0</v>
      </c>
      <c r="AA347" s="261">
        <v>0</v>
      </c>
      <c r="AB347" s="260">
        <v>2020</v>
      </c>
    </row>
    <row r="348" spans="1:28" s="6" customFormat="1" ht="35.25" customHeight="1" x14ac:dyDescent="0.5">
      <c r="A348" s="6">
        <v>1</v>
      </c>
      <c r="B348" s="225">
        <f>SUBTOTAL(103,$A$7:A348)</f>
        <v>337</v>
      </c>
      <c r="C348" s="254" t="s">
        <v>2147</v>
      </c>
      <c r="D348" s="255">
        <f t="shared" si="13"/>
        <v>403107</v>
      </c>
      <c r="E348" s="261">
        <v>0</v>
      </c>
      <c r="F348" s="261">
        <v>0</v>
      </c>
      <c r="G348" s="261">
        <v>0</v>
      </c>
      <c r="H348" s="261">
        <v>0</v>
      </c>
      <c r="I348" s="261">
        <v>0</v>
      </c>
      <c r="J348" s="261">
        <v>0</v>
      </c>
      <c r="K348" s="262">
        <v>0</v>
      </c>
      <c r="L348" s="261">
        <v>0</v>
      </c>
      <c r="M348" s="261">
        <v>0</v>
      </c>
      <c r="N348" s="261">
        <v>0</v>
      </c>
      <c r="O348" s="261">
        <v>403107</v>
      </c>
      <c r="P348" s="261">
        <v>0</v>
      </c>
      <c r="Q348" s="261">
        <v>0</v>
      </c>
      <c r="R348" s="261">
        <v>0</v>
      </c>
      <c r="S348" s="261">
        <v>0</v>
      </c>
      <c r="T348" s="261">
        <v>0</v>
      </c>
      <c r="U348" s="261">
        <v>0</v>
      </c>
      <c r="V348" s="261">
        <v>0</v>
      </c>
      <c r="W348" s="261">
        <v>0</v>
      </c>
      <c r="X348" s="261">
        <v>0</v>
      </c>
      <c r="Y348" s="261">
        <v>0</v>
      </c>
      <c r="Z348" s="261">
        <v>0</v>
      </c>
      <c r="AA348" s="261">
        <v>0</v>
      </c>
      <c r="AB348" s="260">
        <v>2020</v>
      </c>
    </row>
    <row r="349" spans="1:28" s="6" customFormat="1" ht="35.25" customHeight="1" x14ac:dyDescent="0.5">
      <c r="A349" s="6">
        <v>1</v>
      </c>
      <c r="B349" s="225">
        <f>SUBTOTAL(103,$A$7:A349)</f>
        <v>338</v>
      </c>
      <c r="C349" s="254" t="s">
        <v>2148</v>
      </c>
      <c r="D349" s="255">
        <f t="shared" si="13"/>
        <v>431437</v>
      </c>
      <c r="E349" s="261">
        <v>0</v>
      </c>
      <c r="F349" s="261">
        <v>0</v>
      </c>
      <c r="G349" s="261">
        <v>0</v>
      </c>
      <c r="H349" s="261">
        <v>0</v>
      </c>
      <c r="I349" s="261">
        <v>0</v>
      </c>
      <c r="J349" s="261">
        <v>0</v>
      </c>
      <c r="K349" s="262">
        <v>0</v>
      </c>
      <c r="L349" s="261">
        <v>0</v>
      </c>
      <c r="M349" s="261">
        <v>0</v>
      </c>
      <c r="N349" s="261">
        <v>0</v>
      </c>
      <c r="O349" s="261">
        <v>431437</v>
      </c>
      <c r="P349" s="261">
        <v>0</v>
      </c>
      <c r="Q349" s="261">
        <v>0</v>
      </c>
      <c r="R349" s="261">
        <v>0</v>
      </c>
      <c r="S349" s="261">
        <v>0</v>
      </c>
      <c r="T349" s="261">
        <v>0</v>
      </c>
      <c r="U349" s="261">
        <v>0</v>
      </c>
      <c r="V349" s="261">
        <v>0</v>
      </c>
      <c r="W349" s="261">
        <v>0</v>
      </c>
      <c r="X349" s="261">
        <v>0</v>
      </c>
      <c r="Y349" s="261">
        <v>0</v>
      </c>
      <c r="Z349" s="261">
        <v>0</v>
      </c>
      <c r="AA349" s="261">
        <v>0</v>
      </c>
      <c r="AB349" s="260">
        <v>2020</v>
      </c>
    </row>
    <row r="350" spans="1:28" s="6" customFormat="1" ht="35.25" customHeight="1" x14ac:dyDescent="0.5">
      <c r="A350" s="6">
        <v>1</v>
      </c>
      <c r="B350" s="225">
        <f>SUBTOTAL(103,$A$7:A350)</f>
        <v>339</v>
      </c>
      <c r="C350" s="254" t="s">
        <v>2149</v>
      </c>
      <c r="D350" s="255">
        <f t="shared" si="13"/>
        <v>380000</v>
      </c>
      <c r="E350" s="261">
        <v>0</v>
      </c>
      <c r="F350" s="261">
        <v>0</v>
      </c>
      <c r="G350" s="261">
        <v>0</v>
      </c>
      <c r="H350" s="261">
        <v>0</v>
      </c>
      <c r="I350" s="261">
        <v>0</v>
      </c>
      <c r="J350" s="261">
        <v>0</v>
      </c>
      <c r="K350" s="262">
        <v>0</v>
      </c>
      <c r="L350" s="261">
        <v>0</v>
      </c>
      <c r="M350" s="261">
        <v>380000</v>
      </c>
      <c r="N350" s="261">
        <v>0</v>
      </c>
      <c r="O350" s="261">
        <v>0</v>
      </c>
      <c r="P350" s="261">
        <v>0</v>
      </c>
      <c r="Q350" s="261">
        <v>0</v>
      </c>
      <c r="R350" s="261">
        <v>0</v>
      </c>
      <c r="S350" s="261">
        <v>0</v>
      </c>
      <c r="T350" s="261">
        <v>0</v>
      </c>
      <c r="U350" s="261">
        <v>0</v>
      </c>
      <c r="V350" s="261">
        <v>0</v>
      </c>
      <c r="W350" s="261">
        <v>0</v>
      </c>
      <c r="X350" s="261">
        <v>0</v>
      </c>
      <c r="Y350" s="261">
        <v>0</v>
      </c>
      <c r="Z350" s="261">
        <v>0</v>
      </c>
      <c r="AA350" s="261">
        <v>0</v>
      </c>
      <c r="AB350" s="260">
        <v>2020</v>
      </c>
    </row>
    <row r="351" spans="1:28" s="6" customFormat="1" ht="35.25" customHeight="1" x14ac:dyDescent="0.5">
      <c r="A351" s="6">
        <v>1</v>
      </c>
      <c r="B351" s="225">
        <f>SUBTOTAL(103,$A$7:A351)</f>
        <v>340</v>
      </c>
      <c r="C351" s="254" t="s">
        <v>2150</v>
      </c>
      <c r="D351" s="255">
        <f t="shared" si="13"/>
        <v>379775.77</v>
      </c>
      <c r="E351" s="261">
        <v>0</v>
      </c>
      <c r="F351" s="261">
        <v>0</v>
      </c>
      <c r="G351" s="261">
        <v>0</v>
      </c>
      <c r="H351" s="261">
        <v>0</v>
      </c>
      <c r="I351" s="261">
        <v>0</v>
      </c>
      <c r="J351" s="261">
        <v>0</v>
      </c>
      <c r="K351" s="262">
        <v>0</v>
      </c>
      <c r="L351" s="261">
        <v>0</v>
      </c>
      <c r="M351" s="261">
        <v>379775.77</v>
      </c>
      <c r="N351" s="261">
        <v>0</v>
      </c>
      <c r="O351" s="261">
        <v>0</v>
      </c>
      <c r="P351" s="261">
        <v>0</v>
      </c>
      <c r="Q351" s="261">
        <v>0</v>
      </c>
      <c r="R351" s="261">
        <v>0</v>
      </c>
      <c r="S351" s="261">
        <v>0</v>
      </c>
      <c r="T351" s="261">
        <v>0</v>
      </c>
      <c r="U351" s="261">
        <v>0</v>
      </c>
      <c r="V351" s="261">
        <v>0</v>
      </c>
      <c r="W351" s="261">
        <v>0</v>
      </c>
      <c r="X351" s="261">
        <v>0</v>
      </c>
      <c r="Y351" s="261">
        <v>0</v>
      </c>
      <c r="Z351" s="261">
        <v>0</v>
      </c>
      <c r="AA351" s="261">
        <v>0</v>
      </c>
      <c r="AB351" s="260">
        <v>2020</v>
      </c>
    </row>
    <row r="352" spans="1:28" s="6" customFormat="1" ht="35.25" customHeight="1" x14ac:dyDescent="0.5">
      <c r="A352" s="6">
        <v>1</v>
      </c>
      <c r="B352" s="225">
        <f>SUBTOTAL(103,$A$7:A352)</f>
        <v>341</v>
      </c>
      <c r="C352" s="254" t="s">
        <v>2151</v>
      </c>
      <c r="D352" s="255">
        <f t="shared" si="13"/>
        <v>220000</v>
      </c>
      <c r="E352" s="261">
        <v>0</v>
      </c>
      <c r="F352" s="261">
        <v>0</v>
      </c>
      <c r="G352" s="261">
        <v>0</v>
      </c>
      <c r="H352" s="261">
        <v>0</v>
      </c>
      <c r="I352" s="261">
        <v>0</v>
      </c>
      <c r="J352" s="261">
        <v>0</v>
      </c>
      <c r="K352" s="262">
        <v>0</v>
      </c>
      <c r="L352" s="261">
        <v>0</v>
      </c>
      <c r="M352" s="261">
        <v>0</v>
      </c>
      <c r="N352" s="261">
        <v>0</v>
      </c>
      <c r="O352" s="261">
        <v>220000</v>
      </c>
      <c r="P352" s="261">
        <v>0</v>
      </c>
      <c r="Q352" s="261">
        <v>0</v>
      </c>
      <c r="R352" s="261">
        <v>0</v>
      </c>
      <c r="S352" s="261">
        <v>0</v>
      </c>
      <c r="T352" s="261">
        <v>0</v>
      </c>
      <c r="U352" s="261">
        <v>0</v>
      </c>
      <c r="V352" s="261">
        <v>0</v>
      </c>
      <c r="W352" s="261">
        <v>0</v>
      </c>
      <c r="X352" s="261">
        <v>0</v>
      </c>
      <c r="Y352" s="261">
        <v>0</v>
      </c>
      <c r="Z352" s="261">
        <v>0</v>
      </c>
      <c r="AA352" s="261">
        <v>0</v>
      </c>
      <c r="AB352" s="260">
        <v>2020</v>
      </c>
    </row>
    <row r="353" spans="1:28" s="6" customFormat="1" ht="35.25" customHeight="1" x14ac:dyDescent="0.5">
      <c r="A353" s="6">
        <v>1</v>
      </c>
      <c r="B353" s="225">
        <f>SUBTOTAL(103,$A$7:A353)</f>
        <v>342</v>
      </c>
      <c r="C353" s="254" t="s">
        <v>2152</v>
      </c>
      <c r="D353" s="255">
        <f t="shared" si="13"/>
        <v>964015</v>
      </c>
      <c r="E353" s="261">
        <v>0</v>
      </c>
      <c r="F353" s="261">
        <v>0</v>
      </c>
      <c r="G353" s="261">
        <v>0</v>
      </c>
      <c r="H353" s="261">
        <v>0</v>
      </c>
      <c r="I353" s="261">
        <v>0</v>
      </c>
      <c r="J353" s="261">
        <v>0</v>
      </c>
      <c r="K353" s="262">
        <v>0</v>
      </c>
      <c r="L353" s="261">
        <v>0</v>
      </c>
      <c r="M353" s="261">
        <v>0</v>
      </c>
      <c r="N353" s="261">
        <v>0</v>
      </c>
      <c r="O353" s="261">
        <v>964015</v>
      </c>
      <c r="P353" s="261">
        <v>0</v>
      </c>
      <c r="Q353" s="261">
        <v>0</v>
      </c>
      <c r="R353" s="261">
        <v>0</v>
      </c>
      <c r="S353" s="261">
        <v>0</v>
      </c>
      <c r="T353" s="261">
        <v>0</v>
      </c>
      <c r="U353" s="261">
        <v>0</v>
      </c>
      <c r="V353" s="261">
        <v>0</v>
      </c>
      <c r="W353" s="261">
        <v>0</v>
      </c>
      <c r="X353" s="261">
        <v>0</v>
      </c>
      <c r="Y353" s="261">
        <v>0</v>
      </c>
      <c r="Z353" s="261">
        <v>0</v>
      </c>
      <c r="AA353" s="261">
        <v>0</v>
      </c>
      <c r="AB353" s="260">
        <v>2020</v>
      </c>
    </row>
    <row r="354" spans="1:28" s="6" customFormat="1" ht="35.25" customHeight="1" x14ac:dyDescent="0.5">
      <c r="A354" s="6">
        <v>1</v>
      </c>
      <c r="B354" s="225">
        <f>SUBTOTAL(103,$A$7:A354)</f>
        <v>343</v>
      </c>
      <c r="C354" s="254" t="s">
        <v>2153</v>
      </c>
      <c r="D354" s="255">
        <f t="shared" si="13"/>
        <v>290444</v>
      </c>
      <c r="E354" s="261">
        <v>0</v>
      </c>
      <c r="F354" s="261">
        <v>0</v>
      </c>
      <c r="G354" s="261">
        <v>0</v>
      </c>
      <c r="H354" s="261">
        <v>0</v>
      </c>
      <c r="I354" s="261">
        <v>0</v>
      </c>
      <c r="J354" s="261">
        <v>0</v>
      </c>
      <c r="K354" s="262">
        <v>0</v>
      </c>
      <c r="L354" s="261">
        <v>0</v>
      </c>
      <c r="M354" s="261">
        <v>290444</v>
      </c>
      <c r="N354" s="261">
        <v>0</v>
      </c>
      <c r="O354" s="261">
        <v>0</v>
      </c>
      <c r="P354" s="261">
        <v>0</v>
      </c>
      <c r="Q354" s="261">
        <v>0</v>
      </c>
      <c r="R354" s="261">
        <v>0</v>
      </c>
      <c r="S354" s="261">
        <v>0</v>
      </c>
      <c r="T354" s="261">
        <v>0</v>
      </c>
      <c r="U354" s="261">
        <v>0</v>
      </c>
      <c r="V354" s="261">
        <v>0</v>
      </c>
      <c r="W354" s="261">
        <v>0</v>
      </c>
      <c r="X354" s="261">
        <v>0</v>
      </c>
      <c r="Y354" s="261">
        <v>0</v>
      </c>
      <c r="Z354" s="261">
        <v>0</v>
      </c>
      <c r="AA354" s="261">
        <v>0</v>
      </c>
      <c r="AB354" s="260">
        <v>2020</v>
      </c>
    </row>
    <row r="355" spans="1:28" s="6" customFormat="1" ht="35.25" customHeight="1" x14ac:dyDescent="0.5">
      <c r="A355" s="6">
        <v>1</v>
      </c>
      <c r="B355" s="225">
        <f>SUBTOTAL(103,$A$7:A355)</f>
        <v>344</v>
      </c>
      <c r="C355" s="254" t="s">
        <v>2154</v>
      </c>
      <c r="D355" s="255">
        <f t="shared" si="13"/>
        <v>897533</v>
      </c>
      <c r="E355" s="261">
        <v>0</v>
      </c>
      <c r="F355" s="261">
        <v>0</v>
      </c>
      <c r="G355" s="261">
        <v>0</v>
      </c>
      <c r="H355" s="261">
        <v>0</v>
      </c>
      <c r="I355" s="261">
        <v>0</v>
      </c>
      <c r="J355" s="261">
        <v>0</v>
      </c>
      <c r="K355" s="262">
        <v>0</v>
      </c>
      <c r="L355" s="261">
        <v>0</v>
      </c>
      <c r="M355" s="261">
        <v>0</v>
      </c>
      <c r="N355" s="261">
        <v>0</v>
      </c>
      <c r="O355" s="261">
        <v>897533</v>
      </c>
      <c r="P355" s="261">
        <v>0</v>
      </c>
      <c r="Q355" s="261">
        <v>0</v>
      </c>
      <c r="R355" s="261">
        <v>0</v>
      </c>
      <c r="S355" s="261">
        <v>0</v>
      </c>
      <c r="T355" s="261">
        <v>0</v>
      </c>
      <c r="U355" s="261">
        <v>0</v>
      </c>
      <c r="V355" s="261">
        <v>0</v>
      </c>
      <c r="W355" s="261">
        <v>0</v>
      </c>
      <c r="X355" s="261">
        <v>0</v>
      </c>
      <c r="Y355" s="261">
        <v>0</v>
      </c>
      <c r="Z355" s="261">
        <v>0</v>
      </c>
      <c r="AA355" s="261">
        <v>0</v>
      </c>
      <c r="AB355" s="260">
        <v>2020</v>
      </c>
    </row>
    <row r="356" spans="1:28" s="6" customFormat="1" ht="35.25" customHeight="1" x14ac:dyDescent="0.5">
      <c r="A356" s="6">
        <v>1</v>
      </c>
      <c r="B356" s="225">
        <f>SUBTOTAL(103,$A$7:A356)</f>
        <v>345</v>
      </c>
      <c r="C356" s="254" t="s">
        <v>2155</v>
      </c>
      <c r="D356" s="255">
        <f t="shared" si="13"/>
        <v>706818.62</v>
      </c>
      <c r="E356" s="261">
        <v>0</v>
      </c>
      <c r="F356" s="261">
        <v>0</v>
      </c>
      <c r="G356" s="261">
        <v>0</v>
      </c>
      <c r="H356" s="261">
        <v>0</v>
      </c>
      <c r="I356" s="261">
        <v>0</v>
      </c>
      <c r="J356" s="261">
        <v>0</v>
      </c>
      <c r="K356" s="262">
        <v>0</v>
      </c>
      <c r="L356" s="261">
        <v>0</v>
      </c>
      <c r="M356" s="261">
        <v>498818.62</v>
      </c>
      <c r="N356" s="261">
        <v>0</v>
      </c>
      <c r="O356" s="261">
        <v>208000</v>
      </c>
      <c r="P356" s="261">
        <v>0</v>
      </c>
      <c r="Q356" s="261">
        <v>0</v>
      </c>
      <c r="R356" s="261">
        <v>0</v>
      </c>
      <c r="S356" s="261">
        <v>0</v>
      </c>
      <c r="T356" s="261">
        <v>0</v>
      </c>
      <c r="U356" s="261">
        <v>0</v>
      </c>
      <c r="V356" s="261">
        <v>0</v>
      </c>
      <c r="W356" s="261">
        <v>0</v>
      </c>
      <c r="X356" s="261">
        <v>0</v>
      </c>
      <c r="Y356" s="261">
        <v>0</v>
      </c>
      <c r="Z356" s="261">
        <v>0</v>
      </c>
      <c r="AA356" s="261">
        <v>0</v>
      </c>
      <c r="AB356" s="260">
        <v>2020</v>
      </c>
    </row>
    <row r="357" spans="1:28" s="6" customFormat="1" ht="35.25" customHeight="1" x14ac:dyDescent="0.5">
      <c r="A357" s="6">
        <v>1</v>
      </c>
      <c r="B357" s="225">
        <f>SUBTOTAL(103,$A$7:A357)</f>
        <v>346</v>
      </c>
      <c r="C357" s="254" t="s">
        <v>2156</v>
      </c>
      <c r="D357" s="255">
        <f t="shared" si="13"/>
        <v>444403</v>
      </c>
      <c r="E357" s="261">
        <v>0</v>
      </c>
      <c r="F357" s="261">
        <v>0</v>
      </c>
      <c r="G357" s="261">
        <v>0</v>
      </c>
      <c r="H357" s="261">
        <v>0</v>
      </c>
      <c r="I357" s="261">
        <v>0</v>
      </c>
      <c r="J357" s="261">
        <v>0</v>
      </c>
      <c r="K357" s="262">
        <v>0</v>
      </c>
      <c r="L357" s="261">
        <v>0</v>
      </c>
      <c r="M357" s="261">
        <v>444403</v>
      </c>
      <c r="N357" s="261">
        <v>0</v>
      </c>
      <c r="O357" s="261">
        <v>0</v>
      </c>
      <c r="P357" s="261">
        <v>0</v>
      </c>
      <c r="Q357" s="261">
        <v>0</v>
      </c>
      <c r="R357" s="261">
        <v>0</v>
      </c>
      <c r="S357" s="261">
        <v>0</v>
      </c>
      <c r="T357" s="261">
        <v>0</v>
      </c>
      <c r="U357" s="261">
        <v>0</v>
      </c>
      <c r="V357" s="261">
        <v>0</v>
      </c>
      <c r="W357" s="261">
        <v>0</v>
      </c>
      <c r="X357" s="261">
        <v>0</v>
      </c>
      <c r="Y357" s="261">
        <v>0</v>
      </c>
      <c r="Z357" s="261">
        <v>0</v>
      </c>
      <c r="AA357" s="261">
        <v>0</v>
      </c>
      <c r="AB357" s="260">
        <v>2020</v>
      </c>
    </row>
    <row r="358" spans="1:28" s="6" customFormat="1" ht="35.25" customHeight="1" x14ac:dyDescent="0.5">
      <c r="A358" s="6">
        <v>1</v>
      </c>
      <c r="B358" s="225">
        <f>SUBTOTAL(103,$A$7:A358)</f>
        <v>347</v>
      </c>
      <c r="C358" s="254" t="s">
        <v>2157</v>
      </c>
      <c r="D358" s="255">
        <f t="shared" si="13"/>
        <v>379619</v>
      </c>
      <c r="E358" s="261">
        <v>0</v>
      </c>
      <c r="F358" s="261">
        <v>0</v>
      </c>
      <c r="G358" s="261">
        <v>0</v>
      </c>
      <c r="H358" s="261">
        <v>0</v>
      </c>
      <c r="I358" s="261">
        <v>0</v>
      </c>
      <c r="J358" s="261">
        <v>0</v>
      </c>
      <c r="K358" s="262">
        <v>0</v>
      </c>
      <c r="L358" s="261">
        <v>0</v>
      </c>
      <c r="M358" s="261">
        <v>0</v>
      </c>
      <c r="N358" s="261">
        <v>0</v>
      </c>
      <c r="O358" s="261">
        <v>0</v>
      </c>
      <c r="P358" s="261">
        <v>379619</v>
      </c>
      <c r="Q358" s="261">
        <v>0</v>
      </c>
      <c r="R358" s="261">
        <v>0</v>
      </c>
      <c r="S358" s="261">
        <v>0</v>
      </c>
      <c r="T358" s="261">
        <v>0</v>
      </c>
      <c r="U358" s="261">
        <v>0</v>
      </c>
      <c r="V358" s="261">
        <v>0</v>
      </c>
      <c r="W358" s="261">
        <v>0</v>
      </c>
      <c r="X358" s="261">
        <v>0</v>
      </c>
      <c r="Y358" s="261">
        <v>0</v>
      </c>
      <c r="Z358" s="261">
        <v>0</v>
      </c>
      <c r="AA358" s="261">
        <v>0</v>
      </c>
      <c r="AB358" s="260">
        <v>2020</v>
      </c>
    </row>
    <row r="359" spans="1:28" s="6" customFormat="1" ht="35.25" customHeight="1" x14ac:dyDescent="0.5">
      <c r="A359" s="6">
        <v>1</v>
      </c>
      <c r="B359" s="225">
        <f>SUBTOTAL(103,$A$7:A359)</f>
        <v>348</v>
      </c>
      <c r="C359" s="254" t="s">
        <v>2158</v>
      </c>
      <c r="D359" s="255">
        <f t="shared" si="13"/>
        <v>796865</v>
      </c>
      <c r="E359" s="261">
        <v>0</v>
      </c>
      <c r="F359" s="261">
        <v>0</v>
      </c>
      <c r="G359" s="261">
        <v>0</v>
      </c>
      <c r="H359" s="261">
        <v>0</v>
      </c>
      <c r="I359" s="261">
        <v>0</v>
      </c>
      <c r="J359" s="261">
        <v>0</v>
      </c>
      <c r="K359" s="262">
        <v>0</v>
      </c>
      <c r="L359" s="261">
        <v>0</v>
      </c>
      <c r="M359" s="261">
        <v>796865</v>
      </c>
      <c r="N359" s="261">
        <v>0</v>
      </c>
      <c r="O359" s="261">
        <v>0</v>
      </c>
      <c r="P359" s="261">
        <v>0</v>
      </c>
      <c r="Q359" s="261">
        <v>0</v>
      </c>
      <c r="R359" s="261">
        <v>0</v>
      </c>
      <c r="S359" s="261">
        <v>0</v>
      </c>
      <c r="T359" s="261">
        <v>0</v>
      </c>
      <c r="U359" s="261">
        <v>0</v>
      </c>
      <c r="V359" s="261">
        <v>0</v>
      </c>
      <c r="W359" s="261">
        <v>0</v>
      </c>
      <c r="X359" s="261">
        <v>0</v>
      </c>
      <c r="Y359" s="261">
        <v>0</v>
      </c>
      <c r="Z359" s="261">
        <v>0</v>
      </c>
      <c r="AA359" s="261">
        <v>0</v>
      </c>
      <c r="AB359" s="260">
        <v>2020</v>
      </c>
    </row>
    <row r="360" spans="1:28" s="6" customFormat="1" ht="35.25" customHeight="1" x14ac:dyDescent="0.5">
      <c r="A360" s="6">
        <v>1</v>
      </c>
      <c r="B360" s="225">
        <f>SUBTOTAL(103,$A$7:A360)</f>
        <v>349</v>
      </c>
      <c r="C360" s="254" t="s">
        <v>2159</v>
      </c>
      <c r="D360" s="255">
        <f t="shared" si="13"/>
        <v>363729</v>
      </c>
      <c r="E360" s="261">
        <v>0</v>
      </c>
      <c r="F360" s="261">
        <v>0</v>
      </c>
      <c r="G360" s="261">
        <v>0</v>
      </c>
      <c r="H360" s="261">
        <v>0</v>
      </c>
      <c r="I360" s="261">
        <v>0</v>
      </c>
      <c r="J360" s="261">
        <v>0</v>
      </c>
      <c r="K360" s="262">
        <v>0</v>
      </c>
      <c r="L360" s="261">
        <v>0</v>
      </c>
      <c r="M360" s="261">
        <v>363729</v>
      </c>
      <c r="N360" s="261">
        <v>0</v>
      </c>
      <c r="O360" s="261">
        <v>0</v>
      </c>
      <c r="P360" s="261">
        <v>0</v>
      </c>
      <c r="Q360" s="261">
        <v>0</v>
      </c>
      <c r="R360" s="261">
        <v>0</v>
      </c>
      <c r="S360" s="261">
        <v>0</v>
      </c>
      <c r="T360" s="261">
        <v>0</v>
      </c>
      <c r="U360" s="261">
        <v>0</v>
      </c>
      <c r="V360" s="261">
        <v>0</v>
      </c>
      <c r="W360" s="261">
        <v>0</v>
      </c>
      <c r="X360" s="261">
        <v>0</v>
      </c>
      <c r="Y360" s="261">
        <v>0</v>
      </c>
      <c r="Z360" s="261">
        <v>0</v>
      </c>
      <c r="AA360" s="261">
        <v>0</v>
      </c>
      <c r="AB360" s="260">
        <v>2020</v>
      </c>
    </row>
    <row r="361" spans="1:28" s="6" customFormat="1" ht="35.25" customHeight="1" x14ac:dyDescent="0.5">
      <c r="A361" s="6">
        <v>1</v>
      </c>
      <c r="B361" s="225">
        <f>SUBTOTAL(103,$A$7:A361)</f>
        <v>350</v>
      </c>
      <c r="C361" s="254" t="s">
        <v>2160</v>
      </c>
      <c r="D361" s="255">
        <f t="shared" si="13"/>
        <v>294325</v>
      </c>
      <c r="E361" s="261">
        <v>0</v>
      </c>
      <c r="F361" s="261">
        <v>0</v>
      </c>
      <c r="G361" s="261">
        <v>0</v>
      </c>
      <c r="H361" s="261">
        <v>0</v>
      </c>
      <c r="I361" s="261">
        <v>0</v>
      </c>
      <c r="J361" s="261">
        <v>0</v>
      </c>
      <c r="K361" s="262">
        <v>0</v>
      </c>
      <c r="L361" s="261">
        <v>0</v>
      </c>
      <c r="M361" s="261">
        <v>0</v>
      </c>
      <c r="N361" s="261">
        <v>0</v>
      </c>
      <c r="O361" s="261">
        <v>294325</v>
      </c>
      <c r="P361" s="261">
        <v>0</v>
      </c>
      <c r="Q361" s="261">
        <v>0</v>
      </c>
      <c r="R361" s="261">
        <v>0</v>
      </c>
      <c r="S361" s="261">
        <v>0</v>
      </c>
      <c r="T361" s="261">
        <v>0</v>
      </c>
      <c r="U361" s="261">
        <v>0</v>
      </c>
      <c r="V361" s="261">
        <v>0</v>
      </c>
      <c r="W361" s="261">
        <v>0</v>
      </c>
      <c r="X361" s="261">
        <v>0</v>
      </c>
      <c r="Y361" s="261">
        <v>0</v>
      </c>
      <c r="Z361" s="261">
        <v>0</v>
      </c>
      <c r="AA361" s="261">
        <v>0</v>
      </c>
      <c r="AB361" s="260">
        <v>2020</v>
      </c>
    </row>
    <row r="362" spans="1:28" s="6" customFormat="1" ht="35.25" customHeight="1" x14ac:dyDescent="0.5">
      <c r="A362" s="6">
        <v>1</v>
      </c>
      <c r="B362" s="225">
        <f>SUBTOTAL(103,$A$7:A362)</f>
        <v>351</v>
      </c>
      <c r="C362" s="254" t="s">
        <v>2161</v>
      </c>
      <c r="D362" s="255">
        <f t="shared" si="13"/>
        <v>412286</v>
      </c>
      <c r="E362" s="261">
        <v>0</v>
      </c>
      <c r="F362" s="261">
        <v>0</v>
      </c>
      <c r="G362" s="261">
        <v>0</v>
      </c>
      <c r="H362" s="261">
        <v>0</v>
      </c>
      <c r="I362" s="261">
        <v>0</v>
      </c>
      <c r="J362" s="261">
        <v>0</v>
      </c>
      <c r="K362" s="262">
        <v>0</v>
      </c>
      <c r="L362" s="261">
        <v>0</v>
      </c>
      <c r="M362" s="261">
        <v>0</v>
      </c>
      <c r="N362" s="261">
        <v>0</v>
      </c>
      <c r="O362" s="261">
        <v>412286</v>
      </c>
      <c r="P362" s="261">
        <v>0</v>
      </c>
      <c r="Q362" s="261">
        <v>0</v>
      </c>
      <c r="R362" s="261">
        <v>0</v>
      </c>
      <c r="S362" s="261">
        <v>0</v>
      </c>
      <c r="T362" s="261">
        <v>0</v>
      </c>
      <c r="U362" s="261">
        <v>0</v>
      </c>
      <c r="V362" s="261">
        <v>0</v>
      </c>
      <c r="W362" s="261">
        <v>0</v>
      </c>
      <c r="X362" s="261">
        <v>0</v>
      </c>
      <c r="Y362" s="261">
        <v>0</v>
      </c>
      <c r="Z362" s="261">
        <v>0</v>
      </c>
      <c r="AA362" s="261">
        <v>0</v>
      </c>
      <c r="AB362" s="260">
        <v>2020</v>
      </c>
    </row>
    <row r="363" spans="1:28" s="6" customFormat="1" ht="35.25" customHeight="1" x14ac:dyDescent="0.5">
      <c r="A363" s="6">
        <v>1</v>
      </c>
      <c r="B363" s="225">
        <f>SUBTOTAL(103,$A$7:A363)</f>
        <v>352</v>
      </c>
      <c r="C363" s="254" t="s">
        <v>2162</v>
      </c>
      <c r="D363" s="255">
        <f t="shared" si="13"/>
        <v>544685</v>
      </c>
      <c r="E363" s="261">
        <v>0</v>
      </c>
      <c r="F363" s="261">
        <v>0</v>
      </c>
      <c r="G363" s="261">
        <v>0</v>
      </c>
      <c r="H363" s="261">
        <v>0</v>
      </c>
      <c r="I363" s="261">
        <v>0</v>
      </c>
      <c r="J363" s="261">
        <v>0</v>
      </c>
      <c r="K363" s="262">
        <v>0</v>
      </c>
      <c r="L363" s="261">
        <v>0</v>
      </c>
      <c r="M363" s="261">
        <v>0</v>
      </c>
      <c r="N363" s="261">
        <v>0</v>
      </c>
      <c r="O363" s="261">
        <v>544685</v>
      </c>
      <c r="P363" s="261">
        <v>0</v>
      </c>
      <c r="Q363" s="261">
        <v>0</v>
      </c>
      <c r="R363" s="261">
        <v>0</v>
      </c>
      <c r="S363" s="261">
        <v>0</v>
      </c>
      <c r="T363" s="261">
        <v>0</v>
      </c>
      <c r="U363" s="261">
        <v>0</v>
      </c>
      <c r="V363" s="261">
        <v>0</v>
      </c>
      <c r="W363" s="261">
        <v>0</v>
      </c>
      <c r="X363" s="261">
        <v>0</v>
      </c>
      <c r="Y363" s="261">
        <v>0</v>
      </c>
      <c r="Z363" s="261">
        <v>0</v>
      </c>
      <c r="AA363" s="261">
        <v>0</v>
      </c>
      <c r="AB363" s="260">
        <v>2020</v>
      </c>
    </row>
    <row r="364" spans="1:28" s="6" customFormat="1" ht="35.25" customHeight="1" x14ac:dyDescent="0.5">
      <c r="A364" s="6">
        <v>1</v>
      </c>
      <c r="B364" s="225">
        <f>SUBTOTAL(103,$A$7:A364)</f>
        <v>353</v>
      </c>
      <c r="C364" s="254" t="s">
        <v>2163</v>
      </c>
      <c r="D364" s="255">
        <f>E364+F364+G364+H364+I364+J364+L364+M364+N364+O364+P364+Q364+R364+S364+T364+U364+V364+W364+X364+Y364+Z364+AA364</f>
        <v>48000</v>
      </c>
      <c r="E364" s="261">
        <v>0</v>
      </c>
      <c r="F364" s="261">
        <v>0</v>
      </c>
      <c r="G364" s="261">
        <v>48000</v>
      </c>
      <c r="H364" s="261">
        <v>0</v>
      </c>
      <c r="I364" s="261">
        <v>0</v>
      </c>
      <c r="J364" s="261">
        <v>0</v>
      </c>
      <c r="K364" s="262">
        <v>0</v>
      </c>
      <c r="L364" s="261">
        <v>0</v>
      </c>
      <c r="M364" s="261">
        <v>0</v>
      </c>
      <c r="N364" s="261">
        <v>0</v>
      </c>
      <c r="O364" s="261">
        <v>0</v>
      </c>
      <c r="P364" s="261">
        <v>0</v>
      </c>
      <c r="Q364" s="261">
        <v>0</v>
      </c>
      <c r="R364" s="261">
        <v>0</v>
      </c>
      <c r="S364" s="261">
        <v>0</v>
      </c>
      <c r="T364" s="261">
        <v>0</v>
      </c>
      <c r="U364" s="261">
        <v>0</v>
      </c>
      <c r="V364" s="261">
        <v>0</v>
      </c>
      <c r="W364" s="261">
        <v>0</v>
      </c>
      <c r="X364" s="261">
        <v>0</v>
      </c>
      <c r="Y364" s="261">
        <v>0</v>
      </c>
      <c r="Z364" s="261">
        <v>0</v>
      </c>
      <c r="AA364" s="261">
        <v>0</v>
      </c>
      <c r="AB364" s="260">
        <v>2020</v>
      </c>
    </row>
    <row r="365" spans="1:28" s="6" customFormat="1" ht="35.25" customHeight="1" x14ac:dyDescent="0.5">
      <c r="A365" s="6">
        <v>1</v>
      </c>
      <c r="B365" s="225">
        <f>SUBTOTAL(103,$A$7:A365)</f>
        <v>354</v>
      </c>
      <c r="C365" s="254" t="s">
        <v>2164</v>
      </c>
      <c r="D365" s="255">
        <f>E365+F365+G365+H365+I365+J365+L365+M365+N365+O365+P365+Q365+R365+S365+T365+U365+V365+W365+X365+Y365+Z365+AA365</f>
        <v>46128</v>
      </c>
      <c r="E365" s="261">
        <v>0</v>
      </c>
      <c r="F365" s="261">
        <v>0</v>
      </c>
      <c r="G365" s="261">
        <v>46128</v>
      </c>
      <c r="H365" s="261">
        <v>0</v>
      </c>
      <c r="I365" s="261">
        <v>0</v>
      </c>
      <c r="J365" s="261">
        <v>0</v>
      </c>
      <c r="K365" s="262">
        <v>0</v>
      </c>
      <c r="L365" s="261">
        <v>0</v>
      </c>
      <c r="M365" s="261">
        <v>0</v>
      </c>
      <c r="N365" s="261">
        <v>0</v>
      </c>
      <c r="O365" s="261">
        <v>0</v>
      </c>
      <c r="P365" s="261">
        <v>0</v>
      </c>
      <c r="Q365" s="261">
        <v>0</v>
      </c>
      <c r="R365" s="261">
        <v>0</v>
      </c>
      <c r="S365" s="261">
        <v>0</v>
      </c>
      <c r="T365" s="261">
        <v>0</v>
      </c>
      <c r="U365" s="261">
        <v>0</v>
      </c>
      <c r="V365" s="261">
        <v>0</v>
      </c>
      <c r="W365" s="261">
        <v>0</v>
      </c>
      <c r="X365" s="261">
        <v>0</v>
      </c>
      <c r="Y365" s="261">
        <v>0</v>
      </c>
      <c r="Z365" s="261">
        <v>0</v>
      </c>
      <c r="AA365" s="261">
        <v>0</v>
      </c>
      <c r="AB365" s="260">
        <v>2020</v>
      </c>
    </row>
    <row r="366" spans="1:28" s="6" customFormat="1" ht="35.25" customHeight="1" x14ac:dyDescent="0.5">
      <c r="A366" s="6">
        <v>1</v>
      </c>
      <c r="B366" s="225">
        <f>SUBTOTAL(103,$A$7:A366)</f>
        <v>355</v>
      </c>
      <c r="C366" s="254" t="s">
        <v>2165</v>
      </c>
      <c r="D366" s="255">
        <f>E366+F366+G366+H366+I366+J366+L366+M366+N366+O366+P366+Q366+R366+S366+T366+U366+V366+W366+X366+Y366+Z366+AA366</f>
        <v>46128</v>
      </c>
      <c r="E366" s="261">
        <v>0</v>
      </c>
      <c r="F366" s="261">
        <v>0</v>
      </c>
      <c r="G366" s="261">
        <v>46128</v>
      </c>
      <c r="H366" s="261">
        <v>0</v>
      </c>
      <c r="I366" s="261">
        <v>0</v>
      </c>
      <c r="J366" s="261">
        <v>0</v>
      </c>
      <c r="K366" s="262">
        <v>0</v>
      </c>
      <c r="L366" s="261">
        <v>0</v>
      </c>
      <c r="M366" s="261">
        <v>0</v>
      </c>
      <c r="N366" s="261">
        <v>0</v>
      </c>
      <c r="O366" s="261">
        <v>0</v>
      </c>
      <c r="P366" s="261">
        <v>0</v>
      </c>
      <c r="Q366" s="261">
        <v>0</v>
      </c>
      <c r="R366" s="261">
        <v>0</v>
      </c>
      <c r="S366" s="261">
        <v>0</v>
      </c>
      <c r="T366" s="261">
        <v>0</v>
      </c>
      <c r="U366" s="261">
        <v>0</v>
      </c>
      <c r="V366" s="261">
        <v>0</v>
      </c>
      <c r="W366" s="261">
        <v>0</v>
      </c>
      <c r="X366" s="261">
        <v>0</v>
      </c>
      <c r="Y366" s="261">
        <v>0</v>
      </c>
      <c r="Z366" s="261">
        <v>0</v>
      </c>
      <c r="AA366" s="261">
        <v>0</v>
      </c>
      <c r="AB366" s="260">
        <v>2020</v>
      </c>
    </row>
    <row r="367" spans="1:28" s="6" customFormat="1" ht="35.25" customHeight="1" x14ac:dyDescent="0.5">
      <c r="A367" s="6">
        <v>1</v>
      </c>
      <c r="B367" s="225">
        <f>SUBTOTAL(103,$A$7:A367)</f>
        <v>356</v>
      </c>
      <c r="C367" s="254" t="s">
        <v>2166</v>
      </c>
      <c r="D367" s="255">
        <v>1146813</v>
      </c>
      <c r="E367" s="261">
        <v>0</v>
      </c>
      <c r="F367" s="261">
        <v>0</v>
      </c>
      <c r="G367" s="261">
        <v>0</v>
      </c>
      <c r="H367" s="261">
        <v>0</v>
      </c>
      <c r="I367" s="261">
        <v>0</v>
      </c>
      <c r="J367" s="261">
        <v>0</v>
      </c>
      <c r="K367" s="262">
        <v>0</v>
      </c>
      <c r="L367" s="261">
        <v>0</v>
      </c>
      <c r="M367" s="261">
        <v>1146813</v>
      </c>
      <c r="N367" s="261">
        <v>0</v>
      </c>
      <c r="O367" s="261">
        <v>0</v>
      </c>
      <c r="P367" s="261">
        <v>0</v>
      </c>
      <c r="Q367" s="261">
        <v>0</v>
      </c>
      <c r="R367" s="261">
        <v>0</v>
      </c>
      <c r="S367" s="261">
        <v>0</v>
      </c>
      <c r="T367" s="261">
        <v>0</v>
      </c>
      <c r="U367" s="261">
        <v>0</v>
      </c>
      <c r="V367" s="261">
        <v>0</v>
      </c>
      <c r="W367" s="261">
        <v>0</v>
      </c>
      <c r="X367" s="261">
        <v>0</v>
      </c>
      <c r="Y367" s="261">
        <v>0</v>
      </c>
      <c r="Z367" s="261">
        <v>0</v>
      </c>
      <c r="AA367" s="261">
        <v>0</v>
      </c>
      <c r="AB367" s="260">
        <v>2020</v>
      </c>
    </row>
    <row r="368" spans="1:28" s="6" customFormat="1" ht="35.25" customHeight="1" x14ac:dyDescent="0.5">
      <c r="A368" s="6">
        <v>1</v>
      </c>
      <c r="B368" s="225">
        <f>SUBTOTAL(103,$A$7:A368)</f>
        <v>357</v>
      </c>
      <c r="C368" s="254" t="s">
        <v>2374</v>
      </c>
      <c r="D368" s="255">
        <f t="shared" ref="D368:D377" si="14">E368+F368+G368+H368+I368+J368+L368+M368+N368+O368+P368+Q368+R368+S368+T368+U368+V368+W368+X368+Y368+Z368+AA368</f>
        <v>1337521.6599999999</v>
      </c>
      <c r="E368" s="261">
        <v>0</v>
      </c>
      <c r="F368" s="261">
        <v>0</v>
      </c>
      <c r="G368" s="261">
        <v>0</v>
      </c>
      <c r="H368" s="261">
        <v>0</v>
      </c>
      <c r="I368" s="261">
        <v>0</v>
      </c>
      <c r="J368" s="261">
        <v>0</v>
      </c>
      <c r="K368" s="262">
        <v>0</v>
      </c>
      <c r="L368" s="261">
        <v>0</v>
      </c>
      <c r="M368" s="261">
        <v>0</v>
      </c>
      <c r="N368" s="261">
        <v>0</v>
      </c>
      <c r="O368" s="261">
        <v>1337521.6599999999</v>
      </c>
      <c r="P368" s="261">
        <v>0</v>
      </c>
      <c r="Q368" s="261">
        <v>0</v>
      </c>
      <c r="R368" s="261">
        <v>0</v>
      </c>
      <c r="S368" s="261">
        <v>0</v>
      </c>
      <c r="T368" s="261">
        <v>0</v>
      </c>
      <c r="U368" s="261">
        <v>0</v>
      </c>
      <c r="V368" s="261">
        <v>0</v>
      </c>
      <c r="W368" s="261">
        <v>0</v>
      </c>
      <c r="X368" s="261">
        <v>0</v>
      </c>
      <c r="Y368" s="261">
        <v>0</v>
      </c>
      <c r="Z368" s="261">
        <v>0</v>
      </c>
      <c r="AA368" s="261">
        <v>0</v>
      </c>
      <c r="AB368" s="260">
        <v>2020</v>
      </c>
    </row>
    <row r="369" spans="1:28" s="6" customFormat="1" ht="35.25" customHeight="1" x14ac:dyDescent="0.5">
      <c r="A369" s="6">
        <v>1</v>
      </c>
      <c r="B369" s="225">
        <f>SUBTOTAL(103,$A$7:A369)</f>
        <v>358</v>
      </c>
      <c r="C369" s="254" t="s">
        <v>2375</v>
      </c>
      <c r="D369" s="255">
        <f t="shared" si="14"/>
        <v>1269369.8500000001</v>
      </c>
      <c r="E369" s="261">
        <v>0</v>
      </c>
      <c r="F369" s="261">
        <v>0</v>
      </c>
      <c r="G369" s="261">
        <v>0</v>
      </c>
      <c r="H369" s="261">
        <v>0</v>
      </c>
      <c r="I369" s="261">
        <v>0</v>
      </c>
      <c r="J369" s="261">
        <v>0</v>
      </c>
      <c r="K369" s="262">
        <v>0</v>
      </c>
      <c r="L369" s="261">
        <v>0</v>
      </c>
      <c r="M369" s="261">
        <v>1269369.8500000001</v>
      </c>
      <c r="N369" s="261">
        <v>0</v>
      </c>
      <c r="O369" s="261">
        <v>0</v>
      </c>
      <c r="P369" s="261">
        <v>0</v>
      </c>
      <c r="Q369" s="261">
        <v>0</v>
      </c>
      <c r="R369" s="261">
        <v>0</v>
      </c>
      <c r="S369" s="261">
        <v>0</v>
      </c>
      <c r="T369" s="261">
        <v>0</v>
      </c>
      <c r="U369" s="261">
        <v>0</v>
      </c>
      <c r="V369" s="261">
        <v>0</v>
      </c>
      <c r="W369" s="261">
        <v>0</v>
      </c>
      <c r="X369" s="261">
        <v>0</v>
      </c>
      <c r="Y369" s="261">
        <v>0</v>
      </c>
      <c r="Z369" s="261">
        <v>0</v>
      </c>
      <c r="AA369" s="261">
        <v>0</v>
      </c>
      <c r="AB369" s="260">
        <v>2020</v>
      </c>
    </row>
    <row r="370" spans="1:28" s="6" customFormat="1" ht="35.25" customHeight="1" x14ac:dyDescent="0.5">
      <c r="A370" s="6">
        <v>1</v>
      </c>
      <c r="B370" s="225">
        <f>SUBTOTAL(103,$A$7:A370)</f>
        <v>359</v>
      </c>
      <c r="C370" s="254" t="s">
        <v>2376</v>
      </c>
      <c r="D370" s="255">
        <f t="shared" si="14"/>
        <v>1780000</v>
      </c>
      <c r="E370" s="261">
        <v>0</v>
      </c>
      <c r="F370" s="261">
        <v>0</v>
      </c>
      <c r="G370" s="261">
        <v>0</v>
      </c>
      <c r="H370" s="261">
        <v>0</v>
      </c>
      <c r="I370" s="261">
        <v>0</v>
      </c>
      <c r="J370" s="261">
        <v>0</v>
      </c>
      <c r="K370" s="262">
        <v>1</v>
      </c>
      <c r="L370" s="261">
        <v>1780000</v>
      </c>
      <c r="M370" s="261">
        <v>0</v>
      </c>
      <c r="N370" s="261">
        <v>0</v>
      </c>
      <c r="O370" s="261">
        <v>0</v>
      </c>
      <c r="P370" s="261">
        <v>0</v>
      </c>
      <c r="Q370" s="261">
        <v>0</v>
      </c>
      <c r="R370" s="261">
        <v>0</v>
      </c>
      <c r="S370" s="261">
        <v>0</v>
      </c>
      <c r="T370" s="261">
        <v>0</v>
      </c>
      <c r="U370" s="261">
        <v>0</v>
      </c>
      <c r="V370" s="261">
        <v>0</v>
      </c>
      <c r="W370" s="261">
        <v>0</v>
      </c>
      <c r="X370" s="261">
        <v>0</v>
      </c>
      <c r="Y370" s="261">
        <v>0</v>
      </c>
      <c r="Z370" s="261">
        <v>0</v>
      </c>
      <c r="AA370" s="261">
        <v>0</v>
      </c>
      <c r="AB370" s="260">
        <v>2020</v>
      </c>
    </row>
    <row r="371" spans="1:28" s="6" customFormat="1" ht="35.25" customHeight="1" x14ac:dyDescent="0.5">
      <c r="A371" s="6">
        <v>1</v>
      </c>
      <c r="B371" s="225">
        <f>SUBTOTAL(103,$A$7:A371)</f>
        <v>360</v>
      </c>
      <c r="C371" s="254" t="s">
        <v>2377</v>
      </c>
      <c r="D371" s="255">
        <f t="shared" si="14"/>
        <v>320000</v>
      </c>
      <c r="E371" s="261">
        <v>0</v>
      </c>
      <c r="F371" s="261">
        <v>0</v>
      </c>
      <c r="G371" s="261">
        <v>0</v>
      </c>
      <c r="H371" s="261">
        <v>0</v>
      </c>
      <c r="I371" s="261">
        <v>0</v>
      </c>
      <c r="J371" s="261">
        <v>0</v>
      </c>
      <c r="K371" s="262">
        <v>0</v>
      </c>
      <c r="L371" s="261">
        <v>0</v>
      </c>
      <c r="M371" s="261">
        <v>0</v>
      </c>
      <c r="N371" s="261">
        <v>0</v>
      </c>
      <c r="O371" s="261">
        <v>320000</v>
      </c>
      <c r="P371" s="261">
        <v>0</v>
      </c>
      <c r="Q371" s="261">
        <v>0</v>
      </c>
      <c r="R371" s="261">
        <v>0</v>
      </c>
      <c r="S371" s="261">
        <v>0</v>
      </c>
      <c r="T371" s="261">
        <v>0</v>
      </c>
      <c r="U371" s="261">
        <v>0</v>
      </c>
      <c r="V371" s="261">
        <v>0</v>
      </c>
      <c r="W371" s="261">
        <v>0</v>
      </c>
      <c r="X371" s="261">
        <v>0</v>
      </c>
      <c r="Y371" s="261">
        <v>0</v>
      </c>
      <c r="Z371" s="261">
        <v>0</v>
      </c>
      <c r="AA371" s="261">
        <v>0</v>
      </c>
      <c r="AB371" s="260">
        <v>2020</v>
      </c>
    </row>
    <row r="372" spans="1:28" s="6" customFormat="1" ht="35.25" customHeight="1" x14ac:dyDescent="0.5">
      <c r="A372" s="6">
        <v>1</v>
      </c>
      <c r="B372" s="225">
        <f>SUBTOTAL(103,$A$7:A372)</f>
        <v>361</v>
      </c>
      <c r="C372" s="254" t="s">
        <v>2378</v>
      </c>
      <c r="D372" s="255">
        <f t="shared" si="14"/>
        <v>616295.82999999996</v>
      </c>
      <c r="E372" s="261">
        <v>0</v>
      </c>
      <c r="F372" s="261">
        <v>0</v>
      </c>
      <c r="G372" s="261">
        <v>0</v>
      </c>
      <c r="H372" s="261">
        <v>0</v>
      </c>
      <c r="I372" s="261">
        <v>0</v>
      </c>
      <c r="J372" s="261">
        <v>0</v>
      </c>
      <c r="K372" s="262">
        <v>0</v>
      </c>
      <c r="L372" s="261">
        <v>0</v>
      </c>
      <c r="M372" s="261">
        <v>0</v>
      </c>
      <c r="N372" s="261">
        <v>0</v>
      </c>
      <c r="O372" s="261">
        <v>616295.82999999996</v>
      </c>
      <c r="P372" s="261">
        <v>0</v>
      </c>
      <c r="Q372" s="261">
        <v>0</v>
      </c>
      <c r="R372" s="261">
        <v>0</v>
      </c>
      <c r="S372" s="261">
        <v>0</v>
      </c>
      <c r="T372" s="261">
        <v>0</v>
      </c>
      <c r="U372" s="261">
        <v>0</v>
      </c>
      <c r="V372" s="261">
        <v>0</v>
      </c>
      <c r="W372" s="261">
        <v>0</v>
      </c>
      <c r="X372" s="261">
        <v>0</v>
      </c>
      <c r="Y372" s="261">
        <v>0</v>
      </c>
      <c r="Z372" s="261">
        <v>0</v>
      </c>
      <c r="AA372" s="261">
        <v>0</v>
      </c>
      <c r="AB372" s="260">
        <v>2020</v>
      </c>
    </row>
    <row r="373" spans="1:28" s="6" customFormat="1" ht="35.25" customHeight="1" x14ac:dyDescent="0.5">
      <c r="A373" s="6">
        <v>1</v>
      </c>
      <c r="B373" s="225">
        <f>SUBTOTAL(103,$A$7:A373)</f>
        <v>362</v>
      </c>
      <c r="C373" s="254" t="s">
        <v>2379</v>
      </c>
      <c r="D373" s="255">
        <f t="shared" si="14"/>
        <v>1850000</v>
      </c>
      <c r="E373" s="261">
        <v>0</v>
      </c>
      <c r="F373" s="261">
        <v>0</v>
      </c>
      <c r="G373" s="261">
        <v>0</v>
      </c>
      <c r="H373" s="261">
        <v>0</v>
      </c>
      <c r="I373" s="261">
        <v>0</v>
      </c>
      <c r="J373" s="261">
        <v>0</v>
      </c>
      <c r="K373" s="262">
        <v>1</v>
      </c>
      <c r="L373" s="261">
        <v>1850000</v>
      </c>
      <c r="M373" s="261">
        <v>0</v>
      </c>
      <c r="N373" s="261">
        <v>0</v>
      </c>
      <c r="O373" s="261">
        <v>0</v>
      </c>
      <c r="P373" s="261">
        <v>0</v>
      </c>
      <c r="Q373" s="261">
        <v>0</v>
      </c>
      <c r="R373" s="261">
        <v>0</v>
      </c>
      <c r="S373" s="261">
        <v>0</v>
      </c>
      <c r="T373" s="261">
        <v>0</v>
      </c>
      <c r="U373" s="261">
        <v>0</v>
      </c>
      <c r="V373" s="261">
        <v>0</v>
      </c>
      <c r="W373" s="261">
        <v>0</v>
      </c>
      <c r="X373" s="261">
        <v>0</v>
      </c>
      <c r="Y373" s="261">
        <v>0</v>
      </c>
      <c r="Z373" s="261">
        <v>0</v>
      </c>
      <c r="AA373" s="261">
        <v>0</v>
      </c>
      <c r="AB373" s="260">
        <v>2020</v>
      </c>
    </row>
    <row r="374" spans="1:28" s="6" customFormat="1" ht="35.25" customHeight="1" x14ac:dyDescent="0.5">
      <c r="A374" s="6">
        <v>1</v>
      </c>
      <c r="B374" s="225">
        <f>SUBTOTAL(103,$A$7:A374)</f>
        <v>363</v>
      </c>
      <c r="C374" s="254" t="s">
        <v>2380</v>
      </c>
      <c r="D374" s="255">
        <f t="shared" si="14"/>
        <v>2371003.2999999998</v>
      </c>
      <c r="E374" s="261">
        <v>0</v>
      </c>
      <c r="F374" s="261">
        <v>0</v>
      </c>
      <c r="G374" s="261">
        <v>0</v>
      </c>
      <c r="H374" s="261">
        <v>0</v>
      </c>
      <c r="I374" s="261">
        <v>0</v>
      </c>
      <c r="J374" s="261">
        <v>0</v>
      </c>
      <c r="K374" s="262">
        <v>0</v>
      </c>
      <c r="L374" s="261">
        <v>0</v>
      </c>
      <c r="M374" s="261">
        <v>2371003.2999999998</v>
      </c>
      <c r="N374" s="261">
        <v>0</v>
      </c>
      <c r="O374" s="261">
        <v>0</v>
      </c>
      <c r="P374" s="261">
        <v>0</v>
      </c>
      <c r="Q374" s="261">
        <v>0</v>
      </c>
      <c r="R374" s="261">
        <v>0</v>
      </c>
      <c r="S374" s="261">
        <v>0</v>
      </c>
      <c r="T374" s="261">
        <v>0</v>
      </c>
      <c r="U374" s="261">
        <v>0</v>
      </c>
      <c r="V374" s="261">
        <v>0</v>
      </c>
      <c r="W374" s="261">
        <v>0</v>
      </c>
      <c r="X374" s="261">
        <v>0</v>
      </c>
      <c r="Y374" s="261">
        <v>0</v>
      </c>
      <c r="Z374" s="261">
        <v>0</v>
      </c>
      <c r="AA374" s="261">
        <v>0</v>
      </c>
      <c r="AB374" s="260">
        <v>2020</v>
      </c>
    </row>
    <row r="375" spans="1:28" s="6" customFormat="1" ht="35.25" customHeight="1" x14ac:dyDescent="0.5">
      <c r="A375" s="6">
        <v>1</v>
      </c>
      <c r="B375" s="225">
        <f>SUBTOTAL(103,$A$7:A375)</f>
        <v>364</v>
      </c>
      <c r="C375" s="254" t="s">
        <v>2381</v>
      </c>
      <c r="D375" s="255">
        <f t="shared" si="14"/>
        <v>928991.4</v>
      </c>
      <c r="E375" s="261">
        <v>0</v>
      </c>
      <c r="F375" s="261">
        <v>0</v>
      </c>
      <c r="G375" s="261">
        <v>0</v>
      </c>
      <c r="H375" s="261">
        <v>0</v>
      </c>
      <c r="I375" s="261">
        <v>0</v>
      </c>
      <c r="J375" s="261">
        <v>0</v>
      </c>
      <c r="K375" s="262">
        <v>0</v>
      </c>
      <c r="L375" s="261">
        <v>0</v>
      </c>
      <c r="M375" s="261">
        <v>928991.4</v>
      </c>
      <c r="N375" s="261">
        <v>0</v>
      </c>
      <c r="O375" s="261">
        <v>0</v>
      </c>
      <c r="P375" s="261">
        <v>0</v>
      </c>
      <c r="Q375" s="261">
        <v>0</v>
      </c>
      <c r="R375" s="261">
        <v>0</v>
      </c>
      <c r="S375" s="261">
        <v>0</v>
      </c>
      <c r="T375" s="261">
        <v>0</v>
      </c>
      <c r="U375" s="261">
        <v>0</v>
      </c>
      <c r="V375" s="261">
        <v>0</v>
      </c>
      <c r="W375" s="261">
        <v>0</v>
      </c>
      <c r="X375" s="261">
        <v>0</v>
      </c>
      <c r="Y375" s="261">
        <v>0</v>
      </c>
      <c r="Z375" s="261">
        <v>0</v>
      </c>
      <c r="AA375" s="261">
        <v>0</v>
      </c>
      <c r="AB375" s="260">
        <v>2020</v>
      </c>
    </row>
    <row r="376" spans="1:28" s="6" customFormat="1" ht="35.25" customHeight="1" x14ac:dyDescent="0.5">
      <c r="A376" s="6">
        <v>1</v>
      </c>
      <c r="B376" s="225">
        <f>SUBTOTAL(103,$A$7:A376)</f>
        <v>365</v>
      </c>
      <c r="C376" s="254" t="s">
        <v>2382</v>
      </c>
      <c r="D376" s="255">
        <f t="shared" si="14"/>
        <v>244714.38</v>
      </c>
      <c r="E376" s="261">
        <v>0</v>
      </c>
      <c r="F376" s="261">
        <v>0</v>
      </c>
      <c r="G376" s="261">
        <v>0</v>
      </c>
      <c r="H376" s="261">
        <v>0</v>
      </c>
      <c r="I376" s="261">
        <v>244714.38</v>
      </c>
      <c r="J376" s="261">
        <v>0</v>
      </c>
      <c r="K376" s="262">
        <v>0</v>
      </c>
      <c r="L376" s="261">
        <v>0</v>
      </c>
      <c r="M376" s="261">
        <v>0</v>
      </c>
      <c r="N376" s="261">
        <v>0</v>
      </c>
      <c r="O376" s="261">
        <v>0</v>
      </c>
      <c r="P376" s="261">
        <v>0</v>
      </c>
      <c r="Q376" s="261">
        <v>0</v>
      </c>
      <c r="R376" s="261">
        <v>0</v>
      </c>
      <c r="S376" s="261">
        <v>0</v>
      </c>
      <c r="T376" s="261">
        <v>0</v>
      </c>
      <c r="U376" s="261">
        <v>0</v>
      </c>
      <c r="V376" s="261">
        <v>0</v>
      </c>
      <c r="W376" s="261">
        <v>0</v>
      </c>
      <c r="X376" s="261">
        <v>0</v>
      </c>
      <c r="Y376" s="261">
        <v>0</v>
      </c>
      <c r="Z376" s="261">
        <v>0</v>
      </c>
      <c r="AA376" s="261">
        <v>0</v>
      </c>
      <c r="AB376" s="260">
        <v>2020</v>
      </c>
    </row>
    <row r="377" spans="1:28" s="6" customFormat="1" ht="35.25" customHeight="1" x14ac:dyDescent="0.5">
      <c r="A377" s="6">
        <v>1</v>
      </c>
      <c r="B377" s="225">
        <f>SUBTOTAL(103,$A$7:A377)</f>
        <v>366</v>
      </c>
      <c r="C377" s="254" t="s">
        <v>2383</v>
      </c>
      <c r="D377" s="255">
        <f t="shared" si="14"/>
        <v>173096</v>
      </c>
      <c r="E377" s="261">
        <v>0</v>
      </c>
      <c r="F377" s="261">
        <v>0</v>
      </c>
      <c r="G377" s="261">
        <v>0</v>
      </c>
      <c r="H377" s="261">
        <v>0</v>
      </c>
      <c r="I377" s="261">
        <v>0</v>
      </c>
      <c r="J377" s="261">
        <v>0</v>
      </c>
      <c r="K377" s="262">
        <v>0</v>
      </c>
      <c r="L377" s="261">
        <v>0</v>
      </c>
      <c r="M377" s="261">
        <v>0</v>
      </c>
      <c r="N377" s="261">
        <v>0</v>
      </c>
      <c r="O377" s="261">
        <v>173096</v>
      </c>
      <c r="P377" s="261">
        <v>0</v>
      </c>
      <c r="Q377" s="261">
        <v>0</v>
      </c>
      <c r="R377" s="261">
        <v>0</v>
      </c>
      <c r="S377" s="261">
        <v>0</v>
      </c>
      <c r="T377" s="261">
        <v>0</v>
      </c>
      <c r="U377" s="261">
        <v>0</v>
      </c>
      <c r="V377" s="261">
        <v>0</v>
      </c>
      <c r="W377" s="261">
        <v>0</v>
      </c>
      <c r="X377" s="261">
        <v>0</v>
      </c>
      <c r="Y377" s="261">
        <v>0</v>
      </c>
      <c r="Z377" s="261">
        <v>0</v>
      </c>
      <c r="AA377" s="261">
        <v>0</v>
      </c>
      <c r="AB377" s="260">
        <v>2020</v>
      </c>
    </row>
    <row r="378" spans="1:28" s="6" customFormat="1" ht="35.25" customHeight="1" x14ac:dyDescent="0.5">
      <c r="A378" s="6">
        <v>1</v>
      </c>
      <c r="B378" s="225">
        <f>SUBTOTAL(103,$A$7:A378)</f>
        <v>367</v>
      </c>
      <c r="C378" s="254" t="s">
        <v>2384</v>
      </c>
      <c r="D378" s="255">
        <v>1395005.36</v>
      </c>
      <c r="E378" s="261">
        <v>0</v>
      </c>
      <c r="F378" s="261">
        <v>0</v>
      </c>
      <c r="G378" s="261">
        <v>0</v>
      </c>
      <c r="H378" s="261">
        <v>0</v>
      </c>
      <c r="I378" s="261">
        <v>0</v>
      </c>
      <c r="J378" s="261">
        <v>0</v>
      </c>
      <c r="K378" s="262">
        <v>0</v>
      </c>
      <c r="L378" s="261">
        <v>0</v>
      </c>
      <c r="M378" s="261">
        <v>1395005.36</v>
      </c>
      <c r="N378" s="261">
        <v>0</v>
      </c>
      <c r="O378" s="261">
        <v>0</v>
      </c>
      <c r="P378" s="261">
        <v>0</v>
      </c>
      <c r="Q378" s="261">
        <v>0</v>
      </c>
      <c r="R378" s="261">
        <v>0</v>
      </c>
      <c r="S378" s="261">
        <v>0</v>
      </c>
      <c r="T378" s="261">
        <v>0</v>
      </c>
      <c r="U378" s="261">
        <v>0</v>
      </c>
      <c r="V378" s="261">
        <v>0</v>
      </c>
      <c r="W378" s="261">
        <v>0</v>
      </c>
      <c r="X378" s="261">
        <v>0</v>
      </c>
      <c r="Y378" s="261">
        <v>0</v>
      </c>
      <c r="Z378" s="261">
        <v>0</v>
      </c>
      <c r="AA378" s="261">
        <v>0</v>
      </c>
      <c r="AB378" s="260">
        <v>2020</v>
      </c>
    </row>
    <row r="379" spans="1:28" s="6" customFormat="1" ht="35.25" customHeight="1" x14ac:dyDescent="0.5">
      <c r="A379" s="6">
        <v>1</v>
      </c>
      <c r="B379" s="225">
        <f>SUBTOTAL(103,$A$7:A379)</f>
        <v>368</v>
      </c>
      <c r="C379" s="254" t="s">
        <v>2167</v>
      </c>
      <c r="D379" s="255">
        <f>E379+F379+G379+H379+I379+J379+L379+M379+N379+O379+P379+Q379+R379+S379+T379+U379+V379+W379+X379+Y379+Z379+AA379</f>
        <v>1198042.8500000001</v>
      </c>
      <c r="E379" s="261">
        <v>0</v>
      </c>
      <c r="F379" s="261">
        <v>0</v>
      </c>
      <c r="G379" s="261">
        <v>0</v>
      </c>
      <c r="H379" s="261">
        <v>0</v>
      </c>
      <c r="I379" s="261">
        <v>0</v>
      </c>
      <c r="J379" s="261">
        <v>0</v>
      </c>
      <c r="K379" s="262">
        <v>0</v>
      </c>
      <c r="L379" s="261">
        <v>0</v>
      </c>
      <c r="M379" s="261">
        <v>0</v>
      </c>
      <c r="N379" s="261">
        <v>0</v>
      </c>
      <c r="O379" s="261">
        <v>1198042.8500000001</v>
      </c>
      <c r="P379" s="261">
        <v>0</v>
      </c>
      <c r="Q379" s="261">
        <v>0</v>
      </c>
      <c r="R379" s="261">
        <v>0</v>
      </c>
      <c r="S379" s="261">
        <v>0</v>
      </c>
      <c r="T379" s="261">
        <v>0</v>
      </c>
      <c r="U379" s="261">
        <v>0</v>
      </c>
      <c r="V379" s="261">
        <v>0</v>
      </c>
      <c r="W379" s="261">
        <v>0</v>
      </c>
      <c r="X379" s="261">
        <v>0</v>
      </c>
      <c r="Y379" s="261">
        <v>0</v>
      </c>
      <c r="Z379" s="261">
        <v>0</v>
      </c>
      <c r="AA379" s="261">
        <v>0</v>
      </c>
      <c r="AB379" s="260">
        <v>2020</v>
      </c>
    </row>
    <row r="380" spans="1:28" s="6" customFormat="1" ht="35.25" customHeight="1" x14ac:dyDescent="0.5">
      <c r="B380" s="254" t="s">
        <v>1826</v>
      </c>
      <c r="C380" s="254"/>
      <c r="D380" s="255">
        <f t="shared" ref="D380:AA380" si="15">SUM(D381:D384)</f>
        <v>1368433</v>
      </c>
      <c r="E380" s="255">
        <f t="shared" si="15"/>
        <v>0</v>
      </c>
      <c r="F380" s="255">
        <f t="shared" si="15"/>
        <v>0</v>
      </c>
      <c r="G380" s="255">
        <f t="shared" si="15"/>
        <v>0</v>
      </c>
      <c r="H380" s="255">
        <f t="shared" si="15"/>
        <v>0</v>
      </c>
      <c r="I380" s="255">
        <f t="shared" si="15"/>
        <v>914164</v>
      </c>
      <c r="J380" s="255">
        <f t="shared" si="15"/>
        <v>0</v>
      </c>
      <c r="K380" s="257">
        <f t="shared" si="15"/>
        <v>0</v>
      </c>
      <c r="L380" s="255">
        <f t="shared" si="15"/>
        <v>0</v>
      </c>
      <c r="M380" s="255">
        <f t="shared" si="15"/>
        <v>0</v>
      </c>
      <c r="N380" s="255">
        <f t="shared" si="15"/>
        <v>0</v>
      </c>
      <c r="O380" s="255">
        <f t="shared" si="15"/>
        <v>454269</v>
      </c>
      <c r="P380" s="255">
        <f t="shared" si="15"/>
        <v>0</v>
      </c>
      <c r="Q380" s="255">
        <f t="shared" si="15"/>
        <v>0</v>
      </c>
      <c r="R380" s="255">
        <f t="shared" si="15"/>
        <v>0</v>
      </c>
      <c r="S380" s="255">
        <f t="shared" si="15"/>
        <v>0</v>
      </c>
      <c r="T380" s="255">
        <f t="shared" si="15"/>
        <v>0</v>
      </c>
      <c r="U380" s="255">
        <f t="shared" si="15"/>
        <v>0</v>
      </c>
      <c r="V380" s="255">
        <f t="shared" si="15"/>
        <v>0</v>
      </c>
      <c r="W380" s="255">
        <f t="shared" si="15"/>
        <v>0</v>
      </c>
      <c r="X380" s="255">
        <f t="shared" si="15"/>
        <v>0</v>
      </c>
      <c r="Y380" s="255">
        <f t="shared" si="15"/>
        <v>0</v>
      </c>
      <c r="Z380" s="255">
        <f t="shared" si="15"/>
        <v>0</v>
      </c>
      <c r="AA380" s="255">
        <f t="shared" si="15"/>
        <v>0</v>
      </c>
      <c r="AB380" s="256" t="s">
        <v>890</v>
      </c>
    </row>
    <row r="381" spans="1:28" s="6" customFormat="1" ht="35.25" customHeight="1" x14ac:dyDescent="0.5">
      <c r="A381" s="6">
        <v>1</v>
      </c>
      <c r="B381" s="225">
        <f>SUBTOTAL(103,$A$7:A381)</f>
        <v>369</v>
      </c>
      <c r="C381" s="254" t="s">
        <v>1827</v>
      </c>
      <c r="D381" s="255">
        <f>E381+F381+G381+H381+I381+J381+L381+M381+N381+O381+P381+Q381+R381+S381+T381+U381+V381+W381+X381+Y381+Z381+AA381</f>
        <v>228541</v>
      </c>
      <c r="E381" s="258">
        <v>0</v>
      </c>
      <c r="F381" s="258">
        <v>0</v>
      </c>
      <c r="G381" s="258">
        <v>0</v>
      </c>
      <c r="H381" s="258">
        <v>0</v>
      </c>
      <c r="I381" s="258">
        <v>228541</v>
      </c>
      <c r="J381" s="258">
        <v>0</v>
      </c>
      <c r="K381" s="259">
        <v>0</v>
      </c>
      <c r="L381" s="258">
        <v>0</v>
      </c>
      <c r="M381" s="258">
        <v>0</v>
      </c>
      <c r="N381" s="258">
        <v>0</v>
      </c>
      <c r="O381" s="258">
        <v>0</v>
      </c>
      <c r="P381" s="258">
        <v>0</v>
      </c>
      <c r="Q381" s="258">
        <v>0</v>
      </c>
      <c r="R381" s="258">
        <v>0</v>
      </c>
      <c r="S381" s="258">
        <v>0</v>
      </c>
      <c r="T381" s="258">
        <v>0</v>
      </c>
      <c r="U381" s="258">
        <v>0</v>
      </c>
      <c r="V381" s="258">
        <v>0</v>
      </c>
      <c r="W381" s="258">
        <v>0</v>
      </c>
      <c r="X381" s="258">
        <v>0</v>
      </c>
      <c r="Y381" s="258">
        <v>0</v>
      </c>
      <c r="Z381" s="258">
        <v>0</v>
      </c>
      <c r="AA381" s="258">
        <v>0</v>
      </c>
      <c r="AB381" s="260">
        <v>2020</v>
      </c>
    </row>
    <row r="382" spans="1:28" s="6" customFormat="1" ht="35.25" customHeight="1" x14ac:dyDescent="0.5">
      <c r="A382" s="6">
        <v>1</v>
      </c>
      <c r="B382" s="225">
        <f>SUBTOTAL(103,$A$7:A382)</f>
        <v>370</v>
      </c>
      <c r="C382" s="254" t="s">
        <v>1828</v>
      </c>
      <c r="D382" s="255">
        <f>E382+F382+G382+H382+I382+J382+L382+M382+N382+O382+P382+Q382+R382+S382+T382+U382+V382+W382+X382+Y382+Z382+AA382</f>
        <v>228541</v>
      </c>
      <c r="E382" s="258">
        <v>0</v>
      </c>
      <c r="F382" s="258">
        <v>0</v>
      </c>
      <c r="G382" s="258">
        <v>0</v>
      </c>
      <c r="H382" s="258">
        <v>0</v>
      </c>
      <c r="I382" s="258">
        <v>228541</v>
      </c>
      <c r="J382" s="258">
        <v>0</v>
      </c>
      <c r="K382" s="259">
        <v>0</v>
      </c>
      <c r="L382" s="258">
        <v>0</v>
      </c>
      <c r="M382" s="258">
        <v>0</v>
      </c>
      <c r="N382" s="258">
        <v>0</v>
      </c>
      <c r="O382" s="258">
        <v>0</v>
      </c>
      <c r="P382" s="258">
        <v>0</v>
      </c>
      <c r="Q382" s="258">
        <v>0</v>
      </c>
      <c r="R382" s="258">
        <v>0</v>
      </c>
      <c r="S382" s="258">
        <v>0</v>
      </c>
      <c r="T382" s="258">
        <v>0</v>
      </c>
      <c r="U382" s="258">
        <v>0</v>
      </c>
      <c r="V382" s="258">
        <v>0</v>
      </c>
      <c r="W382" s="258">
        <v>0</v>
      </c>
      <c r="X382" s="258">
        <v>0</v>
      </c>
      <c r="Y382" s="258">
        <v>0</v>
      </c>
      <c r="Z382" s="258">
        <v>0</v>
      </c>
      <c r="AA382" s="258">
        <v>0</v>
      </c>
      <c r="AB382" s="260">
        <v>2020</v>
      </c>
    </row>
    <row r="383" spans="1:28" s="6" customFormat="1" ht="35.25" customHeight="1" x14ac:dyDescent="0.5">
      <c r="A383" s="6">
        <v>1</v>
      </c>
      <c r="B383" s="225">
        <f>SUBTOTAL(103,$A$7:A383)</f>
        <v>371</v>
      </c>
      <c r="C383" s="254" t="s">
        <v>1829</v>
      </c>
      <c r="D383" s="255">
        <f>E383+F383+G383+H383+I383+J383+L383+M383+N383+O383+P383+Q383+R383+S383+T383+U383+V383+W383+X383+Y383+Z383+AA383</f>
        <v>274766</v>
      </c>
      <c r="E383" s="258">
        <v>0</v>
      </c>
      <c r="F383" s="258">
        <v>0</v>
      </c>
      <c r="G383" s="258">
        <v>0</v>
      </c>
      <c r="H383" s="258">
        <v>0</v>
      </c>
      <c r="I383" s="258">
        <v>228541</v>
      </c>
      <c r="J383" s="258">
        <v>0</v>
      </c>
      <c r="K383" s="259">
        <v>0</v>
      </c>
      <c r="L383" s="258">
        <v>0</v>
      </c>
      <c r="M383" s="258">
        <v>0</v>
      </c>
      <c r="N383" s="258">
        <v>0</v>
      </c>
      <c r="O383" s="258">
        <v>46225</v>
      </c>
      <c r="P383" s="258">
        <v>0</v>
      </c>
      <c r="Q383" s="258">
        <v>0</v>
      </c>
      <c r="R383" s="258">
        <v>0</v>
      </c>
      <c r="S383" s="258">
        <v>0</v>
      </c>
      <c r="T383" s="258">
        <v>0</v>
      </c>
      <c r="U383" s="258">
        <v>0</v>
      </c>
      <c r="V383" s="258">
        <v>0</v>
      </c>
      <c r="W383" s="258">
        <v>0</v>
      </c>
      <c r="X383" s="258">
        <v>0</v>
      </c>
      <c r="Y383" s="258">
        <v>0</v>
      </c>
      <c r="Z383" s="258">
        <v>0</v>
      </c>
      <c r="AA383" s="258">
        <v>0</v>
      </c>
      <c r="AB383" s="260">
        <v>2020</v>
      </c>
    </row>
    <row r="384" spans="1:28" s="6" customFormat="1" ht="35.25" customHeight="1" x14ac:dyDescent="0.5">
      <c r="A384" s="6">
        <v>1</v>
      </c>
      <c r="B384" s="225">
        <f>SUBTOTAL(103,$A$7:A384)</f>
        <v>372</v>
      </c>
      <c r="C384" s="254" t="s">
        <v>1830</v>
      </c>
      <c r="D384" s="255">
        <f>E384+F384+G384+H384+I384+J384+L384+M384+N384+O384+P384+Q384+R384+S384+T384+U384+V384+W384+X384+Y384+Z384+AA384</f>
        <v>636585</v>
      </c>
      <c r="E384" s="258">
        <v>0</v>
      </c>
      <c r="F384" s="258">
        <v>0</v>
      </c>
      <c r="G384" s="258">
        <v>0</v>
      </c>
      <c r="H384" s="258">
        <v>0</v>
      </c>
      <c r="I384" s="258">
        <v>228541</v>
      </c>
      <c r="J384" s="258">
        <v>0</v>
      </c>
      <c r="K384" s="259">
        <v>0</v>
      </c>
      <c r="L384" s="258">
        <v>0</v>
      </c>
      <c r="M384" s="258">
        <v>0</v>
      </c>
      <c r="N384" s="258">
        <v>0</v>
      </c>
      <c r="O384" s="258">
        <v>408044</v>
      </c>
      <c r="P384" s="258">
        <v>0</v>
      </c>
      <c r="Q384" s="258">
        <v>0</v>
      </c>
      <c r="R384" s="258">
        <v>0</v>
      </c>
      <c r="S384" s="258">
        <v>0</v>
      </c>
      <c r="T384" s="258">
        <v>0</v>
      </c>
      <c r="U384" s="258">
        <v>0</v>
      </c>
      <c r="V384" s="258">
        <v>0</v>
      </c>
      <c r="W384" s="258">
        <v>0</v>
      </c>
      <c r="X384" s="258">
        <v>0</v>
      </c>
      <c r="Y384" s="258">
        <v>0</v>
      </c>
      <c r="Z384" s="258">
        <v>0</v>
      </c>
      <c r="AA384" s="258">
        <v>0</v>
      </c>
      <c r="AB384" s="260">
        <v>2020</v>
      </c>
    </row>
    <row r="385" spans="1:28" s="6" customFormat="1" ht="35.25" customHeight="1" x14ac:dyDescent="0.5">
      <c r="B385" s="254" t="s">
        <v>885</v>
      </c>
      <c r="C385" s="254"/>
      <c r="D385" s="255">
        <f>D386</f>
        <v>797497</v>
      </c>
      <c r="E385" s="255">
        <f t="shared" ref="E385:AA385" si="16">E386</f>
        <v>0</v>
      </c>
      <c r="F385" s="255">
        <f t="shared" si="16"/>
        <v>0</v>
      </c>
      <c r="G385" s="255">
        <f t="shared" si="16"/>
        <v>0</v>
      </c>
      <c r="H385" s="255">
        <f t="shared" si="16"/>
        <v>0</v>
      </c>
      <c r="I385" s="255">
        <f t="shared" si="16"/>
        <v>0</v>
      </c>
      <c r="J385" s="255">
        <f t="shared" si="16"/>
        <v>0</v>
      </c>
      <c r="K385" s="259">
        <f t="shared" si="16"/>
        <v>0</v>
      </c>
      <c r="L385" s="255">
        <f t="shared" si="16"/>
        <v>0</v>
      </c>
      <c r="M385" s="255">
        <f t="shared" si="16"/>
        <v>797497</v>
      </c>
      <c r="N385" s="255">
        <f t="shared" si="16"/>
        <v>0</v>
      </c>
      <c r="O385" s="255">
        <f t="shared" si="16"/>
        <v>0</v>
      </c>
      <c r="P385" s="255">
        <f t="shared" si="16"/>
        <v>0</v>
      </c>
      <c r="Q385" s="255">
        <f t="shared" si="16"/>
        <v>0</v>
      </c>
      <c r="R385" s="255">
        <f t="shared" si="16"/>
        <v>0</v>
      </c>
      <c r="S385" s="255">
        <f t="shared" si="16"/>
        <v>0</v>
      </c>
      <c r="T385" s="255">
        <f t="shared" si="16"/>
        <v>0</v>
      </c>
      <c r="U385" s="255">
        <f t="shared" si="16"/>
        <v>0</v>
      </c>
      <c r="V385" s="255">
        <f t="shared" si="16"/>
        <v>0</v>
      </c>
      <c r="W385" s="255">
        <f t="shared" si="16"/>
        <v>0</v>
      </c>
      <c r="X385" s="255">
        <f t="shared" si="16"/>
        <v>0</v>
      </c>
      <c r="Y385" s="255">
        <f t="shared" si="16"/>
        <v>0</v>
      </c>
      <c r="Z385" s="255">
        <f t="shared" si="16"/>
        <v>0</v>
      </c>
      <c r="AA385" s="255">
        <f t="shared" si="16"/>
        <v>0</v>
      </c>
      <c r="AB385" s="256" t="s">
        <v>890</v>
      </c>
    </row>
    <row r="386" spans="1:28" s="6" customFormat="1" ht="35.25" customHeight="1" x14ac:dyDescent="0.5">
      <c r="A386" s="6">
        <v>1</v>
      </c>
      <c r="B386" s="225">
        <f>SUBTOTAL(103,$A$7:A386)</f>
        <v>373</v>
      </c>
      <c r="C386" s="254" t="s">
        <v>2168</v>
      </c>
      <c r="D386" s="255">
        <f>E386+F386+G386+H386+I386+J386+L386+M386+N386+O386+P386+Q386+R386+S386+T386+U386+V386+W386+X386+Y386+Z386+AA386</f>
        <v>797497</v>
      </c>
      <c r="E386" s="255">
        <v>0</v>
      </c>
      <c r="F386" s="255">
        <v>0</v>
      </c>
      <c r="G386" s="255">
        <v>0</v>
      </c>
      <c r="H386" s="255">
        <v>0</v>
      </c>
      <c r="I386" s="255">
        <v>0</v>
      </c>
      <c r="J386" s="255">
        <v>0</v>
      </c>
      <c r="K386" s="259">
        <v>0</v>
      </c>
      <c r="L386" s="255">
        <v>0</v>
      </c>
      <c r="M386" s="258">
        <v>797497</v>
      </c>
      <c r="N386" s="258">
        <v>0</v>
      </c>
      <c r="O386" s="258">
        <v>0</v>
      </c>
      <c r="P386" s="258">
        <v>0</v>
      </c>
      <c r="Q386" s="258">
        <v>0</v>
      </c>
      <c r="R386" s="258">
        <v>0</v>
      </c>
      <c r="S386" s="258">
        <v>0</v>
      </c>
      <c r="T386" s="258">
        <v>0</v>
      </c>
      <c r="U386" s="258">
        <v>0</v>
      </c>
      <c r="V386" s="258">
        <v>0</v>
      </c>
      <c r="W386" s="258">
        <v>0</v>
      </c>
      <c r="X386" s="258">
        <v>0</v>
      </c>
      <c r="Y386" s="258">
        <v>0</v>
      </c>
      <c r="Z386" s="258">
        <v>0</v>
      </c>
      <c r="AA386" s="258">
        <v>0</v>
      </c>
      <c r="AB386" s="260">
        <v>2020</v>
      </c>
    </row>
    <row r="387" spans="1:28" s="6" customFormat="1" ht="35.25" customHeight="1" x14ac:dyDescent="0.5">
      <c r="B387" s="254" t="s">
        <v>829</v>
      </c>
      <c r="C387" s="254"/>
      <c r="D387" s="255">
        <f>SUM(D388)</f>
        <v>967981.25</v>
      </c>
      <c r="E387" s="255">
        <f t="shared" ref="E387:AA387" si="17">SUM(E388)</f>
        <v>0</v>
      </c>
      <c r="F387" s="255">
        <f t="shared" si="17"/>
        <v>0</v>
      </c>
      <c r="G387" s="255">
        <f t="shared" si="17"/>
        <v>0</v>
      </c>
      <c r="H387" s="255">
        <f t="shared" si="17"/>
        <v>0</v>
      </c>
      <c r="I387" s="255">
        <f t="shared" si="17"/>
        <v>0</v>
      </c>
      <c r="J387" s="255">
        <f t="shared" si="17"/>
        <v>0</v>
      </c>
      <c r="K387" s="259">
        <f t="shared" si="17"/>
        <v>0</v>
      </c>
      <c r="L387" s="255">
        <f t="shared" si="17"/>
        <v>0</v>
      </c>
      <c r="M387" s="255">
        <f t="shared" si="17"/>
        <v>967981.25</v>
      </c>
      <c r="N387" s="255">
        <f t="shared" si="17"/>
        <v>0</v>
      </c>
      <c r="O387" s="255">
        <f t="shared" si="17"/>
        <v>0</v>
      </c>
      <c r="P387" s="255">
        <f t="shared" si="17"/>
        <v>0</v>
      </c>
      <c r="Q387" s="255">
        <f t="shared" si="17"/>
        <v>0</v>
      </c>
      <c r="R387" s="255">
        <f t="shared" si="17"/>
        <v>0</v>
      </c>
      <c r="S387" s="255">
        <f t="shared" si="17"/>
        <v>0</v>
      </c>
      <c r="T387" s="255">
        <f t="shared" si="17"/>
        <v>0</v>
      </c>
      <c r="U387" s="255">
        <f t="shared" si="17"/>
        <v>0</v>
      </c>
      <c r="V387" s="255">
        <f t="shared" si="17"/>
        <v>0</v>
      </c>
      <c r="W387" s="255">
        <f t="shared" si="17"/>
        <v>0</v>
      </c>
      <c r="X387" s="255">
        <f t="shared" si="17"/>
        <v>0</v>
      </c>
      <c r="Y387" s="255">
        <f t="shared" si="17"/>
        <v>0</v>
      </c>
      <c r="Z387" s="255">
        <f t="shared" si="17"/>
        <v>0</v>
      </c>
      <c r="AA387" s="255">
        <f t="shared" si="17"/>
        <v>0</v>
      </c>
      <c r="AB387" s="256" t="s">
        <v>890</v>
      </c>
    </row>
    <row r="388" spans="1:28" s="6" customFormat="1" ht="35.25" customHeight="1" x14ac:dyDescent="0.5">
      <c r="A388" s="6">
        <v>1</v>
      </c>
      <c r="B388" s="225">
        <f>SUBTOTAL(103,$A$7:A388)</f>
        <v>374</v>
      </c>
      <c r="C388" s="254" t="s">
        <v>1831</v>
      </c>
      <c r="D388" s="255">
        <f>E388+F388+G388+H388+I388+J388+L388+M388+N388+O388+P388+Q388+R388+S388+T388+U388+V388+W388+X388+Y388+Z388+AA388</f>
        <v>967981.25</v>
      </c>
      <c r="E388" s="258">
        <v>0</v>
      </c>
      <c r="F388" s="258">
        <v>0</v>
      </c>
      <c r="G388" s="258">
        <v>0</v>
      </c>
      <c r="H388" s="258">
        <v>0</v>
      </c>
      <c r="I388" s="258">
        <v>0</v>
      </c>
      <c r="J388" s="258">
        <v>0</v>
      </c>
      <c r="K388" s="259">
        <v>0</v>
      </c>
      <c r="L388" s="258">
        <v>0</v>
      </c>
      <c r="M388" s="258">
        <v>967981.25</v>
      </c>
      <c r="N388" s="258">
        <v>0</v>
      </c>
      <c r="O388" s="258">
        <v>0</v>
      </c>
      <c r="P388" s="258">
        <v>0</v>
      </c>
      <c r="Q388" s="258">
        <v>0</v>
      </c>
      <c r="R388" s="258">
        <v>0</v>
      </c>
      <c r="S388" s="258">
        <v>0</v>
      </c>
      <c r="T388" s="258">
        <v>0</v>
      </c>
      <c r="U388" s="258">
        <v>0</v>
      </c>
      <c r="V388" s="258">
        <v>0</v>
      </c>
      <c r="W388" s="258">
        <v>0</v>
      </c>
      <c r="X388" s="258">
        <v>0</v>
      </c>
      <c r="Y388" s="258">
        <v>0</v>
      </c>
      <c r="Z388" s="258">
        <v>0</v>
      </c>
      <c r="AA388" s="258">
        <v>0</v>
      </c>
      <c r="AB388" s="260">
        <v>2020</v>
      </c>
    </row>
    <row r="389" spans="1:28" s="6" customFormat="1" ht="35.25" customHeight="1" x14ac:dyDescent="0.5">
      <c r="B389" s="254" t="s">
        <v>838</v>
      </c>
      <c r="C389" s="254"/>
      <c r="D389" s="255">
        <f t="shared" ref="D389:AA389" si="18">SUM(D390:D436)</f>
        <v>41268654.049999997</v>
      </c>
      <c r="E389" s="255">
        <f t="shared" si="18"/>
        <v>444838.40000000002</v>
      </c>
      <c r="F389" s="255">
        <f t="shared" si="18"/>
        <v>1400769.57</v>
      </c>
      <c r="G389" s="255">
        <f t="shared" si="18"/>
        <v>1061001.8399999999</v>
      </c>
      <c r="H389" s="255">
        <f t="shared" si="18"/>
        <v>499518.68999999994</v>
      </c>
      <c r="I389" s="255">
        <f t="shared" si="18"/>
        <v>1549375.81</v>
      </c>
      <c r="J389" s="255">
        <f t="shared" si="18"/>
        <v>88420.66</v>
      </c>
      <c r="K389" s="257">
        <f t="shared" si="18"/>
        <v>10</v>
      </c>
      <c r="L389" s="255">
        <f t="shared" si="18"/>
        <v>18571829</v>
      </c>
      <c r="M389" s="255">
        <f t="shared" si="18"/>
        <v>4510432</v>
      </c>
      <c r="N389" s="255">
        <f t="shared" si="18"/>
        <v>577598.57000000007</v>
      </c>
      <c r="O389" s="255">
        <f t="shared" si="18"/>
        <v>12564869.51</v>
      </c>
      <c r="P389" s="255">
        <f t="shared" si="18"/>
        <v>0</v>
      </c>
      <c r="Q389" s="255">
        <f t="shared" si="18"/>
        <v>0</v>
      </c>
      <c r="R389" s="255">
        <f t="shared" si="18"/>
        <v>0</v>
      </c>
      <c r="S389" s="255">
        <f t="shared" si="18"/>
        <v>0</v>
      </c>
      <c r="T389" s="255">
        <f t="shared" si="18"/>
        <v>0</v>
      </c>
      <c r="U389" s="255">
        <f t="shared" si="18"/>
        <v>0</v>
      </c>
      <c r="V389" s="255">
        <f t="shared" si="18"/>
        <v>0</v>
      </c>
      <c r="W389" s="255">
        <f t="shared" si="18"/>
        <v>0</v>
      </c>
      <c r="X389" s="255">
        <f t="shared" si="18"/>
        <v>0</v>
      </c>
      <c r="Y389" s="255">
        <f t="shared" si="18"/>
        <v>0</v>
      </c>
      <c r="Z389" s="255">
        <f t="shared" si="18"/>
        <v>0</v>
      </c>
      <c r="AA389" s="255">
        <f t="shared" si="18"/>
        <v>0</v>
      </c>
      <c r="AB389" s="256" t="s">
        <v>890</v>
      </c>
    </row>
    <row r="390" spans="1:28" s="6" customFormat="1" ht="35.25" customHeight="1" x14ac:dyDescent="0.5">
      <c r="A390" s="6">
        <v>1</v>
      </c>
      <c r="B390" s="225">
        <f>SUBTOTAL(103,$A$7:A390)</f>
        <v>375</v>
      </c>
      <c r="C390" s="254" t="s">
        <v>1832</v>
      </c>
      <c r="D390" s="255">
        <f>E390+F390+G390+H390+I390+J390+L390+M390+N390+O390+P390+Q390+R390+S390+T390+U390+V390+W390+X390+Y390+Z390+AA390</f>
        <v>78900</v>
      </c>
      <c r="E390" s="258">
        <v>0</v>
      </c>
      <c r="F390" s="258">
        <v>0</v>
      </c>
      <c r="G390" s="258">
        <v>0</v>
      </c>
      <c r="H390" s="258">
        <v>0</v>
      </c>
      <c r="I390" s="258">
        <v>0</v>
      </c>
      <c r="J390" s="258">
        <v>0</v>
      </c>
      <c r="K390" s="259">
        <v>0</v>
      </c>
      <c r="L390" s="258">
        <v>0</v>
      </c>
      <c r="M390" s="258">
        <v>0</v>
      </c>
      <c r="N390" s="258">
        <v>0</v>
      </c>
      <c r="O390" s="258">
        <v>78900</v>
      </c>
      <c r="P390" s="258">
        <v>0</v>
      </c>
      <c r="Q390" s="258">
        <v>0</v>
      </c>
      <c r="R390" s="258">
        <v>0</v>
      </c>
      <c r="S390" s="258">
        <v>0</v>
      </c>
      <c r="T390" s="258">
        <v>0</v>
      </c>
      <c r="U390" s="258">
        <v>0</v>
      </c>
      <c r="V390" s="258">
        <v>0</v>
      </c>
      <c r="W390" s="258">
        <v>0</v>
      </c>
      <c r="X390" s="258">
        <v>0</v>
      </c>
      <c r="Y390" s="258">
        <v>0</v>
      </c>
      <c r="Z390" s="258">
        <v>0</v>
      </c>
      <c r="AA390" s="258">
        <v>0</v>
      </c>
      <c r="AB390" s="260">
        <v>2020</v>
      </c>
    </row>
    <row r="391" spans="1:28" s="6" customFormat="1" ht="35.25" customHeight="1" x14ac:dyDescent="0.5">
      <c r="A391" s="6">
        <v>1</v>
      </c>
      <c r="B391" s="225">
        <f>SUBTOTAL(103,$A$7:A391)</f>
        <v>376</v>
      </c>
      <c r="C391" s="254" t="s">
        <v>1834</v>
      </c>
      <c r="D391" s="255">
        <f t="shared" ref="D391:D407" si="19">E391+F391+G391+H391+I391+J391+L391+M391+N391+O391+P391+Q391+R391+S391+T391+U391+V391+W391+X391+Y391+Z391+AA391</f>
        <v>1538017.81</v>
      </c>
      <c r="E391" s="258">
        <v>0</v>
      </c>
      <c r="F391" s="258">
        <v>0</v>
      </c>
      <c r="G391" s="258">
        <v>0</v>
      </c>
      <c r="H391" s="258">
        <v>0</v>
      </c>
      <c r="I391" s="258">
        <f>1200009.16+338008.65</f>
        <v>1538017.81</v>
      </c>
      <c r="J391" s="258">
        <v>0</v>
      </c>
      <c r="K391" s="259">
        <v>0</v>
      </c>
      <c r="L391" s="258">
        <v>0</v>
      </c>
      <c r="M391" s="258">
        <v>0</v>
      </c>
      <c r="N391" s="258">
        <v>0</v>
      </c>
      <c r="O391" s="258">
        <v>0</v>
      </c>
      <c r="P391" s="258">
        <v>0</v>
      </c>
      <c r="Q391" s="258">
        <v>0</v>
      </c>
      <c r="R391" s="258">
        <v>0</v>
      </c>
      <c r="S391" s="258">
        <v>0</v>
      </c>
      <c r="T391" s="258">
        <v>0</v>
      </c>
      <c r="U391" s="258">
        <v>0</v>
      </c>
      <c r="V391" s="258">
        <v>0</v>
      </c>
      <c r="W391" s="258">
        <v>0</v>
      </c>
      <c r="X391" s="258">
        <v>0</v>
      </c>
      <c r="Y391" s="258">
        <v>0</v>
      </c>
      <c r="Z391" s="258">
        <v>0</v>
      </c>
      <c r="AA391" s="258">
        <v>0</v>
      </c>
      <c r="AB391" s="260">
        <v>2020</v>
      </c>
    </row>
    <row r="392" spans="1:28" s="6" customFormat="1" ht="35.25" customHeight="1" x14ac:dyDescent="0.5">
      <c r="A392" s="6">
        <v>1</v>
      </c>
      <c r="B392" s="225">
        <f>SUBTOTAL(103,$A$7:A392)</f>
        <v>377</v>
      </c>
      <c r="C392" s="254" t="s">
        <v>1835</v>
      </c>
      <c r="D392" s="255">
        <f t="shared" si="19"/>
        <v>132446</v>
      </c>
      <c r="E392" s="258">
        <v>0</v>
      </c>
      <c r="F392" s="258">
        <v>0</v>
      </c>
      <c r="G392" s="258">
        <v>0</v>
      </c>
      <c r="H392" s="258">
        <v>0</v>
      </c>
      <c r="I392" s="258">
        <v>0</v>
      </c>
      <c r="J392" s="258">
        <v>0</v>
      </c>
      <c r="K392" s="259">
        <v>0</v>
      </c>
      <c r="L392" s="258">
        <v>0</v>
      </c>
      <c r="M392" s="258">
        <v>0</v>
      </c>
      <c r="N392" s="258">
        <v>0</v>
      </c>
      <c r="O392" s="258">
        <v>132446</v>
      </c>
      <c r="P392" s="258">
        <v>0</v>
      </c>
      <c r="Q392" s="258">
        <v>0</v>
      </c>
      <c r="R392" s="258">
        <v>0</v>
      </c>
      <c r="S392" s="258">
        <v>0</v>
      </c>
      <c r="T392" s="258">
        <v>0</v>
      </c>
      <c r="U392" s="258">
        <v>0</v>
      </c>
      <c r="V392" s="258">
        <v>0</v>
      </c>
      <c r="W392" s="258">
        <v>0</v>
      </c>
      <c r="X392" s="258">
        <v>0</v>
      </c>
      <c r="Y392" s="258">
        <v>0</v>
      </c>
      <c r="Z392" s="258">
        <v>0</v>
      </c>
      <c r="AA392" s="258">
        <v>0</v>
      </c>
      <c r="AB392" s="260">
        <v>2020</v>
      </c>
    </row>
    <row r="393" spans="1:28" s="6" customFormat="1" ht="35.25" customHeight="1" x14ac:dyDescent="0.5">
      <c r="A393" s="6">
        <v>1</v>
      </c>
      <c r="B393" s="225">
        <f>SUBTOTAL(103,$A$7:A393)</f>
        <v>378</v>
      </c>
      <c r="C393" s="254" t="s">
        <v>1836</v>
      </c>
      <c r="D393" s="255">
        <f t="shared" si="19"/>
        <v>1103428.53</v>
      </c>
      <c r="E393" s="258">
        <v>0</v>
      </c>
      <c r="F393" s="258">
        <v>0</v>
      </c>
      <c r="G393" s="258">
        <v>0</v>
      </c>
      <c r="H393" s="258">
        <v>0</v>
      </c>
      <c r="I393" s="258">
        <v>0</v>
      </c>
      <c r="J393" s="258">
        <v>0</v>
      </c>
      <c r="K393" s="259">
        <v>0</v>
      </c>
      <c r="L393" s="258">
        <v>0</v>
      </c>
      <c r="M393" s="258">
        <v>1103428.53</v>
      </c>
      <c r="N393" s="258">
        <v>0</v>
      </c>
      <c r="O393" s="258">
        <v>0</v>
      </c>
      <c r="P393" s="258">
        <v>0</v>
      </c>
      <c r="Q393" s="258">
        <v>0</v>
      </c>
      <c r="R393" s="258">
        <v>0</v>
      </c>
      <c r="S393" s="258">
        <v>0</v>
      </c>
      <c r="T393" s="258">
        <v>0</v>
      </c>
      <c r="U393" s="258">
        <v>0</v>
      </c>
      <c r="V393" s="258">
        <v>0</v>
      </c>
      <c r="W393" s="258">
        <v>0</v>
      </c>
      <c r="X393" s="258">
        <v>0</v>
      </c>
      <c r="Y393" s="258">
        <v>0</v>
      </c>
      <c r="Z393" s="258">
        <v>0</v>
      </c>
      <c r="AA393" s="258">
        <v>0</v>
      </c>
      <c r="AB393" s="260">
        <v>2020</v>
      </c>
    </row>
    <row r="394" spans="1:28" s="6" customFormat="1" ht="35.25" customHeight="1" x14ac:dyDescent="0.5">
      <c r="A394" s="6">
        <v>1</v>
      </c>
      <c r="B394" s="225">
        <f>SUBTOTAL(103,$A$7:A394)</f>
        <v>379</v>
      </c>
      <c r="C394" s="254" t="s">
        <v>1837</v>
      </c>
      <c r="D394" s="255">
        <f t="shared" si="19"/>
        <v>270448.74</v>
      </c>
      <c r="E394" s="258">
        <v>0</v>
      </c>
      <c r="F394" s="258">
        <v>0</v>
      </c>
      <c r="G394" s="258">
        <v>0</v>
      </c>
      <c r="H394" s="258">
        <v>0</v>
      </c>
      <c r="I394" s="258">
        <v>0</v>
      </c>
      <c r="J394" s="258">
        <v>0</v>
      </c>
      <c r="K394" s="259">
        <v>0</v>
      </c>
      <c r="L394" s="258">
        <v>0</v>
      </c>
      <c r="M394" s="258">
        <v>0</v>
      </c>
      <c r="N394" s="258">
        <v>0</v>
      </c>
      <c r="O394" s="258">
        <v>270448.74</v>
      </c>
      <c r="P394" s="258">
        <v>0</v>
      </c>
      <c r="Q394" s="258">
        <v>0</v>
      </c>
      <c r="R394" s="258">
        <v>0</v>
      </c>
      <c r="S394" s="258">
        <v>0</v>
      </c>
      <c r="T394" s="258">
        <v>0</v>
      </c>
      <c r="U394" s="258">
        <v>0</v>
      </c>
      <c r="V394" s="258">
        <v>0</v>
      </c>
      <c r="W394" s="258">
        <v>0</v>
      </c>
      <c r="X394" s="258">
        <v>0</v>
      </c>
      <c r="Y394" s="258">
        <v>0</v>
      </c>
      <c r="Z394" s="258">
        <v>0</v>
      </c>
      <c r="AA394" s="258">
        <v>0</v>
      </c>
      <c r="AB394" s="260">
        <v>2020</v>
      </c>
    </row>
    <row r="395" spans="1:28" s="6" customFormat="1" ht="35.25" customHeight="1" x14ac:dyDescent="0.5">
      <c r="A395" s="6">
        <v>1</v>
      </c>
      <c r="B395" s="225">
        <f>SUBTOTAL(103,$A$7:A395)</f>
        <v>380</v>
      </c>
      <c r="C395" s="254" t="s">
        <v>1838</v>
      </c>
      <c r="D395" s="255">
        <f t="shared" si="19"/>
        <v>663461.02</v>
      </c>
      <c r="E395" s="258">
        <v>0</v>
      </c>
      <c r="F395" s="258">
        <v>0</v>
      </c>
      <c r="G395" s="258">
        <v>0</v>
      </c>
      <c r="H395" s="258">
        <v>0</v>
      </c>
      <c r="I395" s="258">
        <v>0</v>
      </c>
      <c r="J395" s="258">
        <v>0</v>
      </c>
      <c r="K395" s="259">
        <v>0</v>
      </c>
      <c r="L395" s="258">
        <v>0</v>
      </c>
      <c r="M395" s="258">
        <v>0</v>
      </c>
      <c r="N395" s="258">
        <v>0</v>
      </c>
      <c r="O395" s="258">
        <f>375408+288053.02</f>
        <v>663461.02</v>
      </c>
      <c r="P395" s="258">
        <v>0</v>
      </c>
      <c r="Q395" s="258">
        <v>0</v>
      </c>
      <c r="R395" s="258">
        <v>0</v>
      </c>
      <c r="S395" s="258">
        <v>0</v>
      </c>
      <c r="T395" s="258">
        <v>0</v>
      </c>
      <c r="U395" s="258">
        <v>0</v>
      </c>
      <c r="V395" s="258">
        <v>0</v>
      </c>
      <c r="W395" s="258">
        <v>0</v>
      </c>
      <c r="X395" s="258">
        <v>0</v>
      </c>
      <c r="Y395" s="258">
        <v>0</v>
      </c>
      <c r="Z395" s="258">
        <v>0</v>
      </c>
      <c r="AA395" s="258">
        <v>0</v>
      </c>
      <c r="AB395" s="260">
        <v>2020</v>
      </c>
    </row>
    <row r="396" spans="1:28" s="6" customFormat="1" ht="35.25" customHeight="1" x14ac:dyDescent="0.5">
      <c r="A396" s="6">
        <v>1</v>
      </c>
      <c r="B396" s="225">
        <f>SUBTOTAL(103,$A$7:A396)</f>
        <v>381</v>
      </c>
      <c r="C396" s="254" t="s">
        <v>1725</v>
      </c>
      <c r="D396" s="255">
        <v>173538</v>
      </c>
      <c r="E396" s="258">
        <v>0</v>
      </c>
      <c r="F396" s="258">
        <v>0</v>
      </c>
      <c r="G396" s="258">
        <v>173538</v>
      </c>
      <c r="H396" s="258">
        <v>0</v>
      </c>
      <c r="I396" s="258">
        <v>0</v>
      </c>
      <c r="J396" s="258">
        <v>0</v>
      </c>
      <c r="K396" s="259">
        <v>0</v>
      </c>
      <c r="L396" s="258">
        <v>0</v>
      </c>
      <c r="M396" s="258">
        <v>0</v>
      </c>
      <c r="N396" s="258">
        <v>0</v>
      </c>
      <c r="O396" s="258">
        <v>0</v>
      </c>
      <c r="P396" s="258">
        <v>0</v>
      </c>
      <c r="Q396" s="258">
        <v>0</v>
      </c>
      <c r="R396" s="258">
        <v>0</v>
      </c>
      <c r="S396" s="258">
        <v>0</v>
      </c>
      <c r="T396" s="258">
        <v>0</v>
      </c>
      <c r="U396" s="258">
        <v>0</v>
      </c>
      <c r="V396" s="258">
        <v>0</v>
      </c>
      <c r="W396" s="258">
        <v>0</v>
      </c>
      <c r="X396" s="258">
        <v>0</v>
      </c>
      <c r="Y396" s="258">
        <v>0</v>
      </c>
      <c r="Z396" s="258">
        <v>0</v>
      </c>
      <c r="AA396" s="258">
        <v>0</v>
      </c>
      <c r="AB396" s="260">
        <v>2020</v>
      </c>
    </row>
    <row r="397" spans="1:28" s="6" customFormat="1" ht="35.25" customHeight="1" x14ac:dyDescent="0.5">
      <c r="A397" s="6">
        <v>1</v>
      </c>
      <c r="B397" s="225">
        <f>SUBTOTAL(103,$A$7:A397)</f>
        <v>382</v>
      </c>
      <c r="C397" s="254" t="s">
        <v>1839</v>
      </c>
      <c r="D397" s="255">
        <f t="shared" si="19"/>
        <v>2021829</v>
      </c>
      <c r="E397" s="258">
        <v>0</v>
      </c>
      <c r="F397" s="258">
        <v>0</v>
      </c>
      <c r="G397" s="258">
        <v>0</v>
      </c>
      <c r="H397" s="258">
        <v>0</v>
      </c>
      <c r="I397" s="258">
        <v>0</v>
      </c>
      <c r="J397" s="258">
        <v>0</v>
      </c>
      <c r="K397" s="259">
        <v>1</v>
      </c>
      <c r="L397" s="258">
        <v>2021829</v>
      </c>
      <c r="M397" s="258">
        <v>0</v>
      </c>
      <c r="N397" s="258">
        <v>0</v>
      </c>
      <c r="O397" s="258">
        <v>0</v>
      </c>
      <c r="P397" s="258">
        <v>0</v>
      </c>
      <c r="Q397" s="258">
        <v>0</v>
      </c>
      <c r="R397" s="258">
        <v>0</v>
      </c>
      <c r="S397" s="258">
        <v>0</v>
      </c>
      <c r="T397" s="258">
        <v>0</v>
      </c>
      <c r="U397" s="258">
        <v>0</v>
      </c>
      <c r="V397" s="258">
        <v>0</v>
      </c>
      <c r="W397" s="258">
        <v>0</v>
      </c>
      <c r="X397" s="258">
        <v>0</v>
      </c>
      <c r="Y397" s="258">
        <v>0</v>
      </c>
      <c r="Z397" s="258">
        <v>0</v>
      </c>
      <c r="AA397" s="258">
        <v>0</v>
      </c>
      <c r="AB397" s="260">
        <v>2020</v>
      </c>
    </row>
    <row r="398" spans="1:28" s="6" customFormat="1" ht="35.25" customHeight="1" x14ac:dyDescent="0.5">
      <c r="A398" s="6">
        <v>1</v>
      </c>
      <c r="B398" s="225">
        <f>SUBTOTAL(103,$A$7:A398)</f>
        <v>383</v>
      </c>
      <c r="C398" s="254" t="s">
        <v>1840</v>
      </c>
      <c r="D398" s="255">
        <f t="shared" si="19"/>
        <v>1870000</v>
      </c>
      <c r="E398" s="258">
        <v>0</v>
      </c>
      <c r="F398" s="258">
        <v>0</v>
      </c>
      <c r="G398" s="258">
        <v>0</v>
      </c>
      <c r="H398" s="258">
        <v>0</v>
      </c>
      <c r="I398" s="258">
        <v>0</v>
      </c>
      <c r="J398" s="258">
        <v>0</v>
      </c>
      <c r="K398" s="259">
        <v>1</v>
      </c>
      <c r="L398" s="258">
        <v>1870000</v>
      </c>
      <c r="M398" s="258">
        <v>0</v>
      </c>
      <c r="N398" s="258">
        <v>0</v>
      </c>
      <c r="O398" s="258">
        <v>0</v>
      </c>
      <c r="P398" s="258">
        <v>0</v>
      </c>
      <c r="Q398" s="258">
        <v>0</v>
      </c>
      <c r="R398" s="258">
        <v>0</v>
      </c>
      <c r="S398" s="258">
        <v>0</v>
      </c>
      <c r="T398" s="258">
        <v>0</v>
      </c>
      <c r="U398" s="258">
        <v>0</v>
      </c>
      <c r="V398" s="258">
        <v>0</v>
      </c>
      <c r="W398" s="258">
        <v>0</v>
      </c>
      <c r="X398" s="258">
        <v>0</v>
      </c>
      <c r="Y398" s="258">
        <v>0</v>
      </c>
      <c r="Z398" s="258">
        <v>0</v>
      </c>
      <c r="AA398" s="258">
        <v>0</v>
      </c>
      <c r="AB398" s="260">
        <v>2020</v>
      </c>
    </row>
    <row r="399" spans="1:28" s="6" customFormat="1" ht="35.25" customHeight="1" x14ac:dyDescent="0.5">
      <c r="A399" s="6">
        <v>1</v>
      </c>
      <c r="B399" s="225">
        <f>SUBTOTAL(103,$A$7:A399)</f>
        <v>384</v>
      </c>
      <c r="C399" s="254" t="s">
        <v>1841</v>
      </c>
      <c r="D399" s="255">
        <f t="shared" si="19"/>
        <v>1850000</v>
      </c>
      <c r="E399" s="258">
        <v>0</v>
      </c>
      <c r="F399" s="258">
        <v>0</v>
      </c>
      <c r="G399" s="258">
        <v>0</v>
      </c>
      <c r="H399" s="258">
        <v>0</v>
      </c>
      <c r="I399" s="258">
        <v>0</v>
      </c>
      <c r="J399" s="258">
        <v>0</v>
      </c>
      <c r="K399" s="259">
        <v>1</v>
      </c>
      <c r="L399" s="258">
        <v>1850000</v>
      </c>
      <c r="M399" s="258">
        <v>0</v>
      </c>
      <c r="N399" s="258">
        <v>0</v>
      </c>
      <c r="O399" s="258">
        <v>0</v>
      </c>
      <c r="P399" s="258">
        <v>0</v>
      </c>
      <c r="Q399" s="258">
        <v>0</v>
      </c>
      <c r="R399" s="258">
        <v>0</v>
      </c>
      <c r="S399" s="258">
        <v>0</v>
      </c>
      <c r="T399" s="258">
        <v>0</v>
      </c>
      <c r="U399" s="258">
        <v>0</v>
      </c>
      <c r="V399" s="258">
        <v>0</v>
      </c>
      <c r="W399" s="258">
        <v>0</v>
      </c>
      <c r="X399" s="258">
        <v>0</v>
      </c>
      <c r="Y399" s="258">
        <v>0</v>
      </c>
      <c r="Z399" s="258">
        <v>0</v>
      </c>
      <c r="AA399" s="258">
        <v>0</v>
      </c>
      <c r="AB399" s="260">
        <v>2020</v>
      </c>
    </row>
    <row r="400" spans="1:28" s="6" customFormat="1" ht="35.25" customHeight="1" x14ac:dyDescent="0.5">
      <c r="A400" s="6">
        <v>1</v>
      </c>
      <c r="B400" s="225">
        <f>SUBTOTAL(103,$A$7:A400)</f>
        <v>385</v>
      </c>
      <c r="C400" s="254" t="s">
        <v>1842</v>
      </c>
      <c r="D400" s="255">
        <f t="shared" si="19"/>
        <v>1870000</v>
      </c>
      <c r="E400" s="258">
        <v>0</v>
      </c>
      <c r="F400" s="258">
        <v>0</v>
      </c>
      <c r="G400" s="258">
        <v>0</v>
      </c>
      <c r="H400" s="258">
        <v>0</v>
      </c>
      <c r="I400" s="258">
        <v>0</v>
      </c>
      <c r="J400" s="258">
        <v>0</v>
      </c>
      <c r="K400" s="259">
        <v>1</v>
      </c>
      <c r="L400" s="258">
        <v>1870000</v>
      </c>
      <c r="M400" s="258">
        <v>0</v>
      </c>
      <c r="N400" s="258">
        <v>0</v>
      </c>
      <c r="O400" s="258">
        <v>0</v>
      </c>
      <c r="P400" s="258">
        <v>0</v>
      </c>
      <c r="Q400" s="258">
        <v>0</v>
      </c>
      <c r="R400" s="258">
        <v>0</v>
      </c>
      <c r="S400" s="258">
        <v>0</v>
      </c>
      <c r="T400" s="258">
        <v>0</v>
      </c>
      <c r="U400" s="258">
        <v>0</v>
      </c>
      <c r="V400" s="258">
        <v>0</v>
      </c>
      <c r="W400" s="258">
        <v>0</v>
      </c>
      <c r="X400" s="258">
        <v>0</v>
      </c>
      <c r="Y400" s="258">
        <v>0</v>
      </c>
      <c r="Z400" s="258">
        <v>0</v>
      </c>
      <c r="AA400" s="258">
        <v>0</v>
      </c>
      <c r="AB400" s="260">
        <v>2020</v>
      </c>
    </row>
    <row r="401" spans="1:28" s="6" customFormat="1" ht="35.25" customHeight="1" x14ac:dyDescent="0.5">
      <c r="A401" s="6">
        <v>1</v>
      </c>
      <c r="B401" s="225">
        <f>SUBTOTAL(103,$A$7:A401)</f>
        <v>386</v>
      </c>
      <c r="C401" s="254" t="s">
        <v>1843</v>
      </c>
      <c r="D401" s="255">
        <f t="shared" si="19"/>
        <v>1870000</v>
      </c>
      <c r="E401" s="258">
        <v>0</v>
      </c>
      <c r="F401" s="258">
        <v>0</v>
      </c>
      <c r="G401" s="258">
        <v>0</v>
      </c>
      <c r="H401" s="258">
        <v>0</v>
      </c>
      <c r="I401" s="258">
        <v>0</v>
      </c>
      <c r="J401" s="258">
        <v>0</v>
      </c>
      <c r="K401" s="259">
        <v>1</v>
      </c>
      <c r="L401" s="258">
        <v>1870000</v>
      </c>
      <c r="M401" s="258">
        <v>0</v>
      </c>
      <c r="N401" s="258">
        <v>0</v>
      </c>
      <c r="O401" s="258">
        <v>0</v>
      </c>
      <c r="P401" s="258">
        <v>0</v>
      </c>
      <c r="Q401" s="258">
        <v>0</v>
      </c>
      <c r="R401" s="258">
        <v>0</v>
      </c>
      <c r="S401" s="258">
        <v>0</v>
      </c>
      <c r="T401" s="258">
        <v>0</v>
      </c>
      <c r="U401" s="258">
        <v>0</v>
      </c>
      <c r="V401" s="258">
        <v>0</v>
      </c>
      <c r="W401" s="258">
        <v>0</v>
      </c>
      <c r="X401" s="258">
        <v>0</v>
      </c>
      <c r="Y401" s="258">
        <v>0</v>
      </c>
      <c r="Z401" s="258">
        <v>0</v>
      </c>
      <c r="AA401" s="258">
        <v>0</v>
      </c>
      <c r="AB401" s="260">
        <v>2020</v>
      </c>
    </row>
    <row r="402" spans="1:28" s="6" customFormat="1" ht="35.25" customHeight="1" x14ac:dyDescent="0.5">
      <c r="A402" s="6">
        <v>1</v>
      </c>
      <c r="B402" s="225">
        <f>SUBTOTAL(103,$A$7:A402)</f>
        <v>387</v>
      </c>
      <c r="C402" s="254" t="s">
        <v>1844</v>
      </c>
      <c r="D402" s="255">
        <f t="shared" si="19"/>
        <v>5250000</v>
      </c>
      <c r="E402" s="258">
        <v>0</v>
      </c>
      <c r="F402" s="258">
        <v>0</v>
      </c>
      <c r="G402" s="258">
        <v>0</v>
      </c>
      <c r="H402" s="258">
        <v>0</v>
      </c>
      <c r="I402" s="258">
        <v>0</v>
      </c>
      <c r="J402" s="258">
        <v>0</v>
      </c>
      <c r="K402" s="259">
        <v>3</v>
      </c>
      <c r="L402" s="258">
        <v>5250000</v>
      </c>
      <c r="M402" s="258">
        <v>0</v>
      </c>
      <c r="N402" s="258">
        <v>0</v>
      </c>
      <c r="O402" s="258">
        <v>0</v>
      </c>
      <c r="P402" s="258">
        <v>0</v>
      </c>
      <c r="Q402" s="258">
        <v>0</v>
      </c>
      <c r="R402" s="258">
        <v>0</v>
      </c>
      <c r="S402" s="258">
        <v>0</v>
      </c>
      <c r="T402" s="258">
        <v>0</v>
      </c>
      <c r="U402" s="258">
        <v>0</v>
      </c>
      <c r="V402" s="258">
        <v>0</v>
      </c>
      <c r="W402" s="258">
        <v>0</v>
      </c>
      <c r="X402" s="258">
        <v>0</v>
      </c>
      <c r="Y402" s="258">
        <v>0</v>
      </c>
      <c r="Z402" s="258">
        <v>0</v>
      </c>
      <c r="AA402" s="258">
        <v>0</v>
      </c>
      <c r="AB402" s="260">
        <v>2020</v>
      </c>
    </row>
    <row r="403" spans="1:28" s="6" customFormat="1" ht="35.25" customHeight="1" x14ac:dyDescent="0.5">
      <c r="A403" s="6">
        <v>1</v>
      </c>
      <c r="B403" s="225">
        <f>SUBTOTAL(103,$A$7:A403)</f>
        <v>388</v>
      </c>
      <c r="C403" s="254" t="s">
        <v>1845</v>
      </c>
      <c r="D403" s="255">
        <f t="shared" si="19"/>
        <v>3840000</v>
      </c>
      <c r="E403" s="258">
        <v>0</v>
      </c>
      <c r="F403" s="258">
        <v>0</v>
      </c>
      <c r="G403" s="258">
        <v>0</v>
      </c>
      <c r="H403" s="258">
        <v>0</v>
      </c>
      <c r="I403" s="258">
        <v>0</v>
      </c>
      <c r="J403" s="258">
        <v>0</v>
      </c>
      <c r="K403" s="259">
        <v>2</v>
      </c>
      <c r="L403" s="258">
        <v>3840000</v>
      </c>
      <c r="M403" s="258">
        <v>0</v>
      </c>
      <c r="N403" s="258">
        <v>0</v>
      </c>
      <c r="O403" s="258">
        <v>0</v>
      </c>
      <c r="P403" s="258">
        <v>0</v>
      </c>
      <c r="Q403" s="258">
        <v>0</v>
      </c>
      <c r="R403" s="258">
        <v>0</v>
      </c>
      <c r="S403" s="258">
        <v>0</v>
      </c>
      <c r="T403" s="258">
        <v>0</v>
      </c>
      <c r="U403" s="258">
        <v>0</v>
      </c>
      <c r="V403" s="258">
        <v>0</v>
      </c>
      <c r="W403" s="258">
        <v>0</v>
      </c>
      <c r="X403" s="258">
        <v>0</v>
      </c>
      <c r="Y403" s="258">
        <v>0</v>
      </c>
      <c r="Z403" s="258">
        <v>0</v>
      </c>
      <c r="AA403" s="258">
        <v>0</v>
      </c>
      <c r="AB403" s="260">
        <v>2020</v>
      </c>
    </row>
    <row r="404" spans="1:28" s="6" customFormat="1" ht="35.25" customHeight="1" x14ac:dyDescent="0.5">
      <c r="A404" s="6">
        <v>1</v>
      </c>
      <c r="B404" s="225">
        <f>SUBTOTAL(103,$A$7:A404)</f>
        <v>389</v>
      </c>
      <c r="C404" s="254" t="s">
        <v>2169</v>
      </c>
      <c r="D404" s="255">
        <f t="shared" si="19"/>
        <v>243223.66</v>
      </c>
      <c r="E404" s="258">
        <v>0</v>
      </c>
      <c r="F404" s="258">
        <v>154803</v>
      </c>
      <c r="G404" s="258">
        <v>0</v>
      </c>
      <c r="H404" s="258">
        <v>0</v>
      </c>
      <c r="I404" s="258">
        <v>0</v>
      </c>
      <c r="J404" s="258">
        <v>88420.66</v>
      </c>
      <c r="K404" s="259">
        <v>0</v>
      </c>
      <c r="L404" s="258">
        <v>0</v>
      </c>
      <c r="M404" s="258">
        <v>0</v>
      </c>
      <c r="N404" s="258">
        <v>0</v>
      </c>
      <c r="O404" s="258">
        <v>0</v>
      </c>
      <c r="P404" s="258">
        <v>0</v>
      </c>
      <c r="Q404" s="258">
        <v>0</v>
      </c>
      <c r="R404" s="258">
        <v>0</v>
      </c>
      <c r="S404" s="258">
        <v>0</v>
      </c>
      <c r="T404" s="258">
        <v>0</v>
      </c>
      <c r="U404" s="258">
        <v>0</v>
      </c>
      <c r="V404" s="258">
        <v>0</v>
      </c>
      <c r="W404" s="258">
        <v>0</v>
      </c>
      <c r="X404" s="258">
        <v>0</v>
      </c>
      <c r="Y404" s="258">
        <v>0</v>
      </c>
      <c r="Z404" s="258">
        <v>0</v>
      </c>
      <c r="AA404" s="258">
        <v>0</v>
      </c>
      <c r="AB404" s="260">
        <v>2020</v>
      </c>
    </row>
    <row r="405" spans="1:28" s="6" customFormat="1" ht="35.25" customHeight="1" x14ac:dyDescent="0.5">
      <c r="A405" s="6">
        <v>1</v>
      </c>
      <c r="B405" s="225">
        <f>SUBTOTAL(103,$A$7:A405)</f>
        <v>390</v>
      </c>
      <c r="C405" s="254" t="s">
        <v>1833</v>
      </c>
      <c r="D405" s="255">
        <f t="shared" si="19"/>
        <v>228600</v>
      </c>
      <c r="E405" s="258">
        <v>0</v>
      </c>
      <c r="F405" s="258">
        <v>0</v>
      </c>
      <c r="G405" s="258">
        <v>0</v>
      </c>
      <c r="H405" s="258">
        <v>0</v>
      </c>
      <c r="I405" s="258">
        <v>0</v>
      </c>
      <c r="J405" s="258">
        <v>0</v>
      </c>
      <c r="K405" s="259">
        <v>0</v>
      </c>
      <c r="L405" s="258">
        <v>0</v>
      </c>
      <c r="M405" s="258">
        <v>0</v>
      </c>
      <c r="N405" s="258">
        <v>0</v>
      </c>
      <c r="O405" s="258">
        <v>228600</v>
      </c>
      <c r="P405" s="258">
        <v>0</v>
      </c>
      <c r="Q405" s="258">
        <v>0</v>
      </c>
      <c r="R405" s="258">
        <v>0</v>
      </c>
      <c r="S405" s="258">
        <v>0</v>
      </c>
      <c r="T405" s="258">
        <v>0</v>
      </c>
      <c r="U405" s="258">
        <v>0</v>
      </c>
      <c r="V405" s="258">
        <v>0</v>
      </c>
      <c r="W405" s="258">
        <v>0</v>
      </c>
      <c r="X405" s="258">
        <v>0</v>
      </c>
      <c r="Y405" s="258">
        <v>0</v>
      </c>
      <c r="Z405" s="258">
        <v>0</v>
      </c>
      <c r="AA405" s="258">
        <v>0</v>
      </c>
      <c r="AB405" s="260">
        <v>2020</v>
      </c>
    </row>
    <row r="406" spans="1:28" s="6" customFormat="1" ht="35.25" customHeight="1" x14ac:dyDescent="0.5">
      <c r="A406" s="6">
        <v>1</v>
      </c>
      <c r="B406" s="225">
        <f>SUBTOTAL(103,$A$7:A406)</f>
        <v>391</v>
      </c>
      <c r="C406" s="254" t="s">
        <v>2170</v>
      </c>
      <c r="D406" s="255">
        <f t="shared" si="19"/>
        <v>590355.86</v>
      </c>
      <c r="E406" s="258">
        <v>0</v>
      </c>
      <c r="F406" s="258">
        <v>0</v>
      </c>
      <c r="G406" s="258">
        <v>0</v>
      </c>
      <c r="H406" s="258">
        <v>0</v>
      </c>
      <c r="I406" s="258">
        <v>0</v>
      </c>
      <c r="J406" s="258">
        <v>0</v>
      </c>
      <c r="K406" s="259">
        <v>0</v>
      </c>
      <c r="L406" s="258">
        <v>0</v>
      </c>
      <c r="M406" s="258">
        <v>0</v>
      </c>
      <c r="N406" s="258">
        <v>0</v>
      </c>
      <c r="O406" s="258">
        <v>590355.86</v>
      </c>
      <c r="P406" s="258">
        <v>0</v>
      </c>
      <c r="Q406" s="258">
        <v>0</v>
      </c>
      <c r="R406" s="258">
        <v>0</v>
      </c>
      <c r="S406" s="258">
        <v>0</v>
      </c>
      <c r="T406" s="258">
        <v>0</v>
      </c>
      <c r="U406" s="258">
        <v>0</v>
      </c>
      <c r="V406" s="258">
        <v>0</v>
      </c>
      <c r="W406" s="258">
        <v>0</v>
      </c>
      <c r="X406" s="258">
        <v>0</v>
      </c>
      <c r="Y406" s="258">
        <v>0</v>
      </c>
      <c r="Z406" s="258">
        <v>0</v>
      </c>
      <c r="AA406" s="258">
        <v>0</v>
      </c>
      <c r="AB406" s="260">
        <v>2020</v>
      </c>
    </row>
    <row r="407" spans="1:28" s="6" customFormat="1" ht="35.25" customHeight="1" x14ac:dyDescent="0.5">
      <c r="A407" s="6">
        <v>1</v>
      </c>
      <c r="B407" s="225">
        <f>SUBTOTAL(103,$A$7:A407)</f>
        <v>392</v>
      </c>
      <c r="C407" s="254" t="s">
        <v>2171</v>
      </c>
      <c r="D407" s="255">
        <f t="shared" si="19"/>
        <v>245204</v>
      </c>
      <c r="E407" s="258">
        <v>0</v>
      </c>
      <c r="F407" s="258">
        <v>0</v>
      </c>
      <c r="G407" s="258">
        <v>0</v>
      </c>
      <c r="H407" s="258">
        <v>0</v>
      </c>
      <c r="I407" s="258">
        <v>0</v>
      </c>
      <c r="J407" s="258">
        <v>0</v>
      </c>
      <c r="K407" s="259">
        <v>0</v>
      </c>
      <c r="L407" s="258">
        <v>0</v>
      </c>
      <c r="M407" s="258">
        <v>245204</v>
      </c>
      <c r="N407" s="258">
        <v>0</v>
      </c>
      <c r="O407" s="258">
        <v>0</v>
      </c>
      <c r="P407" s="258">
        <v>0</v>
      </c>
      <c r="Q407" s="258">
        <v>0</v>
      </c>
      <c r="R407" s="258">
        <v>0</v>
      </c>
      <c r="S407" s="258">
        <v>0</v>
      </c>
      <c r="T407" s="258">
        <v>0</v>
      </c>
      <c r="U407" s="258">
        <v>0</v>
      </c>
      <c r="V407" s="258">
        <v>0</v>
      </c>
      <c r="W407" s="258">
        <v>0</v>
      </c>
      <c r="X407" s="258">
        <v>0</v>
      </c>
      <c r="Y407" s="258">
        <v>0</v>
      </c>
      <c r="Z407" s="258">
        <v>0</v>
      </c>
      <c r="AA407" s="258">
        <v>0</v>
      </c>
      <c r="AB407" s="260">
        <v>2020</v>
      </c>
    </row>
    <row r="408" spans="1:28" s="6" customFormat="1" ht="35.25" customHeight="1" x14ac:dyDescent="0.5">
      <c r="A408" s="6">
        <v>1</v>
      </c>
      <c r="B408" s="225">
        <f>SUBTOTAL(103,$A$7:A408)</f>
        <v>393</v>
      </c>
      <c r="C408" s="254" t="s">
        <v>2172</v>
      </c>
      <c r="D408" s="255">
        <f>E408+F408+G408+H408+I408+J408+L408+M408+N408+O408+P408+Q408+R408+S408+T408+U408+V408+W408+X408+Y408+Z408+AA408</f>
        <v>320012</v>
      </c>
      <c r="E408" s="258">
        <v>0</v>
      </c>
      <c r="F408" s="258">
        <v>0</v>
      </c>
      <c r="G408" s="258">
        <v>0</v>
      </c>
      <c r="H408" s="258">
        <v>0</v>
      </c>
      <c r="I408" s="258">
        <v>0</v>
      </c>
      <c r="J408" s="258">
        <v>0</v>
      </c>
      <c r="K408" s="259">
        <v>0</v>
      </c>
      <c r="L408" s="258">
        <v>0</v>
      </c>
      <c r="M408" s="258">
        <v>0</v>
      </c>
      <c r="N408" s="258">
        <v>0</v>
      </c>
      <c r="O408" s="258">
        <v>320012</v>
      </c>
      <c r="P408" s="258">
        <v>0</v>
      </c>
      <c r="Q408" s="258">
        <v>0</v>
      </c>
      <c r="R408" s="258">
        <v>0</v>
      </c>
      <c r="S408" s="258">
        <v>0</v>
      </c>
      <c r="T408" s="258">
        <v>0</v>
      </c>
      <c r="U408" s="258">
        <v>0</v>
      </c>
      <c r="V408" s="258">
        <v>0</v>
      </c>
      <c r="W408" s="258">
        <v>0</v>
      </c>
      <c r="X408" s="258">
        <v>0</v>
      </c>
      <c r="Y408" s="258">
        <v>0</v>
      </c>
      <c r="Z408" s="258">
        <v>0</v>
      </c>
      <c r="AA408" s="258">
        <v>0</v>
      </c>
      <c r="AB408" s="260">
        <v>2020</v>
      </c>
    </row>
    <row r="409" spans="1:28" s="6" customFormat="1" ht="35.25" customHeight="1" x14ac:dyDescent="0.5">
      <c r="A409" s="6">
        <v>1</v>
      </c>
      <c r="B409" s="225">
        <f>SUBTOTAL(103,$A$7:A409)</f>
        <v>394</v>
      </c>
      <c r="C409" s="254" t="s">
        <v>2173</v>
      </c>
      <c r="D409" s="255">
        <f>E409+F409+G409+H409+I409+J409+L409+M409+N409+O409+P409+Q409+R409+S409+T409+U409+V409+W409+X409+Y409+Z409+AA409</f>
        <v>810000</v>
      </c>
      <c r="E409" s="258">
        <v>0</v>
      </c>
      <c r="F409" s="258">
        <v>0</v>
      </c>
      <c r="G409" s="258">
        <v>0</v>
      </c>
      <c r="H409" s="258">
        <v>0</v>
      </c>
      <c r="I409" s="258">
        <v>0</v>
      </c>
      <c r="J409" s="258">
        <v>0</v>
      </c>
      <c r="K409" s="259">
        <v>0</v>
      </c>
      <c r="L409" s="258">
        <v>0</v>
      </c>
      <c r="M409" s="258">
        <v>810000</v>
      </c>
      <c r="N409" s="258">
        <v>0</v>
      </c>
      <c r="O409" s="258">
        <v>0</v>
      </c>
      <c r="P409" s="258">
        <v>0</v>
      </c>
      <c r="Q409" s="258">
        <v>0</v>
      </c>
      <c r="R409" s="258">
        <v>0</v>
      </c>
      <c r="S409" s="258">
        <v>0</v>
      </c>
      <c r="T409" s="258">
        <v>0</v>
      </c>
      <c r="U409" s="258">
        <v>0</v>
      </c>
      <c r="V409" s="258">
        <v>0</v>
      </c>
      <c r="W409" s="258">
        <v>0</v>
      </c>
      <c r="X409" s="258">
        <v>0</v>
      </c>
      <c r="Y409" s="258">
        <v>0</v>
      </c>
      <c r="Z409" s="258">
        <v>0</v>
      </c>
      <c r="AA409" s="258">
        <v>0</v>
      </c>
      <c r="AB409" s="260">
        <v>2020</v>
      </c>
    </row>
    <row r="410" spans="1:28" s="6" customFormat="1" ht="35.25" customHeight="1" x14ac:dyDescent="0.5">
      <c r="A410" s="6">
        <v>1</v>
      </c>
      <c r="B410" s="225">
        <f>SUBTOTAL(103,$A$7:A410)</f>
        <v>395</v>
      </c>
      <c r="C410" s="254" t="s">
        <v>2174</v>
      </c>
      <c r="D410" s="255">
        <f>E410+F410+G410+H410+I410+J410+L410+M410+N410+O410+P410+Q410+R410+S410+T410+U410+V410+W410+X410+Y410+Z410+AA410</f>
        <v>516711.62</v>
      </c>
      <c r="E410" s="258">
        <v>0</v>
      </c>
      <c r="F410" s="258">
        <v>161097.25</v>
      </c>
      <c r="G410" s="258">
        <v>0</v>
      </c>
      <c r="H410" s="258">
        <v>84774.9</v>
      </c>
      <c r="I410" s="258">
        <v>0</v>
      </c>
      <c r="J410" s="258">
        <v>0</v>
      </c>
      <c r="K410" s="259">
        <v>0</v>
      </c>
      <c r="L410" s="258">
        <v>0</v>
      </c>
      <c r="M410" s="258">
        <v>0</v>
      </c>
      <c r="N410" s="258">
        <v>0</v>
      </c>
      <c r="O410" s="258">
        <v>270839.46999999997</v>
      </c>
      <c r="P410" s="258">
        <v>0</v>
      </c>
      <c r="Q410" s="258">
        <v>0</v>
      </c>
      <c r="R410" s="258">
        <v>0</v>
      </c>
      <c r="S410" s="258">
        <v>0</v>
      </c>
      <c r="T410" s="258">
        <v>0</v>
      </c>
      <c r="U410" s="258">
        <v>0</v>
      </c>
      <c r="V410" s="258">
        <v>0</v>
      </c>
      <c r="W410" s="258">
        <v>0</v>
      </c>
      <c r="X410" s="258">
        <v>0</v>
      </c>
      <c r="Y410" s="258">
        <v>0</v>
      </c>
      <c r="Z410" s="258">
        <v>0</v>
      </c>
      <c r="AA410" s="258">
        <v>0</v>
      </c>
      <c r="AB410" s="260">
        <v>2020</v>
      </c>
    </row>
    <row r="411" spans="1:28" s="6" customFormat="1" ht="35.25" customHeight="1" x14ac:dyDescent="0.5">
      <c r="A411" s="6">
        <v>1</v>
      </c>
      <c r="B411" s="225">
        <f>SUBTOTAL(103,$A$7:A411)</f>
        <v>396</v>
      </c>
      <c r="C411" s="254" t="s">
        <v>2175</v>
      </c>
      <c r="D411" s="255">
        <f t="shared" ref="D411:D418" si="20">E411+F411+G411+H411+I411+J411+L411+M411+N411+O411+P411+Q411+R411+S411+T411+U411+V411+W411+X411+Y411+Z411+AA411</f>
        <v>616011.84</v>
      </c>
      <c r="E411" s="258">
        <v>0</v>
      </c>
      <c r="F411" s="258">
        <v>0</v>
      </c>
      <c r="G411" s="258">
        <v>616011.84</v>
      </c>
      <c r="H411" s="258">
        <v>0</v>
      </c>
      <c r="I411" s="258">
        <v>0</v>
      </c>
      <c r="J411" s="258">
        <v>0</v>
      </c>
      <c r="K411" s="259">
        <v>0</v>
      </c>
      <c r="L411" s="258">
        <v>0</v>
      </c>
      <c r="M411" s="258">
        <v>0</v>
      </c>
      <c r="N411" s="258">
        <v>0</v>
      </c>
      <c r="O411" s="258">
        <v>0</v>
      </c>
      <c r="P411" s="258">
        <v>0</v>
      </c>
      <c r="Q411" s="258">
        <v>0</v>
      </c>
      <c r="R411" s="258">
        <v>0</v>
      </c>
      <c r="S411" s="258">
        <v>0</v>
      </c>
      <c r="T411" s="258">
        <v>0</v>
      </c>
      <c r="U411" s="258">
        <v>0</v>
      </c>
      <c r="V411" s="258">
        <v>0</v>
      </c>
      <c r="W411" s="258">
        <v>0</v>
      </c>
      <c r="X411" s="258">
        <v>0</v>
      </c>
      <c r="Y411" s="258">
        <v>0</v>
      </c>
      <c r="Z411" s="258">
        <v>0</v>
      </c>
      <c r="AA411" s="258">
        <v>0</v>
      </c>
      <c r="AB411" s="260">
        <v>2020</v>
      </c>
    </row>
    <row r="412" spans="1:28" s="6" customFormat="1" ht="35.25" customHeight="1" x14ac:dyDescent="0.5">
      <c r="A412" s="6">
        <v>1</v>
      </c>
      <c r="B412" s="225">
        <f>SUBTOTAL(103,$A$7:A412)</f>
        <v>397</v>
      </c>
      <c r="C412" s="254" t="s">
        <v>2176</v>
      </c>
      <c r="D412" s="255">
        <f t="shared" si="20"/>
        <v>190271</v>
      </c>
      <c r="E412" s="258">
        <v>0</v>
      </c>
      <c r="F412" s="258">
        <v>0</v>
      </c>
      <c r="G412" s="258">
        <v>0</v>
      </c>
      <c r="H412" s="258">
        <v>0</v>
      </c>
      <c r="I412" s="258">
        <v>11358</v>
      </c>
      <c r="J412" s="258">
        <v>0</v>
      </c>
      <c r="K412" s="259">
        <v>0</v>
      </c>
      <c r="L412" s="258">
        <v>0</v>
      </c>
      <c r="M412" s="258">
        <v>0</v>
      </c>
      <c r="N412" s="258">
        <v>0</v>
      </c>
      <c r="O412" s="258">
        <v>178913</v>
      </c>
      <c r="P412" s="258">
        <v>0</v>
      </c>
      <c r="Q412" s="258">
        <v>0</v>
      </c>
      <c r="R412" s="258">
        <v>0</v>
      </c>
      <c r="S412" s="258">
        <v>0</v>
      </c>
      <c r="T412" s="258">
        <v>0</v>
      </c>
      <c r="U412" s="258">
        <v>0</v>
      </c>
      <c r="V412" s="258">
        <v>0</v>
      </c>
      <c r="W412" s="258">
        <v>0</v>
      </c>
      <c r="X412" s="258">
        <v>0</v>
      </c>
      <c r="Y412" s="258">
        <v>0</v>
      </c>
      <c r="Z412" s="258">
        <v>0</v>
      </c>
      <c r="AA412" s="258">
        <v>0</v>
      </c>
      <c r="AB412" s="260">
        <v>2020</v>
      </c>
    </row>
    <row r="413" spans="1:28" s="6" customFormat="1" ht="35.25" customHeight="1" x14ac:dyDescent="0.5">
      <c r="A413" s="6">
        <v>1</v>
      </c>
      <c r="B413" s="225">
        <f>SUBTOTAL(103,$A$7:A413)</f>
        <v>398</v>
      </c>
      <c r="C413" s="254" t="s">
        <v>2177</v>
      </c>
      <c r="D413" s="255">
        <f t="shared" si="20"/>
        <v>1310000</v>
      </c>
      <c r="E413" s="258">
        <v>0</v>
      </c>
      <c r="F413" s="258">
        <v>0</v>
      </c>
      <c r="G413" s="258">
        <v>0</v>
      </c>
      <c r="H413" s="258">
        <v>0</v>
      </c>
      <c r="I413" s="258">
        <v>0</v>
      </c>
      <c r="J413" s="258">
        <v>0</v>
      </c>
      <c r="K413" s="259">
        <v>0</v>
      </c>
      <c r="L413" s="258">
        <v>0</v>
      </c>
      <c r="M413" s="258">
        <v>1310000</v>
      </c>
      <c r="N413" s="258">
        <v>0</v>
      </c>
      <c r="O413" s="258">
        <v>0</v>
      </c>
      <c r="P413" s="258">
        <v>0</v>
      </c>
      <c r="Q413" s="258">
        <v>0</v>
      </c>
      <c r="R413" s="258">
        <v>0</v>
      </c>
      <c r="S413" s="258">
        <v>0</v>
      </c>
      <c r="T413" s="258">
        <v>0</v>
      </c>
      <c r="U413" s="258">
        <v>0</v>
      </c>
      <c r="V413" s="258">
        <v>0</v>
      </c>
      <c r="W413" s="258">
        <v>0</v>
      </c>
      <c r="X413" s="258">
        <v>0</v>
      </c>
      <c r="Y413" s="258">
        <v>0</v>
      </c>
      <c r="Z413" s="258">
        <v>0</v>
      </c>
      <c r="AA413" s="258">
        <v>0</v>
      </c>
      <c r="AB413" s="260">
        <v>2020</v>
      </c>
    </row>
    <row r="414" spans="1:28" s="6" customFormat="1" ht="35.25" customHeight="1" x14ac:dyDescent="0.5">
      <c r="A414" s="6">
        <v>1</v>
      </c>
      <c r="B414" s="225">
        <f>SUBTOTAL(103,$A$7:A414)</f>
        <v>399</v>
      </c>
      <c r="C414" s="254" t="s">
        <v>2178</v>
      </c>
      <c r="D414" s="255">
        <f t="shared" si="20"/>
        <v>157762.79999999999</v>
      </c>
      <c r="E414" s="258">
        <v>31116.9</v>
      </c>
      <c r="F414" s="258">
        <v>0</v>
      </c>
      <c r="G414" s="258">
        <v>0</v>
      </c>
      <c r="H414" s="258">
        <v>0</v>
      </c>
      <c r="I414" s="258">
        <v>0</v>
      </c>
      <c r="J414" s="258">
        <v>0</v>
      </c>
      <c r="K414" s="259">
        <v>0</v>
      </c>
      <c r="L414" s="258">
        <v>0</v>
      </c>
      <c r="M414" s="258">
        <v>126645.9</v>
      </c>
      <c r="N414" s="258">
        <v>0</v>
      </c>
      <c r="O414" s="258">
        <v>0</v>
      </c>
      <c r="P414" s="258">
        <v>0</v>
      </c>
      <c r="Q414" s="258">
        <v>0</v>
      </c>
      <c r="R414" s="258">
        <v>0</v>
      </c>
      <c r="S414" s="258">
        <v>0</v>
      </c>
      <c r="T414" s="258">
        <v>0</v>
      </c>
      <c r="U414" s="258">
        <v>0</v>
      </c>
      <c r="V414" s="258">
        <v>0</v>
      </c>
      <c r="W414" s="258">
        <v>0</v>
      </c>
      <c r="X414" s="258">
        <v>0</v>
      </c>
      <c r="Y414" s="258">
        <v>0</v>
      </c>
      <c r="Z414" s="258">
        <v>0</v>
      </c>
      <c r="AA414" s="258">
        <v>0</v>
      </c>
      <c r="AB414" s="260">
        <v>2020</v>
      </c>
    </row>
    <row r="415" spans="1:28" s="6" customFormat="1" ht="35.25" customHeight="1" x14ac:dyDescent="0.5">
      <c r="A415" s="6">
        <v>1</v>
      </c>
      <c r="B415" s="225">
        <f>SUBTOTAL(103,$A$7:A415)</f>
        <v>400</v>
      </c>
      <c r="C415" s="254" t="s">
        <v>2179</v>
      </c>
      <c r="D415" s="255">
        <f t="shared" si="20"/>
        <v>227500</v>
      </c>
      <c r="E415" s="258">
        <v>0</v>
      </c>
      <c r="F415" s="258">
        <v>0</v>
      </c>
      <c r="G415" s="258">
        <v>0</v>
      </c>
      <c r="H415" s="258">
        <v>0</v>
      </c>
      <c r="I415" s="258">
        <v>0</v>
      </c>
      <c r="J415" s="258">
        <v>0</v>
      </c>
      <c r="K415" s="259">
        <v>0</v>
      </c>
      <c r="L415" s="258">
        <v>0</v>
      </c>
      <c r="M415" s="258">
        <v>227500</v>
      </c>
      <c r="N415" s="258">
        <v>0</v>
      </c>
      <c r="O415" s="258">
        <v>0</v>
      </c>
      <c r="P415" s="258">
        <v>0</v>
      </c>
      <c r="Q415" s="258">
        <v>0</v>
      </c>
      <c r="R415" s="258">
        <v>0</v>
      </c>
      <c r="S415" s="258">
        <v>0</v>
      </c>
      <c r="T415" s="258">
        <v>0</v>
      </c>
      <c r="U415" s="258">
        <v>0</v>
      </c>
      <c r="V415" s="258">
        <v>0</v>
      </c>
      <c r="W415" s="258">
        <v>0</v>
      </c>
      <c r="X415" s="258">
        <v>0</v>
      </c>
      <c r="Y415" s="258">
        <v>0</v>
      </c>
      <c r="Z415" s="258">
        <v>0</v>
      </c>
      <c r="AA415" s="258">
        <v>0</v>
      </c>
      <c r="AB415" s="260">
        <v>2020</v>
      </c>
    </row>
    <row r="416" spans="1:28" s="6" customFormat="1" ht="35.25" customHeight="1" x14ac:dyDescent="0.5">
      <c r="A416" s="6">
        <v>1</v>
      </c>
      <c r="B416" s="225">
        <f>SUBTOTAL(103,$A$7:A416)</f>
        <v>401</v>
      </c>
      <c r="C416" s="254" t="s">
        <v>2180</v>
      </c>
      <c r="D416" s="255">
        <f t="shared" si="20"/>
        <v>260392.57</v>
      </c>
      <c r="E416" s="258">
        <v>0</v>
      </c>
      <c r="F416" s="258">
        <v>0</v>
      </c>
      <c r="G416" s="258">
        <v>0</v>
      </c>
      <c r="H416" s="258">
        <v>0</v>
      </c>
      <c r="I416" s="258">
        <v>0</v>
      </c>
      <c r="J416" s="258">
        <v>0</v>
      </c>
      <c r="K416" s="259">
        <v>0</v>
      </c>
      <c r="L416" s="258">
        <v>0</v>
      </c>
      <c r="M416" s="258">
        <v>0</v>
      </c>
      <c r="N416" s="258">
        <v>260392.57</v>
      </c>
      <c r="O416" s="258">
        <v>0</v>
      </c>
      <c r="P416" s="258">
        <v>0</v>
      </c>
      <c r="Q416" s="258">
        <v>0</v>
      </c>
      <c r="R416" s="258">
        <v>0</v>
      </c>
      <c r="S416" s="258">
        <v>0</v>
      </c>
      <c r="T416" s="258">
        <v>0</v>
      </c>
      <c r="U416" s="258">
        <v>0</v>
      </c>
      <c r="V416" s="258">
        <v>0</v>
      </c>
      <c r="W416" s="258">
        <v>0</v>
      </c>
      <c r="X416" s="258">
        <v>0</v>
      </c>
      <c r="Y416" s="258">
        <v>0</v>
      </c>
      <c r="Z416" s="258">
        <v>0</v>
      </c>
      <c r="AA416" s="258">
        <v>0</v>
      </c>
      <c r="AB416" s="260">
        <v>2020</v>
      </c>
    </row>
    <row r="417" spans="1:28" s="6" customFormat="1" ht="35.25" customHeight="1" x14ac:dyDescent="0.5">
      <c r="A417" s="6">
        <v>1</v>
      </c>
      <c r="B417" s="225">
        <f>SUBTOTAL(103,$A$7:A417)</f>
        <v>402</v>
      </c>
      <c r="C417" s="254" t="s">
        <v>2181</v>
      </c>
      <c r="D417" s="255">
        <f t="shared" si="20"/>
        <v>140197.16</v>
      </c>
      <c r="E417" s="258">
        <v>85000</v>
      </c>
      <c r="F417" s="258">
        <v>0</v>
      </c>
      <c r="G417" s="258">
        <v>0</v>
      </c>
      <c r="H417" s="258">
        <v>0</v>
      </c>
      <c r="I417" s="258">
        <v>0</v>
      </c>
      <c r="J417" s="258">
        <v>0</v>
      </c>
      <c r="K417" s="259">
        <v>0</v>
      </c>
      <c r="L417" s="258">
        <v>0</v>
      </c>
      <c r="M417" s="258">
        <v>55197.16</v>
      </c>
      <c r="N417" s="258">
        <v>0</v>
      </c>
      <c r="O417" s="258">
        <v>0</v>
      </c>
      <c r="P417" s="258">
        <v>0</v>
      </c>
      <c r="Q417" s="258">
        <v>0</v>
      </c>
      <c r="R417" s="258">
        <v>0</v>
      </c>
      <c r="S417" s="258">
        <v>0</v>
      </c>
      <c r="T417" s="258">
        <v>0</v>
      </c>
      <c r="U417" s="258">
        <v>0</v>
      </c>
      <c r="V417" s="258">
        <v>0</v>
      </c>
      <c r="W417" s="258">
        <v>0</v>
      </c>
      <c r="X417" s="258">
        <v>0</v>
      </c>
      <c r="Y417" s="258">
        <v>0</v>
      </c>
      <c r="Z417" s="258">
        <v>0</v>
      </c>
      <c r="AA417" s="258">
        <v>0</v>
      </c>
      <c r="AB417" s="260">
        <v>2020</v>
      </c>
    </row>
    <row r="418" spans="1:28" s="6" customFormat="1" ht="35.25" customHeight="1" x14ac:dyDescent="0.5">
      <c r="A418" s="6">
        <v>1</v>
      </c>
      <c r="B418" s="225">
        <f>SUBTOTAL(103,$A$7:A418)</f>
        <v>403</v>
      </c>
      <c r="C418" s="254" t="s">
        <v>2182</v>
      </c>
      <c r="D418" s="255">
        <f t="shared" si="20"/>
        <v>374617</v>
      </c>
      <c r="E418" s="258">
        <v>187308.5</v>
      </c>
      <c r="F418" s="258">
        <v>187308.5</v>
      </c>
      <c r="G418" s="258">
        <v>0</v>
      </c>
      <c r="H418" s="258">
        <v>0</v>
      </c>
      <c r="I418" s="258">
        <v>0</v>
      </c>
      <c r="J418" s="258">
        <v>0</v>
      </c>
      <c r="K418" s="259">
        <v>0</v>
      </c>
      <c r="L418" s="258">
        <v>0</v>
      </c>
      <c r="M418" s="258">
        <v>0</v>
      </c>
      <c r="N418" s="258">
        <v>0</v>
      </c>
      <c r="O418" s="258">
        <v>0</v>
      </c>
      <c r="P418" s="258">
        <v>0</v>
      </c>
      <c r="Q418" s="258">
        <v>0</v>
      </c>
      <c r="R418" s="258">
        <v>0</v>
      </c>
      <c r="S418" s="258">
        <v>0</v>
      </c>
      <c r="T418" s="258">
        <v>0</v>
      </c>
      <c r="U418" s="258">
        <v>0</v>
      </c>
      <c r="V418" s="258">
        <v>0</v>
      </c>
      <c r="W418" s="258">
        <v>0</v>
      </c>
      <c r="X418" s="258">
        <v>0</v>
      </c>
      <c r="Y418" s="258">
        <v>0</v>
      </c>
      <c r="Z418" s="258">
        <v>0</v>
      </c>
      <c r="AA418" s="258">
        <v>0</v>
      </c>
      <c r="AB418" s="260">
        <v>2020</v>
      </c>
    </row>
    <row r="419" spans="1:28" s="6" customFormat="1" ht="35.25" customHeight="1" x14ac:dyDescent="0.5">
      <c r="A419" s="6">
        <v>1</v>
      </c>
      <c r="B419" s="225">
        <f>SUBTOTAL(103,$A$7:A419)</f>
        <v>404</v>
      </c>
      <c r="C419" s="254" t="s">
        <v>2183</v>
      </c>
      <c r="D419" s="255">
        <f>E419+F419+G419+H419+I419+J419+L419+M419+N419+O419+P419+Q419+R419+S419+T419+U419+V419+W419+X419+Y419+Z419+AA419</f>
        <v>79041</v>
      </c>
      <c r="E419" s="258">
        <v>0</v>
      </c>
      <c r="F419" s="258">
        <v>0</v>
      </c>
      <c r="G419" s="258">
        <v>79041</v>
      </c>
      <c r="H419" s="258">
        <v>0</v>
      </c>
      <c r="I419" s="258">
        <v>0</v>
      </c>
      <c r="J419" s="258">
        <v>0</v>
      </c>
      <c r="K419" s="259">
        <v>0</v>
      </c>
      <c r="L419" s="258">
        <v>0</v>
      </c>
      <c r="M419" s="258">
        <v>0</v>
      </c>
      <c r="N419" s="258">
        <v>0</v>
      </c>
      <c r="O419" s="258">
        <v>0</v>
      </c>
      <c r="P419" s="258">
        <v>0</v>
      </c>
      <c r="Q419" s="258">
        <v>0</v>
      </c>
      <c r="R419" s="258">
        <v>0</v>
      </c>
      <c r="S419" s="258">
        <v>0</v>
      </c>
      <c r="T419" s="258">
        <v>0</v>
      </c>
      <c r="U419" s="258">
        <v>0</v>
      </c>
      <c r="V419" s="258">
        <v>0</v>
      </c>
      <c r="W419" s="258">
        <v>0</v>
      </c>
      <c r="X419" s="258">
        <v>0</v>
      </c>
      <c r="Y419" s="258">
        <v>0</v>
      </c>
      <c r="Z419" s="258">
        <v>0</v>
      </c>
      <c r="AA419" s="258">
        <v>0</v>
      </c>
      <c r="AB419" s="260">
        <v>2020</v>
      </c>
    </row>
    <row r="420" spans="1:28" s="6" customFormat="1" ht="35.25" customHeight="1" x14ac:dyDescent="0.5">
      <c r="A420" s="6">
        <v>1</v>
      </c>
      <c r="B420" s="225">
        <f>SUBTOTAL(103,$A$7:A420)</f>
        <v>405</v>
      </c>
      <c r="C420" s="254" t="s">
        <v>2184</v>
      </c>
      <c r="D420" s="255">
        <f>E420+F420+G420+H420+I420+J420+L420+M420+N420+O420+P420+Q420+R420+S420+T420+U420+V420+W420+X420+Y420+Z420+AA420</f>
        <v>459221.82</v>
      </c>
      <c r="E420" s="258">
        <v>0</v>
      </c>
      <c r="F420" s="258">
        <v>0</v>
      </c>
      <c r="G420" s="258">
        <v>0</v>
      </c>
      <c r="H420" s="258">
        <v>0</v>
      </c>
      <c r="I420" s="258">
        <v>0</v>
      </c>
      <c r="J420" s="258">
        <v>0</v>
      </c>
      <c r="K420" s="259">
        <v>0</v>
      </c>
      <c r="L420" s="258">
        <v>0</v>
      </c>
      <c r="M420" s="258">
        <v>0</v>
      </c>
      <c r="N420" s="258">
        <v>0</v>
      </c>
      <c r="O420" s="258">
        <v>459221.82</v>
      </c>
      <c r="P420" s="258">
        <v>0</v>
      </c>
      <c r="Q420" s="258">
        <v>0</v>
      </c>
      <c r="R420" s="258">
        <v>0</v>
      </c>
      <c r="S420" s="258">
        <v>0</v>
      </c>
      <c r="T420" s="258">
        <v>0</v>
      </c>
      <c r="U420" s="258">
        <v>0</v>
      </c>
      <c r="V420" s="258">
        <v>0</v>
      </c>
      <c r="W420" s="258">
        <v>0</v>
      </c>
      <c r="X420" s="258">
        <v>0</v>
      </c>
      <c r="Y420" s="258">
        <v>0</v>
      </c>
      <c r="Z420" s="258">
        <v>0</v>
      </c>
      <c r="AA420" s="258">
        <v>0</v>
      </c>
      <c r="AB420" s="260">
        <v>2020</v>
      </c>
    </row>
    <row r="421" spans="1:28" s="6" customFormat="1" ht="35.25" customHeight="1" x14ac:dyDescent="0.5">
      <c r="A421" s="6">
        <v>1</v>
      </c>
      <c r="B421" s="225">
        <f>SUBTOTAL(103,$A$7:A421)</f>
        <v>406</v>
      </c>
      <c r="C421" s="254" t="s">
        <v>2385</v>
      </c>
      <c r="D421" s="255">
        <f t="shared" ref="D421:D432" si="21">E421+F421+G421+H421+I421+J421+L421+M421+N421+O421+P421+Q421+R421+S421+T421+U421+V421+W421+X421+Y421+Z421+AA421</f>
        <v>350602.74</v>
      </c>
      <c r="E421" s="258">
        <v>0</v>
      </c>
      <c r="F421" s="258">
        <v>0</v>
      </c>
      <c r="G421" s="258">
        <v>0</v>
      </c>
      <c r="H421" s="258">
        <v>0</v>
      </c>
      <c r="I421" s="258">
        <v>0</v>
      </c>
      <c r="J421" s="258">
        <v>0</v>
      </c>
      <c r="K421" s="259">
        <v>0</v>
      </c>
      <c r="L421" s="258">
        <v>0</v>
      </c>
      <c r="M421" s="258">
        <v>0</v>
      </c>
      <c r="N421" s="258">
        <v>0</v>
      </c>
      <c r="O421" s="258">
        <v>350602.74</v>
      </c>
      <c r="P421" s="258">
        <v>0</v>
      </c>
      <c r="Q421" s="258">
        <v>0</v>
      </c>
      <c r="R421" s="258">
        <v>0</v>
      </c>
      <c r="S421" s="258">
        <v>0</v>
      </c>
      <c r="T421" s="258">
        <v>0</v>
      </c>
      <c r="U421" s="258">
        <v>0</v>
      </c>
      <c r="V421" s="258">
        <v>0</v>
      </c>
      <c r="W421" s="258">
        <v>0</v>
      </c>
      <c r="X421" s="258">
        <v>0</v>
      </c>
      <c r="Y421" s="258">
        <v>0</v>
      </c>
      <c r="Z421" s="258">
        <v>0</v>
      </c>
      <c r="AA421" s="258">
        <v>0</v>
      </c>
      <c r="AB421" s="260">
        <v>2020</v>
      </c>
    </row>
    <row r="422" spans="1:28" s="6" customFormat="1" ht="35.25" customHeight="1" x14ac:dyDescent="0.5">
      <c r="A422" s="6">
        <v>1</v>
      </c>
      <c r="B422" s="225">
        <f>SUBTOTAL(103,$A$7:A422)</f>
        <v>407</v>
      </c>
      <c r="C422" s="254" t="s">
        <v>2386</v>
      </c>
      <c r="D422" s="255">
        <f t="shared" si="21"/>
        <v>286924.78999999998</v>
      </c>
      <c r="E422" s="258">
        <v>0</v>
      </c>
      <c r="F422" s="258">
        <v>0</v>
      </c>
      <c r="G422" s="258">
        <v>0</v>
      </c>
      <c r="H422" s="258">
        <v>286924.78999999998</v>
      </c>
      <c r="I422" s="258">
        <v>0</v>
      </c>
      <c r="J422" s="258">
        <v>0</v>
      </c>
      <c r="K422" s="259">
        <v>0</v>
      </c>
      <c r="L422" s="258">
        <v>0</v>
      </c>
      <c r="M422" s="258">
        <v>0</v>
      </c>
      <c r="N422" s="258">
        <v>0</v>
      </c>
      <c r="O422" s="258">
        <v>0</v>
      </c>
      <c r="P422" s="258">
        <v>0</v>
      </c>
      <c r="Q422" s="258">
        <v>0</v>
      </c>
      <c r="R422" s="258">
        <v>0</v>
      </c>
      <c r="S422" s="258">
        <v>0</v>
      </c>
      <c r="T422" s="258">
        <v>0</v>
      </c>
      <c r="U422" s="258">
        <v>0</v>
      </c>
      <c r="V422" s="258">
        <v>0</v>
      </c>
      <c r="W422" s="258">
        <v>0</v>
      </c>
      <c r="X422" s="258">
        <v>0</v>
      </c>
      <c r="Y422" s="258">
        <v>0</v>
      </c>
      <c r="Z422" s="258">
        <v>0</v>
      </c>
      <c r="AA422" s="258">
        <v>0</v>
      </c>
      <c r="AB422" s="260">
        <v>2020</v>
      </c>
    </row>
    <row r="423" spans="1:28" s="6" customFormat="1" ht="35.25" customHeight="1" x14ac:dyDescent="0.5">
      <c r="A423" s="6">
        <v>1</v>
      </c>
      <c r="B423" s="225">
        <f>SUBTOTAL(103,$A$7:A423)</f>
        <v>408</v>
      </c>
      <c r="C423" s="254" t="s">
        <v>2387</v>
      </c>
      <c r="D423" s="255">
        <f t="shared" si="21"/>
        <v>439885.27</v>
      </c>
      <c r="E423" s="258">
        <v>0</v>
      </c>
      <c r="F423" s="258">
        <v>439885.27</v>
      </c>
      <c r="G423" s="258">
        <v>0</v>
      </c>
      <c r="H423" s="258">
        <v>0</v>
      </c>
      <c r="I423" s="258">
        <v>0</v>
      </c>
      <c r="J423" s="258">
        <v>0</v>
      </c>
      <c r="K423" s="259">
        <v>0</v>
      </c>
      <c r="L423" s="258">
        <v>0</v>
      </c>
      <c r="M423" s="258">
        <v>0</v>
      </c>
      <c r="N423" s="258">
        <v>0</v>
      </c>
      <c r="O423" s="258">
        <v>0</v>
      </c>
      <c r="P423" s="258">
        <v>0</v>
      </c>
      <c r="Q423" s="258">
        <v>0</v>
      </c>
      <c r="R423" s="258">
        <v>0</v>
      </c>
      <c r="S423" s="258">
        <v>0</v>
      </c>
      <c r="T423" s="258">
        <v>0</v>
      </c>
      <c r="U423" s="258">
        <v>0</v>
      </c>
      <c r="V423" s="258">
        <v>0</v>
      </c>
      <c r="W423" s="258">
        <v>0</v>
      </c>
      <c r="X423" s="258">
        <v>0</v>
      </c>
      <c r="Y423" s="258">
        <v>0</v>
      </c>
      <c r="Z423" s="258">
        <v>0</v>
      </c>
      <c r="AA423" s="258">
        <v>0</v>
      </c>
      <c r="AB423" s="260">
        <v>2020</v>
      </c>
    </row>
    <row r="424" spans="1:28" s="6" customFormat="1" ht="35.25" customHeight="1" x14ac:dyDescent="0.5">
      <c r="A424" s="6">
        <v>1</v>
      </c>
      <c r="B424" s="225">
        <f>SUBTOTAL(103,$A$7:A424)</f>
        <v>409</v>
      </c>
      <c r="C424" s="254" t="s">
        <v>2388</v>
      </c>
      <c r="D424" s="255">
        <f t="shared" si="21"/>
        <v>222074</v>
      </c>
      <c r="E424" s="258">
        <v>0</v>
      </c>
      <c r="F424" s="258">
        <v>0</v>
      </c>
      <c r="G424" s="258">
        <v>0</v>
      </c>
      <c r="H424" s="258">
        <v>0</v>
      </c>
      <c r="I424" s="258">
        <v>0</v>
      </c>
      <c r="J424" s="258">
        <v>0</v>
      </c>
      <c r="K424" s="259">
        <v>0</v>
      </c>
      <c r="L424" s="258">
        <v>0</v>
      </c>
      <c r="M424" s="258">
        <v>0</v>
      </c>
      <c r="N424" s="258">
        <v>0</v>
      </c>
      <c r="O424" s="258">
        <v>222074</v>
      </c>
      <c r="P424" s="258">
        <v>0</v>
      </c>
      <c r="Q424" s="258">
        <v>0</v>
      </c>
      <c r="R424" s="258">
        <v>0</v>
      </c>
      <c r="S424" s="258">
        <v>0</v>
      </c>
      <c r="T424" s="258">
        <v>0</v>
      </c>
      <c r="U424" s="258">
        <v>0</v>
      </c>
      <c r="V424" s="258">
        <v>0</v>
      </c>
      <c r="W424" s="258">
        <v>0</v>
      </c>
      <c r="X424" s="258">
        <v>0</v>
      </c>
      <c r="Y424" s="258">
        <v>0</v>
      </c>
      <c r="Z424" s="258">
        <v>0</v>
      </c>
      <c r="AA424" s="258">
        <v>0</v>
      </c>
      <c r="AB424" s="260">
        <v>2020</v>
      </c>
    </row>
    <row r="425" spans="1:28" s="6" customFormat="1" ht="35.25" customHeight="1" x14ac:dyDescent="0.5">
      <c r="A425" s="6">
        <v>1</v>
      </c>
      <c r="B425" s="225">
        <f>SUBTOTAL(103,$A$7:A425)</f>
        <v>410</v>
      </c>
      <c r="C425" s="254" t="s">
        <v>2389</v>
      </c>
      <c r="D425" s="255">
        <f t="shared" si="21"/>
        <v>317206</v>
      </c>
      <c r="E425" s="258">
        <v>0</v>
      </c>
      <c r="F425" s="258">
        <v>0</v>
      </c>
      <c r="G425" s="258">
        <v>0</v>
      </c>
      <c r="H425" s="258">
        <v>0</v>
      </c>
      <c r="I425" s="258">
        <v>0</v>
      </c>
      <c r="J425" s="258">
        <v>0</v>
      </c>
      <c r="K425" s="259">
        <v>0</v>
      </c>
      <c r="L425" s="258">
        <v>0</v>
      </c>
      <c r="M425" s="258">
        <v>0</v>
      </c>
      <c r="N425" s="258">
        <v>317206</v>
      </c>
      <c r="O425" s="258">
        <v>0</v>
      </c>
      <c r="P425" s="258">
        <v>0</v>
      </c>
      <c r="Q425" s="258">
        <v>0</v>
      </c>
      <c r="R425" s="258">
        <v>0</v>
      </c>
      <c r="S425" s="258">
        <v>0</v>
      </c>
      <c r="T425" s="258">
        <v>0</v>
      </c>
      <c r="U425" s="258">
        <v>0</v>
      </c>
      <c r="V425" s="258">
        <v>0</v>
      </c>
      <c r="W425" s="258">
        <v>0</v>
      </c>
      <c r="X425" s="258">
        <v>0</v>
      </c>
      <c r="Y425" s="258">
        <v>0</v>
      </c>
      <c r="Z425" s="258">
        <v>0</v>
      </c>
      <c r="AA425" s="258">
        <v>0</v>
      </c>
      <c r="AB425" s="260">
        <v>2020</v>
      </c>
    </row>
    <row r="426" spans="1:28" s="6" customFormat="1" ht="35.25" customHeight="1" x14ac:dyDescent="0.5">
      <c r="A426" s="6">
        <v>1</v>
      </c>
      <c r="B426" s="225">
        <f>SUBTOTAL(103,$A$7:A426)</f>
        <v>411</v>
      </c>
      <c r="C426" s="254" t="s">
        <v>2390</v>
      </c>
      <c r="D426" s="255">
        <f t="shared" si="21"/>
        <v>344392.06</v>
      </c>
      <c r="E426" s="258">
        <v>0</v>
      </c>
      <c r="F426" s="258">
        <v>0</v>
      </c>
      <c r="G426" s="258">
        <v>0</v>
      </c>
      <c r="H426" s="258">
        <v>0</v>
      </c>
      <c r="I426" s="258">
        <v>0</v>
      </c>
      <c r="J426" s="258">
        <v>0</v>
      </c>
      <c r="K426" s="259">
        <v>0</v>
      </c>
      <c r="L426" s="258">
        <v>0</v>
      </c>
      <c r="M426" s="258">
        <v>0</v>
      </c>
      <c r="N426" s="258">
        <v>0</v>
      </c>
      <c r="O426" s="258">
        <v>344392.06</v>
      </c>
      <c r="P426" s="258">
        <v>0</v>
      </c>
      <c r="Q426" s="258">
        <v>0</v>
      </c>
      <c r="R426" s="258">
        <v>0</v>
      </c>
      <c r="S426" s="258">
        <v>0</v>
      </c>
      <c r="T426" s="258">
        <v>0</v>
      </c>
      <c r="U426" s="258">
        <v>0</v>
      </c>
      <c r="V426" s="258">
        <v>0</v>
      </c>
      <c r="W426" s="258">
        <v>0</v>
      </c>
      <c r="X426" s="258">
        <v>0</v>
      </c>
      <c r="Y426" s="258">
        <v>0</v>
      </c>
      <c r="Z426" s="258">
        <v>0</v>
      </c>
      <c r="AA426" s="258">
        <v>0</v>
      </c>
      <c r="AB426" s="260">
        <v>2020</v>
      </c>
    </row>
    <row r="427" spans="1:28" s="6" customFormat="1" ht="35.25" customHeight="1" x14ac:dyDescent="0.5">
      <c r="A427" s="6">
        <v>1</v>
      </c>
      <c r="B427" s="225">
        <f>SUBTOTAL(103,$A$7:A427)</f>
        <v>412</v>
      </c>
      <c r="C427" s="254" t="s">
        <v>2391</v>
      </c>
      <c r="D427" s="255">
        <f t="shared" si="21"/>
        <v>197002.64</v>
      </c>
      <c r="E427" s="258">
        <v>0</v>
      </c>
      <c r="F427" s="258">
        <v>0</v>
      </c>
      <c r="G427" s="258">
        <v>0</v>
      </c>
      <c r="H427" s="258">
        <v>0</v>
      </c>
      <c r="I427" s="258">
        <v>0</v>
      </c>
      <c r="J427" s="258">
        <v>0</v>
      </c>
      <c r="K427" s="259">
        <v>0</v>
      </c>
      <c r="L427" s="258">
        <v>0</v>
      </c>
      <c r="M427" s="258">
        <v>0</v>
      </c>
      <c r="N427" s="258">
        <v>0</v>
      </c>
      <c r="O427" s="258">
        <v>197002.64</v>
      </c>
      <c r="P427" s="258">
        <v>0</v>
      </c>
      <c r="Q427" s="258">
        <v>0</v>
      </c>
      <c r="R427" s="258">
        <v>0</v>
      </c>
      <c r="S427" s="258">
        <v>0</v>
      </c>
      <c r="T427" s="258">
        <v>0</v>
      </c>
      <c r="U427" s="258">
        <v>0</v>
      </c>
      <c r="V427" s="258">
        <v>0</v>
      </c>
      <c r="W427" s="258">
        <v>0</v>
      </c>
      <c r="X427" s="258">
        <v>0</v>
      </c>
      <c r="Y427" s="258">
        <v>0</v>
      </c>
      <c r="Z427" s="258">
        <v>0</v>
      </c>
      <c r="AA427" s="258">
        <v>0</v>
      </c>
      <c r="AB427" s="260">
        <v>2020</v>
      </c>
    </row>
    <row r="428" spans="1:28" s="6" customFormat="1" ht="35.25" customHeight="1" x14ac:dyDescent="0.5">
      <c r="A428" s="6">
        <v>1</v>
      </c>
      <c r="B428" s="225">
        <f>SUBTOTAL(103,$A$7:A428)</f>
        <v>413</v>
      </c>
      <c r="C428" s="254" t="s">
        <v>2392</v>
      </c>
      <c r="D428" s="255">
        <f t="shared" si="21"/>
        <v>192411</v>
      </c>
      <c r="E428" s="258">
        <v>0</v>
      </c>
      <c r="F428" s="258">
        <v>0</v>
      </c>
      <c r="G428" s="258">
        <v>192411</v>
      </c>
      <c r="H428" s="258">
        <v>0</v>
      </c>
      <c r="I428" s="258">
        <v>0</v>
      </c>
      <c r="J428" s="258">
        <v>0</v>
      </c>
      <c r="K428" s="259">
        <v>0</v>
      </c>
      <c r="L428" s="258">
        <v>0</v>
      </c>
      <c r="M428" s="258">
        <v>0</v>
      </c>
      <c r="N428" s="258">
        <v>0</v>
      </c>
      <c r="O428" s="258">
        <v>0</v>
      </c>
      <c r="P428" s="258">
        <v>0</v>
      </c>
      <c r="Q428" s="258">
        <v>0</v>
      </c>
      <c r="R428" s="258">
        <v>0</v>
      </c>
      <c r="S428" s="258">
        <v>0</v>
      </c>
      <c r="T428" s="258">
        <v>0</v>
      </c>
      <c r="U428" s="258">
        <v>0</v>
      </c>
      <c r="V428" s="258">
        <v>0</v>
      </c>
      <c r="W428" s="258">
        <v>0</v>
      </c>
      <c r="X428" s="258">
        <v>0</v>
      </c>
      <c r="Y428" s="258">
        <v>0</v>
      </c>
      <c r="Z428" s="258">
        <v>0</v>
      </c>
      <c r="AA428" s="258">
        <v>0</v>
      </c>
      <c r="AB428" s="260">
        <v>2020</v>
      </c>
    </row>
    <row r="429" spans="1:28" s="6" customFormat="1" ht="35.25" customHeight="1" x14ac:dyDescent="0.5">
      <c r="A429" s="6">
        <v>1</v>
      </c>
      <c r="B429" s="225">
        <f>SUBTOTAL(103,$A$7:A429)</f>
        <v>414</v>
      </c>
      <c r="C429" s="254" t="s">
        <v>2393</v>
      </c>
      <c r="D429" s="255">
        <f t="shared" si="21"/>
        <v>141413</v>
      </c>
      <c r="E429" s="258">
        <v>141413</v>
      </c>
      <c r="F429" s="258">
        <v>0</v>
      </c>
      <c r="G429" s="258">
        <v>0</v>
      </c>
      <c r="H429" s="258">
        <v>0</v>
      </c>
      <c r="I429" s="258">
        <v>0</v>
      </c>
      <c r="J429" s="258">
        <v>0</v>
      </c>
      <c r="K429" s="259">
        <v>0</v>
      </c>
      <c r="L429" s="258">
        <v>0</v>
      </c>
      <c r="M429" s="258">
        <v>0</v>
      </c>
      <c r="N429" s="258">
        <v>0</v>
      </c>
      <c r="O429" s="258">
        <v>0</v>
      </c>
      <c r="P429" s="258">
        <v>0</v>
      </c>
      <c r="Q429" s="258">
        <v>0</v>
      </c>
      <c r="R429" s="258">
        <v>0</v>
      </c>
      <c r="S429" s="258">
        <v>0</v>
      </c>
      <c r="T429" s="258">
        <v>0</v>
      </c>
      <c r="U429" s="258">
        <v>0</v>
      </c>
      <c r="V429" s="258">
        <v>0</v>
      </c>
      <c r="W429" s="258">
        <v>0</v>
      </c>
      <c r="X429" s="258">
        <v>0</v>
      </c>
      <c r="Y429" s="258">
        <v>0</v>
      </c>
      <c r="Z429" s="258">
        <v>0</v>
      </c>
      <c r="AA429" s="258">
        <v>0</v>
      </c>
      <c r="AB429" s="260">
        <v>2020</v>
      </c>
    </row>
    <row r="430" spans="1:28" s="6" customFormat="1" ht="35.25" customHeight="1" x14ac:dyDescent="0.5">
      <c r="A430" s="6">
        <v>1</v>
      </c>
      <c r="B430" s="225">
        <f>SUBTOTAL(103,$A$7:A430)</f>
        <v>415</v>
      </c>
      <c r="C430" s="254" t="s">
        <v>1837</v>
      </c>
      <c r="D430" s="255">
        <f t="shared" si="21"/>
        <v>287727.55</v>
      </c>
      <c r="E430" s="258">
        <v>0</v>
      </c>
      <c r="F430" s="258">
        <v>287727.55</v>
      </c>
      <c r="G430" s="258">
        <v>0</v>
      </c>
      <c r="H430" s="258">
        <v>0</v>
      </c>
      <c r="I430" s="258">
        <v>0</v>
      </c>
      <c r="J430" s="258">
        <v>0</v>
      </c>
      <c r="K430" s="259">
        <v>0</v>
      </c>
      <c r="L430" s="258">
        <v>0</v>
      </c>
      <c r="M430" s="258">
        <v>0</v>
      </c>
      <c r="N430" s="258">
        <v>0</v>
      </c>
      <c r="O430" s="258">
        <v>0</v>
      </c>
      <c r="P430" s="258">
        <v>0</v>
      </c>
      <c r="Q430" s="258">
        <v>0</v>
      </c>
      <c r="R430" s="258">
        <v>0</v>
      </c>
      <c r="S430" s="258">
        <v>0</v>
      </c>
      <c r="T430" s="258">
        <v>0</v>
      </c>
      <c r="U430" s="258">
        <v>0</v>
      </c>
      <c r="V430" s="258">
        <v>0</v>
      </c>
      <c r="W430" s="258">
        <v>0</v>
      </c>
      <c r="X430" s="258">
        <v>0</v>
      </c>
      <c r="Y430" s="258">
        <v>0</v>
      </c>
      <c r="Z430" s="258">
        <v>0</v>
      </c>
      <c r="AA430" s="258">
        <v>0</v>
      </c>
      <c r="AB430" s="260">
        <v>2020</v>
      </c>
    </row>
    <row r="431" spans="1:28" s="6" customFormat="1" ht="35.25" customHeight="1" x14ac:dyDescent="0.5">
      <c r="A431" s="6">
        <v>1</v>
      </c>
      <c r="B431" s="225">
        <f>SUBTOTAL(103,$A$7:A431)</f>
        <v>416</v>
      </c>
      <c r="C431" s="254" t="s">
        <v>2394</v>
      </c>
      <c r="D431" s="255">
        <f t="shared" si="21"/>
        <v>632456.41</v>
      </c>
      <c r="E431" s="258">
        <v>0</v>
      </c>
      <c r="F431" s="258">
        <v>0</v>
      </c>
      <c r="G431" s="258">
        <v>0</v>
      </c>
      <c r="H431" s="258">
        <v>0</v>
      </c>
      <c r="I431" s="258">
        <v>0</v>
      </c>
      <c r="J431" s="258">
        <v>0</v>
      </c>
      <c r="K431" s="259">
        <v>0</v>
      </c>
      <c r="L431" s="258">
        <v>0</v>
      </c>
      <c r="M431" s="258">
        <v>632456.41</v>
      </c>
      <c r="N431" s="258">
        <v>0</v>
      </c>
      <c r="O431" s="258">
        <v>0</v>
      </c>
      <c r="P431" s="258">
        <v>0</v>
      </c>
      <c r="Q431" s="258">
        <v>0</v>
      </c>
      <c r="R431" s="258">
        <v>0</v>
      </c>
      <c r="S431" s="258">
        <v>0</v>
      </c>
      <c r="T431" s="258">
        <v>0</v>
      </c>
      <c r="U431" s="258">
        <v>0</v>
      </c>
      <c r="V431" s="258">
        <v>0</v>
      </c>
      <c r="W431" s="258">
        <v>0</v>
      </c>
      <c r="X431" s="258">
        <v>0</v>
      </c>
      <c r="Y431" s="258">
        <v>0</v>
      </c>
      <c r="Z431" s="258">
        <v>0</v>
      </c>
      <c r="AA431" s="258">
        <v>0</v>
      </c>
      <c r="AB431" s="260">
        <v>2020</v>
      </c>
    </row>
    <row r="432" spans="1:28" s="6" customFormat="1" ht="35.25" customHeight="1" x14ac:dyDescent="0.5">
      <c r="A432" s="6">
        <v>1</v>
      </c>
      <c r="B432" s="225">
        <f>SUBTOTAL(103,$A$7:A432)</f>
        <v>417</v>
      </c>
      <c r="C432" s="254" t="s">
        <v>2395</v>
      </c>
      <c r="D432" s="255">
        <f t="shared" si="21"/>
        <v>739200.25</v>
      </c>
      <c r="E432" s="258">
        <v>0</v>
      </c>
      <c r="F432" s="258">
        <v>0</v>
      </c>
      <c r="G432" s="258">
        <v>0</v>
      </c>
      <c r="H432" s="258">
        <v>0</v>
      </c>
      <c r="I432" s="258">
        <v>0</v>
      </c>
      <c r="J432" s="258">
        <v>0</v>
      </c>
      <c r="K432" s="259">
        <v>0</v>
      </c>
      <c r="L432" s="258">
        <v>0</v>
      </c>
      <c r="M432" s="258">
        <v>0</v>
      </c>
      <c r="N432" s="258">
        <v>0</v>
      </c>
      <c r="O432" s="258">
        <v>739200.25</v>
      </c>
      <c r="P432" s="258">
        <v>0</v>
      </c>
      <c r="Q432" s="258">
        <v>0</v>
      </c>
      <c r="R432" s="258">
        <v>0</v>
      </c>
      <c r="S432" s="258">
        <v>0</v>
      </c>
      <c r="T432" s="258">
        <v>0</v>
      </c>
      <c r="U432" s="258">
        <v>0</v>
      </c>
      <c r="V432" s="258">
        <v>0</v>
      </c>
      <c r="W432" s="258">
        <v>0</v>
      </c>
      <c r="X432" s="258">
        <v>0</v>
      </c>
      <c r="Y432" s="258">
        <v>0</v>
      </c>
      <c r="Z432" s="258">
        <v>0</v>
      </c>
      <c r="AA432" s="258">
        <v>0</v>
      </c>
      <c r="AB432" s="260">
        <v>2020</v>
      </c>
    </row>
    <row r="433" spans="1:28" s="6" customFormat="1" ht="35.25" customHeight="1" x14ac:dyDescent="0.5">
      <c r="A433" s="6">
        <v>1</v>
      </c>
      <c r="B433" s="225">
        <f>SUBTOTAL(103,$A$7:A433)</f>
        <v>418</v>
      </c>
      <c r="C433" s="254" t="s">
        <v>2396</v>
      </c>
      <c r="D433" s="255">
        <v>418000.41</v>
      </c>
      <c r="E433" s="258">
        <v>0</v>
      </c>
      <c r="F433" s="258">
        <v>0</v>
      </c>
      <c r="G433" s="258">
        <v>0</v>
      </c>
      <c r="H433" s="258">
        <v>0</v>
      </c>
      <c r="I433" s="258">
        <v>0</v>
      </c>
      <c r="J433" s="258">
        <v>0</v>
      </c>
      <c r="K433" s="259">
        <v>0</v>
      </c>
      <c r="L433" s="258">
        <v>0</v>
      </c>
      <c r="M433" s="258">
        <v>0</v>
      </c>
      <c r="N433" s="258">
        <v>0</v>
      </c>
      <c r="O433" s="258">
        <v>418000.41</v>
      </c>
      <c r="P433" s="258">
        <v>0</v>
      </c>
      <c r="Q433" s="258">
        <v>0</v>
      </c>
      <c r="R433" s="258">
        <v>0</v>
      </c>
      <c r="S433" s="258">
        <v>0</v>
      </c>
      <c r="T433" s="258">
        <v>0</v>
      </c>
      <c r="U433" s="258">
        <v>0</v>
      </c>
      <c r="V433" s="258">
        <v>0</v>
      </c>
      <c r="W433" s="258">
        <v>0</v>
      </c>
      <c r="X433" s="258">
        <v>0</v>
      </c>
      <c r="Y433" s="258">
        <v>0</v>
      </c>
      <c r="Z433" s="258">
        <v>0</v>
      </c>
      <c r="AA433" s="258">
        <v>0</v>
      </c>
      <c r="AB433" s="260">
        <v>2020</v>
      </c>
    </row>
    <row r="434" spans="1:28" s="6" customFormat="1" ht="35.25" customHeight="1" x14ac:dyDescent="0.5">
      <c r="A434" s="6">
        <v>1</v>
      </c>
      <c r="B434" s="225">
        <f>SUBTOTAL(103,$A$7:A434)</f>
        <v>419</v>
      </c>
      <c r="C434" s="254" t="s">
        <v>2397</v>
      </c>
      <c r="D434" s="255">
        <v>985840</v>
      </c>
      <c r="E434" s="258">
        <v>0</v>
      </c>
      <c r="F434" s="258">
        <v>0</v>
      </c>
      <c r="G434" s="258">
        <v>0</v>
      </c>
      <c r="H434" s="258">
        <v>0</v>
      </c>
      <c r="I434" s="258">
        <v>0</v>
      </c>
      <c r="J434" s="258">
        <v>0</v>
      </c>
      <c r="K434" s="259">
        <v>0</v>
      </c>
      <c r="L434" s="258">
        <v>0</v>
      </c>
      <c r="M434" s="258">
        <v>0</v>
      </c>
      <c r="N434" s="258">
        <v>0</v>
      </c>
      <c r="O434" s="258">
        <v>985840</v>
      </c>
      <c r="P434" s="258">
        <v>0</v>
      </c>
      <c r="Q434" s="258">
        <v>0</v>
      </c>
      <c r="R434" s="258">
        <v>0</v>
      </c>
      <c r="S434" s="258">
        <v>0</v>
      </c>
      <c r="T434" s="258">
        <v>0</v>
      </c>
      <c r="U434" s="258">
        <v>0</v>
      </c>
      <c r="V434" s="258">
        <v>0</v>
      </c>
      <c r="W434" s="258">
        <v>0</v>
      </c>
      <c r="X434" s="258">
        <v>0</v>
      </c>
      <c r="Y434" s="258">
        <v>0</v>
      </c>
      <c r="Z434" s="258">
        <v>0</v>
      </c>
      <c r="AA434" s="258">
        <v>0</v>
      </c>
      <c r="AB434" s="260">
        <v>2020</v>
      </c>
    </row>
    <row r="435" spans="1:28" s="6" customFormat="1" ht="35.25" customHeight="1" x14ac:dyDescent="0.5">
      <c r="A435" s="6">
        <v>1</v>
      </c>
      <c r="B435" s="225">
        <f>SUBTOTAL(103,$A$7:A435)</f>
        <v>420</v>
      </c>
      <c r="C435" s="254" t="s">
        <v>2398</v>
      </c>
      <c r="D435" s="255">
        <v>6114559.5</v>
      </c>
      <c r="E435" s="258">
        <v>0</v>
      </c>
      <c r="F435" s="258">
        <v>0</v>
      </c>
      <c r="G435" s="258">
        <v>0</v>
      </c>
      <c r="H435" s="258">
        <v>0</v>
      </c>
      <c r="I435" s="258">
        <v>0</v>
      </c>
      <c r="J435" s="258">
        <v>0</v>
      </c>
      <c r="K435" s="259">
        <v>0</v>
      </c>
      <c r="L435" s="258">
        <v>0</v>
      </c>
      <c r="M435" s="258">
        <v>0</v>
      </c>
      <c r="N435" s="258">
        <v>0</v>
      </c>
      <c r="O435" s="258">
        <v>6114559.5</v>
      </c>
      <c r="P435" s="258">
        <v>0</v>
      </c>
      <c r="Q435" s="258">
        <v>0</v>
      </c>
      <c r="R435" s="258">
        <v>0</v>
      </c>
      <c r="S435" s="258">
        <v>0</v>
      </c>
      <c r="T435" s="258">
        <v>0</v>
      </c>
      <c r="U435" s="258">
        <v>0</v>
      </c>
      <c r="V435" s="258">
        <v>0</v>
      </c>
      <c r="W435" s="258">
        <v>0</v>
      </c>
      <c r="X435" s="258">
        <v>0</v>
      </c>
      <c r="Y435" s="258">
        <v>0</v>
      </c>
      <c r="Z435" s="258">
        <v>0</v>
      </c>
      <c r="AA435" s="258">
        <v>0</v>
      </c>
      <c r="AB435" s="260">
        <v>2020</v>
      </c>
    </row>
    <row r="436" spans="1:28" s="6" customFormat="1" ht="35.25" customHeight="1" x14ac:dyDescent="0.5">
      <c r="A436" s="6">
        <v>1</v>
      </c>
      <c r="B436" s="225">
        <f>SUBTOTAL(103,$A$7:A436)</f>
        <v>421</v>
      </c>
      <c r="C436" s="254" t="s">
        <v>2185</v>
      </c>
      <c r="D436" s="255">
        <v>297767</v>
      </c>
      <c r="E436" s="258">
        <v>0</v>
      </c>
      <c r="F436" s="258">
        <v>169948</v>
      </c>
      <c r="G436" s="258">
        <v>0</v>
      </c>
      <c r="H436" s="258">
        <v>127819</v>
      </c>
      <c r="I436" s="258">
        <v>0</v>
      </c>
      <c r="J436" s="258">
        <v>0</v>
      </c>
      <c r="K436" s="259">
        <v>0</v>
      </c>
      <c r="L436" s="258">
        <v>0</v>
      </c>
      <c r="M436" s="258">
        <v>0</v>
      </c>
      <c r="N436" s="258">
        <v>0</v>
      </c>
      <c r="O436" s="258">
        <v>0</v>
      </c>
      <c r="P436" s="258">
        <v>0</v>
      </c>
      <c r="Q436" s="258">
        <v>0</v>
      </c>
      <c r="R436" s="258">
        <v>0</v>
      </c>
      <c r="S436" s="258">
        <v>0</v>
      </c>
      <c r="T436" s="258">
        <v>0</v>
      </c>
      <c r="U436" s="258">
        <v>0</v>
      </c>
      <c r="V436" s="258">
        <v>0</v>
      </c>
      <c r="W436" s="258">
        <v>0</v>
      </c>
      <c r="X436" s="258">
        <v>0</v>
      </c>
      <c r="Y436" s="258">
        <v>0</v>
      </c>
      <c r="Z436" s="258">
        <v>0</v>
      </c>
      <c r="AA436" s="258">
        <v>0</v>
      </c>
      <c r="AB436" s="260">
        <v>2020</v>
      </c>
    </row>
    <row r="437" spans="1:28" s="6" customFormat="1" ht="35.25" customHeight="1" x14ac:dyDescent="0.5">
      <c r="B437" s="254" t="s">
        <v>1046</v>
      </c>
      <c r="C437" s="254"/>
      <c r="D437" s="255">
        <f t="shared" ref="D437:AA437" si="22">SUM(D438:D498)</f>
        <v>53736223.249999993</v>
      </c>
      <c r="E437" s="255">
        <f t="shared" si="22"/>
        <v>671708.75</v>
      </c>
      <c r="F437" s="255">
        <f t="shared" si="22"/>
        <v>3354902.92</v>
      </c>
      <c r="G437" s="255">
        <f t="shared" si="22"/>
        <v>8494643.2599999979</v>
      </c>
      <c r="H437" s="255">
        <f t="shared" si="22"/>
        <v>619066.27</v>
      </c>
      <c r="I437" s="255">
        <f t="shared" si="22"/>
        <v>839366</v>
      </c>
      <c r="J437" s="255">
        <f t="shared" si="22"/>
        <v>0</v>
      </c>
      <c r="K437" s="259">
        <f t="shared" si="22"/>
        <v>6</v>
      </c>
      <c r="L437" s="255">
        <f t="shared" si="22"/>
        <v>9161260</v>
      </c>
      <c r="M437" s="255">
        <f t="shared" si="22"/>
        <v>19892479.890000001</v>
      </c>
      <c r="N437" s="255">
        <f t="shared" si="22"/>
        <v>1396192.1</v>
      </c>
      <c r="O437" s="255">
        <f t="shared" si="22"/>
        <v>9063726.4600000009</v>
      </c>
      <c r="P437" s="255">
        <f t="shared" si="22"/>
        <v>242877.6</v>
      </c>
      <c r="Q437" s="255">
        <f t="shared" si="22"/>
        <v>0</v>
      </c>
      <c r="R437" s="255">
        <f t="shared" si="22"/>
        <v>0</v>
      </c>
      <c r="S437" s="255">
        <f t="shared" si="22"/>
        <v>0</v>
      </c>
      <c r="T437" s="255">
        <f t="shared" si="22"/>
        <v>0</v>
      </c>
      <c r="U437" s="255">
        <f t="shared" si="22"/>
        <v>0</v>
      </c>
      <c r="V437" s="255">
        <f t="shared" si="22"/>
        <v>0</v>
      </c>
      <c r="W437" s="255">
        <f t="shared" si="22"/>
        <v>0</v>
      </c>
      <c r="X437" s="255">
        <f t="shared" si="22"/>
        <v>0</v>
      </c>
      <c r="Y437" s="255">
        <f t="shared" si="22"/>
        <v>0</v>
      </c>
      <c r="Z437" s="255">
        <f t="shared" si="22"/>
        <v>0</v>
      </c>
      <c r="AA437" s="255">
        <f t="shared" si="22"/>
        <v>0</v>
      </c>
      <c r="AB437" s="256" t="s">
        <v>890</v>
      </c>
    </row>
    <row r="438" spans="1:28" s="6" customFormat="1" ht="35.25" customHeight="1" x14ac:dyDescent="0.5">
      <c r="A438" s="6">
        <v>1</v>
      </c>
      <c r="B438" s="225">
        <f>SUBTOTAL(103,$A$7:A438)</f>
        <v>422</v>
      </c>
      <c r="C438" s="254" t="s">
        <v>1846</v>
      </c>
      <c r="D438" s="255">
        <f t="shared" ref="D438:D455" si="23">E438+F438+G438+H438+I438+J438+L438+M438+N438+O438+P438+Q438+R438+S438+T438+U438+V438+W438+X438+Y438+Z438+AA438</f>
        <v>446839.2</v>
      </c>
      <c r="E438" s="258">
        <v>0</v>
      </c>
      <c r="F438" s="258">
        <v>446839.2</v>
      </c>
      <c r="G438" s="258">
        <v>0</v>
      </c>
      <c r="H438" s="258">
        <v>0</v>
      </c>
      <c r="I438" s="258">
        <v>0</v>
      </c>
      <c r="J438" s="258">
        <v>0</v>
      </c>
      <c r="K438" s="259">
        <v>0</v>
      </c>
      <c r="L438" s="258">
        <v>0</v>
      </c>
      <c r="M438" s="258">
        <v>0</v>
      </c>
      <c r="N438" s="258">
        <v>0</v>
      </c>
      <c r="O438" s="258">
        <v>0</v>
      </c>
      <c r="P438" s="258">
        <v>0</v>
      </c>
      <c r="Q438" s="258">
        <v>0</v>
      </c>
      <c r="R438" s="258">
        <v>0</v>
      </c>
      <c r="S438" s="258">
        <v>0</v>
      </c>
      <c r="T438" s="258">
        <v>0</v>
      </c>
      <c r="U438" s="258">
        <v>0</v>
      </c>
      <c r="V438" s="258">
        <v>0</v>
      </c>
      <c r="W438" s="258">
        <v>0</v>
      </c>
      <c r="X438" s="258">
        <v>0</v>
      </c>
      <c r="Y438" s="258">
        <v>0</v>
      </c>
      <c r="Z438" s="258">
        <v>0</v>
      </c>
      <c r="AA438" s="258">
        <v>0</v>
      </c>
      <c r="AB438" s="260">
        <v>2020</v>
      </c>
    </row>
    <row r="439" spans="1:28" s="6" customFormat="1" ht="35.25" customHeight="1" x14ac:dyDescent="0.5">
      <c r="A439" s="6">
        <v>1</v>
      </c>
      <c r="B439" s="225">
        <f>SUBTOTAL(103,$A$7:A439)</f>
        <v>423</v>
      </c>
      <c r="C439" s="254" t="s">
        <v>1847</v>
      </c>
      <c r="D439" s="255">
        <f t="shared" si="23"/>
        <v>759667.19</v>
      </c>
      <c r="E439" s="258">
        <v>0</v>
      </c>
      <c r="F439" s="258">
        <v>0</v>
      </c>
      <c r="G439" s="258">
        <v>0</v>
      </c>
      <c r="H439" s="258">
        <v>0</v>
      </c>
      <c r="I439" s="258">
        <v>0</v>
      </c>
      <c r="J439" s="258">
        <v>0</v>
      </c>
      <c r="K439" s="259">
        <v>0</v>
      </c>
      <c r="L439" s="258">
        <v>0</v>
      </c>
      <c r="M439" s="258">
        <v>759667.19</v>
      </c>
      <c r="N439" s="258">
        <v>0</v>
      </c>
      <c r="O439" s="258">
        <v>0</v>
      </c>
      <c r="P439" s="258">
        <v>0</v>
      </c>
      <c r="Q439" s="258">
        <v>0</v>
      </c>
      <c r="R439" s="258">
        <v>0</v>
      </c>
      <c r="S439" s="258">
        <v>0</v>
      </c>
      <c r="T439" s="258">
        <v>0</v>
      </c>
      <c r="U439" s="258">
        <v>0</v>
      </c>
      <c r="V439" s="258">
        <v>0</v>
      </c>
      <c r="W439" s="258">
        <v>0</v>
      </c>
      <c r="X439" s="258">
        <v>0</v>
      </c>
      <c r="Y439" s="258">
        <v>0</v>
      </c>
      <c r="Z439" s="258">
        <v>0</v>
      </c>
      <c r="AA439" s="258">
        <v>0</v>
      </c>
      <c r="AB439" s="260">
        <v>2020</v>
      </c>
    </row>
    <row r="440" spans="1:28" s="6" customFormat="1" ht="35.25" customHeight="1" x14ac:dyDescent="0.5">
      <c r="A440" s="6">
        <v>1</v>
      </c>
      <c r="B440" s="225">
        <f>SUBTOTAL(103,$A$7:A440)</f>
        <v>424</v>
      </c>
      <c r="C440" s="254" t="s">
        <v>1848</v>
      </c>
      <c r="D440" s="255">
        <f t="shared" si="23"/>
        <v>555588.6</v>
      </c>
      <c r="E440" s="258">
        <v>0</v>
      </c>
      <c r="F440" s="258">
        <v>0</v>
      </c>
      <c r="G440" s="258">
        <v>312711</v>
      </c>
      <c r="H440" s="258">
        <v>0</v>
      </c>
      <c r="I440" s="258">
        <v>0</v>
      </c>
      <c r="J440" s="258">
        <v>0</v>
      </c>
      <c r="K440" s="259">
        <v>0</v>
      </c>
      <c r="L440" s="258">
        <v>0</v>
      </c>
      <c r="M440" s="258">
        <v>0</v>
      </c>
      <c r="N440" s="258">
        <v>0</v>
      </c>
      <c r="O440" s="258">
        <v>0</v>
      </c>
      <c r="P440" s="258">
        <v>242877.6</v>
      </c>
      <c r="Q440" s="258">
        <v>0</v>
      </c>
      <c r="R440" s="258">
        <v>0</v>
      </c>
      <c r="S440" s="258">
        <v>0</v>
      </c>
      <c r="T440" s="258">
        <v>0</v>
      </c>
      <c r="U440" s="258">
        <v>0</v>
      </c>
      <c r="V440" s="258">
        <v>0</v>
      </c>
      <c r="W440" s="258">
        <v>0</v>
      </c>
      <c r="X440" s="258">
        <v>0</v>
      </c>
      <c r="Y440" s="258">
        <v>0</v>
      </c>
      <c r="Z440" s="258">
        <v>0</v>
      </c>
      <c r="AA440" s="258">
        <v>0</v>
      </c>
      <c r="AB440" s="260">
        <v>2020</v>
      </c>
    </row>
    <row r="441" spans="1:28" s="6" customFormat="1" ht="35.25" customHeight="1" x14ac:dyDescent="0.5">
      <c r="A441" s="6">
        <v>1</v>
      </c>
      <c r="B441" s="225">
        <f>SUBTOTAL(103,$A$7:A441)</f>
        <v>425</v>
      </c>
      <c r="C441" s="254" t="s">
        <v>1849</v>
      </c>
      <c r="D441" s="255">
        <f t="shared" si="23"/>
        <v>1750000</v>
      </c>
      <c r="E441" s="258">
        <v>0</v>
      </c>
      <c r="F441" s="258">
        <v>0</v>
      </c>
      <c r="G441" s="258">
        <v>0</v>
      </c>
      <c r="H441" s="258">
        <v>0</v>
      </c>
      <c r="I441" s="258">
        <v>0</v>
      </c>
      <c r="J441" s="258">
        <v>0</v>
      </c>
      <c r="K441" s="259">
        <v>1</v>
      </c>
      <c r="L441" s="258">
        <v>1750000</v>
      </c>
      <c r="M441" s="258">
        <v>0</v>
      </c>
      <c r="N441" s="258">
        <v>0</v>
      </c>
      <c r="O441" s="258">
        <v>0</v>
      </c>
      <c r="P441" s="258">
        <v>0</v>
      </c>
      <c r="Q441" s="258">
        <v>0</v>
      </c>
      <c r="R441" s="258">
        <v>0</v>
      </c>
      <c r="S441" s="258">
        <v>0</v>
      </c>
      <c r="T441" s="258">
        <v>0</v>
      </c>
      <c r="U441" s="258">
        <v>0</v>
      </c>
      <c r="V441" s="258">
        <v>0</v>
      </c>
      <c r="W441" s="258">
        <v>0</v>
      </c>
      <c r="X441" s="258">
        <v>0</v>
      </c>
      <c r="Y441" s="258">
        <v>0</v>
      </c>
      <c r="Z441" s="258">
        <v>0</v>
      </c>
      <c r="AA441" s="258">
        <v>0</v>
      </c>
      <c r="AB441" s="260">
        <v>2020</v>
      </c>
    </row>
    <row r="442" spans="1:28" s="6" customFormat="1" ht="35.25" customHeight="1" x14ac:dyDescent="0.5">
      <c r="A442" s="6">
        <v>1</v>
      </c>
      <c r="B442" s="225">
        <f>SUBTOTAL(103,$A$7:A442)</f>
        <v>426</v>
      </c>
      <c r="C442" s="254" t="s">
        <v>1850</v>
      </c>
      <c r="D442" s="255">
        <f t="shared" si="23"/>
        <v>1832116</v>
      </c>
      <c r="E442" s="258">
        <v>0</v>
      </c>
      <c r="F442" s="258">
        <v>0</v>
      </c>
      <c r="G442" s="258">
        <v>0</v>
      </c>
      <c r="H442" s="258">
        <v>0</v>
      </c>
      <c r="I442" s="258">
        <v>0</v>
      </c>
      <c r="J442" s="258">
        <v>0</v>
      </c>
      <c r="K442" s="259">
        <v>1</v>
      </c>
      <c r="L442" s="258">
        <v>1832116</v>
      </c>
      <c r="M442" s="258">
        <v>0</v>
      </c>
      <c r="N442" s="258">
        <v>0</v>
      </c>
      <c r="O442" s="258">
        <v>0</v>
      </c>
      <c r="P442" s="258">
        <v>0</v>
      </c>
      <c r="Q442" s="258">
        <v>0</v>
      </c>
      <c r="R442" s="258">
        <v>0</v>
      </c>
      <c r="S442" s="258">
        <v>0</v>
      </c>
      <c r="T442" s="258">
        <v>0</v>
      </c>
      <c r="U442" s="258">
        <v>0</v>
      </c>
      <c r="V442" s="258">
        <v>0</v>
      </c>
      <c r="W442" s="258">
        <v>0</v>
      </c>
      <c r="X442" s="258">
        <v>0</v>
      </c>
      <c r="Y442" s="258">
        <v>0</v>
      </c>
      <c r="Z442" s="258">
        <v>0</v>
      </c>
      <c r="AA442" s="258">
        <v>0</v>
      </c>
      <c r="AB442" s="260">
        <v>2020</v>
      </c>
    </row>
    <row r="443" spans="1:28" s="6" customFormat="1" ht="35.25" customHeight="1" x14ac:dyDescent="0.5">
      <c r="A443" s="6">
        <v>1</v>
      </c>
      <c r="B443" s="225">
        <f>SUBTOTAL(103,$A$7:A443)</f>
        <v>427</v>
      </c>
      <c r="C443" s="254" t="s">
        <v>1851</v>
      </c>
      <c r="D443" s="255">
        <f t="shared" si="23"/>
        <v>310860</v>
      </c>
      <c r="E443" s="258">
        <v>0</v>
      </c>
      <c r="F443" s="258">
        <v>0</v>
      </c>
      <c r="G443" s="258">
        <v>0</v>
      </c>
      <c r="H443" s="258">
        <v>0</v>
      </c>
      <c r="I443" s="258">
        <v>0</v>
      </c>
      <c r="J443" s="258">
        <v>0</v>
      </c>
      <c r="K443" s="259">
        <v>0</v>
      </c>
      <c r="L443" s="258">
        <v>0</v>
      </c>
      <c r="M443" s="258">
        <v>0</v>
      </c>
      <c r="N443" s="258">
        <v>0</v>
      </c>
      <c r="O443" s="258">
        <v>310860</v>
      </c>
      <c r="P443" s="258">
        <v>0</v>
      </c>
      <c r="Q443" s="258">
        <v>0</v>
      </c>
      <c r="R443" s="258">
        <v>0</v>
      </c>
      <c r="S443" s="258">
        <v>0</v>
      </c>
      <c r="T443" s="258">
        <v>0</v>
      </c>
      <c r="U443" s="258">
        <v>0</v>
      </c>
      <c r="V443" s="258">
        <v>0</v>
      </c>
      <c r="W443" s="258">
        <v>0</v>
      </c>
      <c r="X443" s="258">
        <v>0</v>
      </c>
      <c r="Y443" s="258">
        <v>0</v>
      </c>
      <c r="Z443" s="258">
        <v>0</v>
      </c>
      <c r="AA443" s="258">
        <v>0</v>
      </c>
      <c r="AB443" s="260">
        <v>2020</v>
      </c>
    </row>
    <row r="444" spans="1:28" s="6" customFormat="1" ht="35.25" customHeight="1" x14ac:dyDescent="0.5">
      <c r="A444" s="6">
        <v>1</v>
      </c>
      <c r="B444" s="225">
        <f>SUBTOTAL(103,$A$7:A444)</f>
        <v>428</v>
      </c>
      <c r="C444" s="254" t="s">
        <v>1852</v>
      </c>
      <c r="D444" s="255">
        <f t="shared" si="23"/>
        <v>209441.4</v>
      </c>
      <c r="E444" s="258">
        <v>0</v>
      </c>
      <c r="F444" s="258">
        <v>0</v>
      </c>
      <c r="G444" s="258">
        <v>209441.4</v>
      </c>
      <c r="H444" s="258">
        <v>0</v>
      </c>
      <c r="I444" s="258">
        <v>0</v>
      </c>
      <c r="J444" s="258">
        <v>0</v>
      </c>
      <c r="K444" s="259">
        <v>0</v>
      </c>
      <c r="L444" s="258">
        <v>0</v>
      </c>
      <c r="M444" s="258">
        <v>0</v>
      </c>
      <c r="N444" s="258">
        <v>0</v>
      </c>
      <c r="O444" s="258">
        <v>0</v>
      </c>
      <c r="P444" s="258">
        <v>0</v>
      </c>
      <c r="Q444" s="258">
        <v>0</v>
      </c>
      <c r="R444" s="258">
        <v>0</v>
      </c>
      <c r="S444" s="258">
        <v>0</v>
      </c>
      <c r="T444" s="258">
        <v>0</v>
      </c>
      <c r="U444" s="258">
        <v>0</v>
      </c>
      <c r="V444" s="258">
        <v>0</v>
      </c>
      <c r="W444" s="258">
        <v>0</v>
      </c>
      <c r="X444" s="258">
        <v>0</v>
      </c>
      <c r="Y444" s="258">
        <v>0</v>
      </c>
      <c r="Z444" s="258">
        <v>0</v>
      </c>
      <c r="AA444" s="258">
        <v>0</v>
      </c>
      <c r="AB444" s="260">
        <v>2020</v>
      </c>
    </row>
    <row r="445" spans="1:28" s="6" customFormat="1" ht="35.25" customHeight="1" x14ac:dyDescent="0.5">
      <c r="A445" s="6">
        <v>1</v>
      </c>
      <c r="B445" s="225">
        <f>SUBTOTAL(103,$A$7:A445)</f>
        <v>429</v>
      </c>
      <c r="C445" s="254" t="s">
        <v>1853</v>
      </c>
      <c r="D445" s="255">
        <f t="shared" si="23"/>
        <v>905050</v>
      </c>
      <c r="E445" s="258">
        <v>0</v>
      </c>
      <c r="F445" s="258">
        <v>0</v>
      </c>
      <c r="G445" s="258">
        <v>47050</v>
      </c>
      <c r="H445" s="258">
        <v>0</v>
      </c>
      <c r="I445" s="258">
        <v>0</v>
      </c>
      <c r="J445" s="258">
        <v>0</v>
      </c>
      <c r="K445" s="259">
        <v>0</v>
      </c>
      <c r="L445" s="258">
        <v>0</v>
      </c>
      <c r="M445" s="258">
        <v>858000</v>
      </c>
      <c r="N445" s="258">
        <v>0</v>
      </c>
      <c r="O445" s="258">
        <v>0</v>
      </c>
      <c r="P445" s="258">
        <v>0</v>
      </c>
      <c r="Q445" s="258">
        <v>0</v>
      </c>
      <c r="R445" s="258">
        <v>0</v>
      </c>
      <c r="S445" s="258">
        <v>0</v>
      </c>
      <c r="T445" s="258">
        <v>0</v>
      </c>
      <c r="U445" s="258">
        <v>0</v>
      </c>
      <c r="V445" s="258">
        <v>0</v>
      </c>
      <c r="W445" s="258">
        <v>0</v>
      </c>
      <c r="X445" s="258">
        <v>0</v>
      </c>
      <c r="Y445" s="258">
        <v>0</v>
      </c>
      <c r="Z445" s="258">
        <v>0</v>
      </c>
      <c r="AA445" s="258">
        <v>0</v>
      </c>
      <c r="AB445" s="260">
        <v>2020</v>
      </c>
    </row>
    <row r="446" spans="1:28" s="6" customFormat="1" ht="35.25" customHeight="1" x14ac:dyDescent="0.5">
      <c r="A446" s="6">
        <v>1</v>
      </c>
      <c r="B446" s="225">
        <f>SUBTOTAL(103,$A$7:A446)</f>
        <v>430</v>
      </c>
      <c r="C446" s="254" t="s">
        <v>1854</v>
      </c>
      <c r="D446" s="255">
        <f t="shared" si="23"/>
        <v>258344.1</v>
      </c>
      <c r="E446" s="258">
        <v>0</v>
      </c>
      <c r="F446" s="258">
        <v>0</v>
      </c>
      <c r="G446" s="258">
        <v>0</v>
      </c>
      <c r="H446" s="258">
        <v>0</v>
      </c>
      <c r="I446" s="258">
        <v>0</v>
      </c>
      <c r="J446" s="258">
        <v>0</v>
      </c>
      <c r="K446" s="259">
        <v>0</v>
      </c>
      <c r="L446" s="258">
        <v>0</v>
      </c>
      <c r="M446" s="258">
        <v>0</v>
      </c>
      <c r="N446" s="258">
        <v>258344.1</v>
      </c>
      <c r="O446" s="258">
        <v>0</v>
      </c>
      <c r="P446" s="258">
        <v>0</v>
      </c>
      <c r="Q446" s="258">
        <v>0</v>
      </c>
      <c r="R446" s="258">
        <v>0</v>
      </c>
      <c r="S446" s="258">
        <v>0</v>
      </c>
      <c r="T446" s="258">
        <v>0</v>
      </c>
      <c r="U446" s="258">
        <v>0</v>
      </c>
      <c r="V446" s="258">
        <v>0</v>
      </c>
      <c r="W446" s="258">
        <v>0</v>
      </c>
      <c r="X446" s="258">
        <v>0</v>
      </c>
      <c r="Y446" s="258">
        <v>0</v>
      </c>
      <c r="Z446" s="258">
        <v>0</v>
      </c>
      <c r="AA446" s="258">
        <v>0</v>
      </c>
      <c r="AB446" s="260">
        <v>2020</v>
      </c>
    </row>
    <row r="447" spans="1:28" s="6" customFormat="1" ht="35.25" customHeight="1" x14ac:dyDescent="0.5">
      <c r="A447" s="6">
        <v>1</v>
      </c>
      <c r="B447" s="225">
        <f>SUBTOTAL(103,$A$7:A447)</f>
        <v>431</v>
      </c>
      <c r="C447" s="254" t="s">
        <v>1855</v>
      </c>
      <c r="D447" s="255">
        <f t="shared" si="23"/>
        <v>543814</v>
      </c>
      <c r="E447" s="258">
        <v>0</v>
      </c>
      <c r="F447" s="258">
        <v>0</v>
      </c>
      <c r="G447" s="258">
        <v>0</v>
      </c>
      <c r="H447" s="258">
        <v>0</v>
      </c>
      <c r="I447" s="258">
        <v>0</v>
      </c>
      <c r="J447" s="258">
        <v>0</v>
      </c>
      <c r="K447" s="259">
        <v>0</v>
      </c>
      <c r="L447" s="258">
        <v>0</v>
      </c>
      <c r="M447" s="258">
        <v>543814</v>
      </c>
      <c r="N447" s="258">
        <v>0</v>
      </c>
      <c r="O447" s="258">
        <v>0</v>
      </c>
      <c r="P447" s="258">
        <v>0</v>
      </c>
      <c r="Q447" s="258">
        <v>0</v>
      </c>
      <c r="R447" s="258">
        <v>0</v>
      </c>
      <c r="S447" s="258">
        <v>0</v>
      </c>
      <c r="T447" s="258">
        <v>0</v>
      </c>
      <c r="U447" s="258">
        <v>0</v>
      </c>
      <c r="V447" s="258">
        <v>0</v>
      </c>
      <c r="W447" s="258">
        <v>0</v>
      </c>
      <c r="X447" s="258">
        <v>0</v>
      </c>
      <c r="Y447" s="258">
        <v>0</v>
      </c>
      <c r="Z447" s="258">
        <v>0</v>
      </c>
      <c r="AA447" s="258">
        <v>0</v>
      </c>
      <c r="AB447" s="260">
        <v>2020</v>
      </c>
    </row>
    <row r="448" spans="1:28" s="6" customFormat="1" ht="35.25" customHeight="1" x14ac:dyDescent="0.5">
      <c r="A448" s="6">
        <v>1</v>
      </c>
      <c r="B448" s="225">
        <f>SUBTOTAL(103,$A$7:A448)</f>
        <v>432</v>
      </c>
      <c r="C448" s="254" t="s">
        <v>1856</v>
      </c>
      <c r="D448" s="255">
        <f t="shared" si="23"/>
        <v>1390097</v>
      </c>
      <c r="E448" s="258">
        <v>0</v>
      </c>
      <c r="F448" s="258">
        <v>0</v>
      </c>
      <c r="G448" s="258">
        <v>0</v>
      </c>
      <c r="H448" s="258">
        <v>0</v>
      </c>
      <c r="I448" s="258">
        <v>0</v>
      </c>
      <c r="J448" s="258">
        <v>0</v>
      </c>
      <c r="K448" s="259">
        <v>0</v>
      </c>
      <c r="L448" s="258">
        <v>0</v>
      </c>
      <c r="M448" s="258">
        <v>1390097</v>
      </c>
      <c r="N448" s="258">
        <v>0</v>
      </c>
      <c r="O448" s="258">
        <v>0</v>
      </c>
      <c r="P448" s="258">
        <v>0</v>
      </c>
      <c r="Q448" s="258">
        <v>0</v>
      </c>
      <c r="R448" s="258">
        <v>0</v>
      </c>
      <c r="S448" s="258">
        <v>0</v>
      </c>
      <c r="T448" s="258">
        <v>0</v>
      </c>
      <c r="U448" s="258">
        <v>0</v>
      </c>
      <c r="V448" s="258">
        <v>0</v>
      </c>
      <c r="W448" s="258">
        <v>0</v>
      </c>
      <c r="X448" s="258">
        <v>0</v>
      </c>
      <c r="Y448" s="258">
        <v>0</v>
      </c>
      <c r="Z448" s="258">
        <v>0</v>
      </c>
      <c r="AA448" s="258">
        <v>0</v>
      </c>
      <c r="AB448" s="260">
        <v>2020</v>
      </c>
    </row>
    <row r="449" spans="1:28" s="6" customFormat="1" ht="35.25" customHeight="1" x14ac:dyDescent="0.5">
      <c r="A449" s="6">
        <v>1</v>
      </c>
      <c r="B449" s="225">
        <f>SUBTOTAL(103,$A$7:A449)</f>
        <v>433</v>
      </c>
      <c r="C449" s="254" t="s">
        <v>1857</v>
      </c>
      <c r="D449" s="255">
        <f t="shared" si="23"/>
        <v>863796</v>
      </c>
      <c r="E449" s="258">
        <v>0</v>
      </c>
      <c r="F449" s="258">
        <v>0</v>
      </c>
      <c r="G449" s="258">
        <v>0</v>
      </c>
      <c r="H449" s="258">
        <v>0</v>
      </c>
      <c r="I449" s="258">
        <v>0</v>
      </c>
      <c r="J449" s="258">
        <v>0</v>
      </c>
      <c r="K449" s="259">
        <v>1</v>
      </c>
      <c r="L449" s="258">
        <v>82796</v>
      </c>
      <c r="M449" s="258">
        <v>781000</v>
      </c>
      <c r="N449" s="258">
        <v>0</v>
      </c>
      <c r="O449" s="258">
        <v>0</v>
      </c>
      <c r="P449" s="258">
        <v>0</v>
      </c>
      <c r="Q449" s="258">
        <v>0</v>
      </c>
      <c r="R449" s="258">
        <v>0</v>
      </c>
      <c r="S449" s="258">
        <v>0</v>
      </c>
      <c r="T449" s="258">
        <v>0</v>
      </c>
      <c r="U449" s="258">
        <v>0</v>
      </c>
      <c r="V449" s="258">
        <v>0</v>
      </c>
      <c r="W449" s="258">
        <v>0</v>
      </c>
      <c r="X449" s="258">
        <v>0</v>
      </c>
      <c r="Y449" s="258">
        <v>0</v>
      </c>
      <c r="Z449" s="258">
        <v>0</v>
      </c>
      <c r="AA449" s="258">
        <v>0</v>
      </c>
      <c r="AB449" s="260">
        <v>2020</v>
      </c>
    </row>
    <row r="450" spans="1:28" s="6" customFormat="1" ht="35.25" customHeight="1" x14ac:dyDescent="0.5">
      <c r="A450" s="6">
        <v>1</v>
      </c>
      <c r="B450" s="225">
        <f>SUBTOTAL(103,$A$7:A450)</f>
        <v>434</v>
      </c>
      <c r="C450" s="254" t="s">
        <v>1858</v>
      </c>
      <c r="D450" s="255">
        <f t="shared" si="23"/>
        <v>330086</v>
      </c>
      <c r="E450" s="258">
        <v>0</v>
      </c>
      <c r="F450" s="258">
        <v>0</v>
      </c>
      <c r="G450" s="258">
        <v>330086</v>
      </c>
      <c r="H450" s="258">
        <v>0</v>
      </c>
      <c r="I450" s="258">
        <v>0</v>
      </c>
      <c r="J450" s="258">
        <v>0</v>
      </c>
      <c r="K450" s="259">
        <v>0</v>
      </c>
      <c r="L450" s="258">
        <v>0</v>
      </c>
      <c r="M450" s="258">
        <v>0</v>
      </c>
      <c r="N450" s="258">
        <v>0</v>
      </c>
      <c r="O450" s="258">
        <v>0</v>
      </c>
      <c r="P450" s="258">
        <v>0</v>
      </c>
      <c r="Q450" s="258">
        <v>0</v>
      </c>
      <c r="R450" s="258">
        <v>0</v>
      </c>
      <c r="S450" s="258">
        <v>0</v>
      </c>
      <c r="T450" s="258">
        <v>0</v>
      </c>
      <c r="U450" s="258">
        <v>0</v>
      </c>
      <c r="V450" s="258">
        <v>0</v>
      </c>
      <c r="W450" s="258">
        <v>0</v>
      </c>
      <c r="X450" s="258">
        <v>0</v>
      </c>
      <c r="Y450" s="258">
        <v>0</v>
      </c>
      <c r="Z450" s="258">
        <v>0</v>
      </c>
      <c r="AA450" s="258">
        <v>0</v>
      </c>
      <c r="AB450" s="260">
        <v>2020</v>
      </c>
    </row>
    <row r="451" spans="1:28" s="6" customFormat="1" ht="35.25" customHeight="1" x14ac:dyDescent="0.5">
      <c r="A451" s="6">
        <v>1</v>
      </c>
      <c r="B451" s="225">
        <f>SUBTOTAL(103,$A$7:A451)</f>
        <v>435</v>
      </c>
      <c r="C451" s="254" t="s">
        <v>1859</v>
      </c>
      <c r="D451" s="255">
        <f t="shared" si="23"/>
        <v>693526</v>
      </c>
      <c r="E451" s="258">
        <v>0</v>
      </c>
      <c r="F451" s="258">
        <v>0</v>
      </c>
      <c r="G451" s="258">
        <v>0</v>
      </c>
      <c r="H451" s="258">
        <v>0</v>
      </c>
      <c r="I451" s="258">
        <v>0</v>
      </c>
      <c r="J451" s="258">
        <v>0</v>
      </c>
      <c r="K451" s="259">
        <v>0</v>
      </c>
      <c r="L451" s="258">
        <v>0</v>
      </c>
      <c r="M451" s="258">
        <v>693526</v>
      </c>
      <c r="N451" s="258">
        <v>0</v>
      </c>
      <c r="O451" s="258">
        <v>0</v>
      </c>
      <c r="P451" s="258">
        <v>0</v>
      </c>
      <c r="Q451" s="258">
        <v>0</v>
      </c>
      <c r="R451" s="258">
        <v>0</v>
      </c>
      <c r="S451" s="258">
        <v>0</v>
      </c>
      <c r="T451" s="258">
        <v>0</v>
      </c>
      <c r="U451" s="258">
        <v>0</v>
      </c>
      <c r="V451" s="258">
        <v>0</v>
      </c>
      <c r="W451" s="258">
        <v>0</v>
      </c>
      <c r="X451" s="258">
        <v>0</v>
      </c>
      <c r="Y451" s="258">
        <v>0</v>
      </c>
      <c r="Z451" s="258">
        <v>0</v>
      </c>
      <c r="AA451" s="258">
        <v>0</v>
      </c>
      <c r="AB451" s="260">
        <v>2020</v>
      </c>
    </row>
    <row r="452" spans="1:28" s="6" customFormat="1" ht="35.25" customHeight="1" x14ac:dyDescent="0.5">
      <c r="A452" s="6">
        <v>1</v>
      </c>
      <c r="B452" s="225">
        <f>SUBTOTAL(103,$A$7:A452)</f>
        <v>436</v>
      </c>
      <c r="C452" s="254" t="s">
        <v>1860</v>
      </c>
      <c r="D452" s="255">
        <f t="shared" si="23"/>
        <v>347354</v>
      </c>
      <c r="E452" s="258">
        <v>0</v>
      </c>
      <c r="F452" s="258">
        <v>0</v>
      </c>
      <c r="G452" s="258">
        <v>0</v>
      </c>
      <c r="H452" s="258">
        <v>0</v>
      </c>
      <c r="I452" s="258">
        <v>347354</v>
      </c>
      <c r="J452" s="258">
        <v>0</v>
      </c>
      <c r="K452" s="259">
        <v>0</v>
      </c>
      <c r="L452" s="258">
        <v>0</v>
      </c>
      <c r="M452" s="258">
        <v>0</v>
      </c>
      <c r="N452" s="258">
        <v>0</v>
      </c>
      <c r="O452" s="258">
        <v>0</v>
      </c>
      <c r="P452" s="258">
        <v>0</v>
      </c>
      <c r="Q452" s="258">
        <v>0</v>
      </c>
      <c r="R452" s="258">
        <v>0</v>
      </c>
      <c r="S452" s="258">
        <v>0</v>
      </c>
      <c r="T452" s="258">
        <v>0</v>
      </c>
      <c r="U452" s="258">
        <v>0</v>
      </c>
      <c r="V452" s="258">
        <v>0</v>
      </c>
      <c r="W452" s="258">
        <v>0</v>
      </c>
      <c r="X452" s="258">
        <v>0</v>
      </c>
      <c r="Y452" s="258">
        <v>0</v>
      </c>
      <c r="Z452" s="258">
        <v>0</v>
      </c>
      <c r="AA452" s="258">
        <v>0</v>
      </c>
      <c r="AB452" s="260">
        <v>2020</v>
      </c>
    </row>
    <row r="453" spans="1:28" s="6" customFormat="1" ht="35.25" customHeight="1" x14ac:dyDescent="0.5">
      <c r="A453" s="6">
        <v>1</v>
      </c>
      <c r="B453" s="225">
        <f>SUBTOTAL(103,$A$7:A453)</f>
        <v>437</v>
      </c>
      <c r="C453" s="254" t="s">
        <v>1861</v>
      </c>
      <c r="D453" s="255">
        <f t="shared" si="23"/>
        <v>1832116</v>
      </c>
      <c r="E453" s="258">
        <v>0</v>
      </c>
      <c r="F453" s="258">
        <v>0</v>
      </c>
      <c r="G453" s="258">
        <v>0</v>
      </c>
      <c r="H453" s="258">
        <v>0</v>
      </c>
      <c r="I453" s="258">
        <v>0</v>
      </c>
      <c r="J453" s="258">
        <v>0</v>
      </c>
      <c r="K453" s="259">
        <v>1</v>
      </c>
      <c r="L453" s="258">
        <v>1832116</v>
      </c>
      <c r="M453" s="258">
        <v>0</v>
      </c>
      <c r="N453" s="258">
        <v>0</v>
      </c>
      <c r="O453" s="258">
        <v>0</v>
      </c>
      <c r="P453" s="258">
        <v>0</v>
      </c>
      <c r="Q453" s="258">
        <v>0</v>
      </c>
      <c r="R453" s="258">
        <v>0</v>
      </c>
      <c r="S453" s="258">
        <v>0</v>
      </c>
      <c r="T453" s="258">
        <v>0</v>
      </c>
      <c r="U453" s="258">
        <v>0</v>
      </c>
      <c r="V453" s="258">
        <v>0</v>
      </c>
      <c r="W453" s="258">
        <v>0</v>
      </c>
      <c r="X453" s="258">
        <v>0</v>
      </c>
      <c r="Y453" s="258">
        <v>0</v>
      </c>
      <c r="Z453" s="258">
        <v>0</v>
      </c>
      <c r="AA453" s="258">
        <v>0</v>
      </c>
      <c r="AB453" s="260">
        <v>2020</v>
      </c>
    </row>
    <row r="454" spans="1:28" s="6" customFormat="1" ht="35.25" customHeight="1" x14ac:dyDescent="0.5">
      <c r="A454" s="6">
        <v>1</v>
      </c>
      <c r="B454" s="225">
        <f>SUBTOTAL(103,$A$7:A454)</f>
        <v>438</v>
      </c>
      <c r="C454" s="254" t="s">
        <v>1862</v>
      </c>
      <c r="D454" s="255">
        <f t="shared" si="23"/>
        <v>240211</v>
      </c>
      <c r="E454" s="258">
        <v>0</v>
      </c>
      <c r="F454" s="258">
        <v>0</v>
      </c>
      <c r="G454" s="258">
        <v>0</v>
      </c>
      <c r="H454" s="258">
        <v>0</v>
      </c>
      <c r="I454" s="258">
        <v>0</v>
      </c>
      <c r="J454" s="258">
        <v>0</v>
      </c>
      <c r="K454" s="259">
        <v>0</v>
      </c>
      <c r="L454" s="258">
        <v>0</v>
      </c>
      <c r="M454" s="258">
        <v>0</v>
      </c>
      <c r="N454" s="258">
        <v>0</v>
      </c>
      <c r="O454" s="258">
        <v>240211</v>
      </c>
      <c r="P454" s="258">
        <v>0</v>
      </c>
      <c r="Q454" s="258">
        <v>0</v>
      </c>
      <c r="R454" s="258">
        <v>0</v>
      </c>
      <c r="S454" s="258">
        <v>0</v>
      </c>
      <c r="T454" s="258">
        <v>0</v>
      </c>
      <c r="U454" s="258">
        <v>0</v>
      </c>
      <c r="V454" s="258">
        <v>0</v>
      </c>
      <c r="W454" s="258">
        <v>0</v>
      </c>
      <c r="X454" s="258">
        <v>0</v>
      </c>
      <c r="Y454" s="258">
        <v>0</v>
      </c>
      <c r="Z454" s="258">
        <v>0</v>
      </c>
      <c r="AA454" s="258">
        <v>0</v>
      </c>
      <c r="AB454" s="260">
        <v>2020</v>
      </c>
    </row>
    <row r="455" spans="1:28" s="6" customFormat="1" ht="35.25" customHeight="1" x14ac:dyDescent="0.5">
      <c r="A455" s="6">
        <v>1</v>
      </c>
      <c r="B455" s="225">
        <f>SUBTOTAL(103,$A$7:A455)</f>
        <v>439</v>
      </c>
      <c r="C455" s="254" t="s">
        <v>1863</v>
      </c>
      <c r="D455" s="255">
        <f t="shared" si="23"/>
        <v>155581.73000000001</v>
      </c>
      <c r="E455" s="258">
        <v>0</v>
      </c>
      <c r="F455" s="258">
        <v>0</v>
      </c>
      <c r="G455" s="258">
        <v>0</v>
      </c>
      <c r="H455" s="258">
        <v>155581.73000000001</v>
      </c>
      <c r="I455" s="258">
        <v>0</v>
      </c>
      <c r="J455" s="258">
        <v>0</v>
      </c>
      <c r="K455" s="259">
        <v>0</v>
      </c>
      <c r="L455" s="258">
        <v>0</v>
      </c>
      <c r="M455" s="258">
        <v>0</v>
      </c>
      <c r="N455" s="258">
        <v>0</v>
      </c>
      <c r="O455" s="258">
        <v>0</v>
      </c>
      <c r="P455" s="258">
        <v>0</v>
      </c>
      <c r="Q455" s="258">
        <v>0</v>
      </c>
      <c r="R455" s="258">
        <v>0</v>
      </c>
      <c r="S455" s="258">
        <v>0</v>
      </c>
      <c r="T455" s="258">
        <v>0</v>
      </c>
      <c r="U455" s="258">
        <v>0</v>
      </c>
      <c r="V455" s="258">
        <v>0</v>
      </c>
      <c r="W455" s="258">
        <v>0</v>
      </c>
      <c r="X455" s="258">
        <v>0</v>
      </c>
      <c r="Y455" s="258">
        <v>0</v>
      </c>
      <c r="Z455" s="258">
        <v>0</v>
      </c>
      <c r="AA455" s="258">
        <v>0</v>
      </c>
      <c r="AB455" s="260">
        <v>2020</v>
      </c>
    </row>
    <row r="456" spans="1:28" s="6" customFormat="1" ht="35.25" customHeight="1" x14ac:dyDescent="0.5">
      <c r="A456" s="6">
        <v>1</v>
      </c>
      <c r="B456" s="225">
        <f>SUBTOTAL(103,$A$7:A456)</f>
        <v>440</v>
      </c>
      <c r="C456" s="254" t="s">
        <v>2186</v>
      </c>
      <c r="D456" s="255">
        <v>1467871.96</v>
      </c>
      <c r="E456" s="258">
        <v>0</v>
      </c>
      <c r="F456" s="258">
        <v>0</v>
      </c>
      <c r="G456" s="258">
        <v>1467871.96</v>
      </c>
      <c r="H456" s="258">
        <v>0</v>
      </c>
      <c r="I456" s="258">
        <v>0</v>
      </c>
      <c r="J456" s="258">
        <v>0</v>
      </c>
      <c r="K456" s="259">
        <v>0</v>
      </c>
      <c r="L456" s="258">
        <v>0</v>
      </c>
      <c r="M456" s="258">
        <v>0</v>
      </c>
      <c r="N456" s="258">
        <v>0</v>
      </c>
      <c r="O456" s="258">
        <v>0</v>
      </c>
      <c r="P456" s="258">
        <v>0</v>
      </c>
      <c r="Q456" s="258">
        <v>0</v>
      </c>
      <c r="R456" s="258">
        <v>0</v>
      </c>
      <c r="S456" s="258">
        <v>0</v>
      </c>
      <c r="T456" s="258">
        <v>0</v>
      </c>
      <c r="U456" s="258">
        <v>0</v>
      </c>
      <c r="V456" s="258">
        <v>0</v>
      </c>
      <c r="W456" s="258">
        <v>0</v>
      </c>
      <c r="X456" s="258">
        <v>0</v>
      </c>
      <c r="Y456" s="258">
        <v>0</v>
      </c>
      <c r="Z456" s="258">
        <v>0</v>
      </c>
      <c r="AA456" s="258">
        <v>0</v>
      </c>
      <c r="AB456" s="260">
        <v>2020</v>
      </c>
    </row>
    <row r="457" spans="1:28" s="6" customFormat="1" ht="35.25" customHeight="1" x14ac:dyDescent="0.5">
      <c r="A457" s="6">
        <v>1</v>
      </c>
      <c r="B457" s="225">
        <f>SUBTOTAL(103,$A$7:A457)</f>
        <v>441</v>
      </c>
      <c r="C457" s="254" t="s">
        <v>2187</v>
      </c>
      <c r="D457" s="255">
        <v>3131855.51</v>
      </c>
      <c r="E457" s="258">
        <v>0</v>
      </c>
      <c r="F457" s="258">
        <v>0</v>
      </c>
      <c r="G457" s="258">
        <v>3131855.51</v>
      </c>
      <c r="H457" s="258">
        <v>0</v>
      </c>
      <c r="I457" s="258">
        <v>0</v>
      </c>
      <c r="J457" s="258">
        <v>0</v>
      </c>
      <c r="K457" s="259">
        <v>0</v>
      </c>
      <c r="L457" s="258">
        <v>0</v>
      </c>
      <c r="M457" s="258">
        <v>0</v>
      </c>
      <c r="N457" s="258">
        <v>0</v>
      </c>
      <c r="O457" s="258">
        <v>0</v>
      </c>
      <c r="P457" s="258">
        <v>0</v>
      </c>
      <c r="Q457" s="258">
        <v>0</v>
      </c>
      <c r="R457" s="258">
        <v>0</v>
      </c>
      <c r="S457" s="258">
        <v>0</v>
      </c>
      <c r="T457" s="258">
        <v>0</v>
      </c>
      <c r="U457" s="258">
        <v>0</v>
      </c>
      <c r="V457" s="258">
        <v>0</v>
      </c>
      <c r="W457" s="258">
        <v>0</v>
      </c>
      <c r="X457" s="258">
        <v>0</v>
      </c>
      <c r="Y457" s="258">
        <v>0</v>
      </c>
      <c r="Z457" s="258">
        <v>0</v>
      </c>
      <c r="AA457" s="258">
        <v>0</v>
      </c>
      <c r="AB457" s="260">
        <v>2020</v>
      </c>
    </row>
    <row r="458" spans="1:28" s="6" customFormat="1" ht="35.25" customHeight="1" x14ac:dyDescent="0.5">
      <c r="A458" s="6">
        <v>1</v>
      </c>
      <c r="B458" s="225">
        <f>SUBTOTAL(103,$A$7:A458)</f>
        <v>442</v>
      </c>
      <c r="C458" s="254" t="s">
        <v>2188</v>
      </c>
      <c r="D458" s="255">
        <v>419031</v>
      </c>
      <c r="E458" s="258">
        <v>117495</v>
      </c>
      <c r="F458" s="258">
        <v>301536</v>
      </c>
      <c r="G458" s="258">
        <v>0</v>
      </c>
      <c r="H458" s="258">
        <v>0</v>
      </c>
      <c r="I458" s="258">
        <v>0</v>
      </c>
      <c r="J458" s="258">
        <v>0</v>
      </c>
      <c r="K458" s="259">
        <v>0</v>
      </c>
      <c r="L458" s="258">
        <v>0</v>
      </c>
      <c r="M458" s="258">
        <v>0</v>
      </c>
      <c r="N458" s="258">
        <v>0</v>
      </c>
      <c r="O458" s="258">
        <v>0</v>
      </c>
      <c r="P458" s="258">
        <v>0</v>
      </c>
      <c r="Q458" s="258">
        <v>0</v>
      </c>
      <c r="R458" s="258">
        <v>0</v>
      </c>
      <c r="S458" s="258">
        <v>0</v>
      </c>
      <c r="T458" s="258">
        <v>0</v>
      </c>
      <c r="U458" s="258">
        <v>0</v>
      </c>
      <c r="V458" s="258">
        <v>0</v>
      </c>
      <c r="W458" s="258">
        <v>0</v>
      </c>
      <c r="X458" s="258">
        <v>0</v>
      </c>
      <c r="Y458" s="258">
        <v>0</v>
      </c>
      <c r="Z458" s="258">
        <v>0</v>
      </c>
      <c r="AA458" s="258">
        <v>0</v>
      </c>
      <c r="AB458" s="260">
        <v>2020</v>
      </c>
    </row>
    <row r="459" spans="1:28" s="6" customFormat="1" ht="35.25" customHeight="1" x14ac:dyDescent="0.5">
      <c r="A459" s="6">
        <v>1</v>
      </c>
      <c r="B459" s="225">
        <f>SUBTOTAL(103,$A$7:A459)</f>
        <v>443</v>
      </c>
      <c r="C459" s="254" t="s">
        <v>2189</v>
      </c>
      <c r="D459" s="255">
        <f t="shared" ref="D459:D476" si="24">E459+F459+G459+H459+I459+J459+L459+M459+N459+O459+P459+Q459+R459+S459+T459+U459+V459+W459+X459+Y459+Z459+AA459</f>
        <v>670514.39</v>
      </c>
      <c r="E459" s="258">
        <v>0</v>
      </c>
      <c r="F459" s="258">
        <v>0</v>
      </c>
      <c r="G459" s="258">
        <v>670514.39</v>
      </c>
      <c r="H459" s="258">
        <v>0</v>
      </c>
      <c r="I459" s="258">
        <v>0</v>
      </c>
      <c r="J459" s="258">
        <v>0</v>
      </c>
      <c r="K459" s="259">
        <v>0</v>
      </c>
      <c r="L459" s="258">
        <v>0</v>
      </c>
      <c r="M459" s="258">
        <v>0</v>
      </c>
      <c r="N459" s="258">
        <v>0</v>
      </c>
      <c r="O459" s="258">
        <v>0</v>
      </c>
      <c r="P459" s="258">
        <v>0</v>
      </c>
      <c r="Q459" s="258">
        <v>0</v>
      </c>
      <c r="R459" s="258">
        <v>0</v>
      </c>
      <c r="S459" s="258">
        <v>0</v>
      </c>
      <c r="T459" s="258">
        <v>0</v>
      </c>
      <c r="U459" s="258">
        <v>0</v>
      </c>
      <c r="V459" s="258">
        <v>0</v>
      </c>
      <c r="W459" s="258">
        <v>0</v>
      </c>
      <c r="X459" s="258">
        <v>0</v>
      </c>
      <c r="Y459" s="258">
        <v>0</v>
      </c>
      <c r="Z459" s="258">
        <v>0</v>
      </c>
      <c r="AA459" s="258">
        <v>0</v>
      </c>
      <c r="AB459" s="260">
        <v>2020</v>
      </c>
    </row>
    <row r="460" spans="1:28" s="6" customFormat="1" ht="35.25" customHeight="1" x14ac:dyDescent="0.5">
      <c r="A460" s="6">
        <v>1</v>
      </c>
      <c r="B460" s="225">
        <f>SUBTOTAL(103,$A$7:A460)</f>
        <v>444</v>
      </c>
      <c r="C460" s="254" t="s">
        <v>2190</v>
      </c>
      <c r="D460" s="255">
        <f t="shared" si="24"/>
        <v>263492</v>
      </c>
      <c r="E460" s="258">
        <v>0</v>
      </c>
      <c r="F460" s="258">
        <v>263492</v>
      </c>
      <c r="G460" s="258">
        <v>0</v>
      </c>
      <c r="H460" s="258">
        <v>0</v>
      </c>
      <c r="I460" s="258">
        <v>0</v>
      </c>
      <c r="J460" s="258">
        <v>0</v>
      </c>
      <c r="K460" s="259">
        <v>0</v>
      </c>
      <c r="L460" s="258">
        <v>0</v>
      </c>
      <c r="M460" s="258">
        <v>0</v>
      </c>
      <c r="N460" s="258">
        <v>0</v>
      </c>
      <c r="O460" s="258">
        <v>0</v>
      </c>
      <c r="P460" s="258">
        <v>0</v>
      </c>
      <c r="Q460" s="258">
        <v>0</v>
      </c>
      <c r="R460" s="258">
        <v>0</v>
      </c>
      <c r="S460" s="258">
        <v>0</v>
      </c>
      <c r="T460" s="258">
        <v>0</v>
      </c>
      <c r="U460" s="258">
        <v>0</v>
      </c>
      <c r="V460" s="258">
        <v>0</v>
      </c>
      <c r="W460" s="258">
        <v>0</v>
      </c>
      <c r="X460" s="258">
        <v>0</v>
      </c>
      <c r="Y460" s="258">
        <v>0</v>
      </c>
      <c r="Z460" s="258">
        <v>0</v>
      </c>
      <c r="AA460" s="258">
        <v>0</v>
      </c>
      <c r="AB460" s="260">
        <v>2020</v>
      </c>
    </row>
    <row r="461" spans="1:28" s="6" customFormat="1" ht="35.25" customHeight="1" x14ac:dyDescent="0.5">
      <c r="A461" s="6">
        <v>1</v>
      </c>
      <c r="B461" s="225">
        <f>SUBTOTAL(103,$A$7:A461)</f>
        <v>445</v>
      </c>
      <c r="C461" s="254" t="s">
        <v>2191</v>
      </c>
      <c r="D461" s="255">
        <f t="shared" si="24"/>
        <v>1832116</v>
      </c>
      <c r="E461" s="258">
        <v>0</v>
      </c>
      <c r="F461" s="258">
        <v>0</v>
      </c>
      <c r="G461" s="258">
        <v>0</v>
      </c>
      <c r="H461" s="258">
        <v>0</v>
      </c>
      <c r="I461" s="258">
        <v>0</v>
      </c>
      <c r="J461" s="258">
        <v>0</v>
      </c>
      <c r="K461" s="259">
        <v>1</v>
      </c>
      <c r="L461" s="258">
        <v>1832116</v>
      </c>
      <c r="M461" s="258">
        <v>0</v>
      </c>
      <c r="N461" s="258">
        <v>0</v>
      </c>
      <c r="O461" s="258">
        <v>0</v>
      </c>
      <c r="P461" s="258">
        <v>0</v>
      </c>
      <c r="Q461" s="258">
        <v>0</v>
      </c>
      <c r="R461" s="258">
        <v>0</v>
      </c>
      <c r="S461" s="258">
        <v>0</v>
      </c>
      <c r="T461" s="258">
        <v>0</v>
      </c>
      <c r="U461" s="258">
        <v>0</v>
      </c>
      <c r="V461" s="258">
        <v>0</v>
      </c>
      <c r="W461" s="258">
        <v>0</v>
      </c>
      <c r="X461" s="258">
        <v>0</v>
      </c>
      <c r="Y461" s="258">
        <v>0</v>
      </c>
      <c r="Z461" s="258">
        <v>0</v>
      </c>
      <c r="AA461" s="258">
        <v>0</v>
      </c>
      <c r="AB461" s="260">
        <v>2020</v>
      </c>
    </row>
    <row r="462" spans="1:28" s="6" customFormat="1" ht="35.25" customHeight="1" x14ac:dyDescent="0.5">
      <c r="A462" s="6">
        <v>1</v>
      </c>
      <c r="B462" s="225">
        <f>SUBTOTAL(103,$A$7:A462)</f>
        <v>446</v>
      </c>
      <c r="C462" s="254" t="s">
        <v>2192</v>
      </c>
      <c r="D462" s="255">
        <f t="shared" si="24"/>
        <v>643086</v>
      </c>
      <c r="E462" s="258">
        <v>0</v>
      </c>
      <c r="F462" s="258">
        <v>0</v>
      </c>
      <c r="G462" s="258">
        <v>0</v>
      </c>
      <c r="H462" s="258">
        <v>0</v>
      </c>
      <c r="I462" s="258">
        <v>0</v>
      </c>
      <c r="J462" s="258">
        <v>0</v>
      </c>
      <c r="K462" s="259">
        <v>0</v>
      </c>
      <c r="L462" s="258">
        <v>0</v>
      </c>
      <c r="M462" s="258">
        <v>643086</v>
      </c>
      <c r="N462" s="258">
        <v>0</v>
      </c>
      <c r="O462" s="258">
        <v>0</v>
      </c>
      <c r="P462" s="258">
        <v>0</v>
      </c>
      <c r="Q462" s="258">
        <v>0</v>
      </c>
      <c r="R462" s="258">
        <v>0</v>
      </c>
      <c r="S462" s="258">
        <v>0</v>
      </c>
      <c r="T462" s="258">
        <v>0</v>
      </c>
      <c r="U462" s="258">
        <v>0</v>
      </c>
      <c r="V462" s="258">
        <v>0</v>
      </c>
      <c r="W462" s="258">
        <v>0</v>
      </c>
      <c r="X462" s="258">
        <v>0</v>
      </c>
      <c r="Y462" s="258">
        <v>0</v>
      </c>
      <c r="Z462" s="258">
        <v>0</v>
      </c>
      <c r="AA462" s="258">
        <v>0</v>
      </c>
      <c r="AB462" s="260">
        <v>2020</v>
      </c>
    </row>
    <row r="463" spans="1:28" s="6" customFormat="1" ht="35.25" customHeight="1" x14ac:dyDescent="0.5">
      <c r="A463" s="6">
        <v>1</v>
      </c>
      <c r="B463" s="225">
        <f>SUBTOTAL(103,$A$7:A463)</f>
        <v>447</v>
      </c>
      <c r="C463" s="254" t="s">
        <v>2193</v>
      </c>
      <c r="D463" s="255">
        <f t="shared" si="24"/>
        <v>249000</v>
      </c>
      <c r="E463" s="258">
        <v>0</v>
      </c>
      <c r="F463" s="258">
        <v>0</v>
      </c>
      <c r="G463" s="258">
        <v>0</v>
      </c>
      <c r="H463" s="258">
        <v>0</v>
      </c>
      <c r="I463" s="258">
        <v>0</v>
      </c>
      <c r="J463" s="258">
        <v>0</v>
      </c>
      <c r="K463" s="259">
        <v>0</v>
      </c>
      <c r="L463" s="258">
        <v>0</v>
      </c>
      <c r="M463" s="258">
        <v>249000</v>
      </c>
      <c r="N463" s="258">
        <v>0</v>
      </c>
      <c r="O463" s="258">
        <v>0</v>
      </c>
      <c r="P463" s="258">
        <v>0</v>
      </c>
      <c r="Q463" s="258">
        <v>0</v>
      </c>
      <c r="R463" s="258">
        <v>0</v>
      </c>
      <c r="S463" s="258">
        <v>0</v>
      </c>
      <c r="T463" s="258">
        <v>0</v>
      </c>
      <c r="U463" s="258">
        <v>0</v>
      </c>
      <c r="V463" s="258">
        <v>0</v>
      </c>
      <c r="W463" s="258">
        <v>0</v>
      </c>
      <c r="X463" s="258">
        <v>0</v>
      </c>
      <c r="Y463" s="258">
        <v>0</v>
      </c>
      <c r="Z463" s="258">
        <v>0</v>
      </c>
      <c r="AA463" s="258">
        <v>0</v>
      </c>
      <c r="AB463" s="260">
        <v>2020</v>
      </c>
    </row>
    <row r="464" spans="1:28" s="6" customFormat="1" ht="35.25" customHeight="1" x14ac:dyDescent="0.5">
      <c r="A464" s="6">
        <v>1</v>
      </c>
      <c r="B464" s="225">
        <f>SUBTOTAL(103,$A$7:A464)</f>
        <v>448</v>
      </c>
      <c r="C464" s="254" t="s">
        <v>2194</v>
      </c>
      <c r="D464" s="255">
        <f t="shared" si="24"/>
        <v>223000</v>
      </c>
      <c r="E464" s="258">
        <v>0</v>
      </c>
      <c r="F464" s="258">
        <v>0</v>
      </c>
      <c r="G464" s="258">
        <v>0</v>
      </c>
      <c r="H464" s="258">
        <v>0</v>
      </c>
      <c r="I464" s="258">
        <v>0</v>
      </c>
      <c r="J464" s="258">
        <v>0</v>
      </c>
      <c r="K464" s="259">
        <v>0</v>
      </c>
      <c r="L464" s="258">
        <v>0</v>
      </c>
      <c r="M464" s="258">
        <v>0</v>
      </c>
      <c r="N464" s="258">
        <v>0</v>
      </c>
      <c r="O464" s="258">
        <v>223000</v>
      </c>
      <c r="P464" s="258">
        <v>0</v>
      </c>
      <c r="Q464" s="258">
        <v>0</v>
      </c>
      <c r="R464" s="258">
        <v>0</v>
      </c>
      <c r="S464" s="258">
        <v>0</v>
      </c>
      <c r="T464" s="258">
        <v>0</v>
      </c>
      <c r="U464" s="258">
        <v>0</v>
      </c>
      <c r="V464" s="258">
        <v>0</v>
      </c>
      <c r="W464" s="258">
        <v>0</v>
      </c>
      <c r="X464" s="258">
        <v>0</v>
      </c>
      <c r="Y464" s="258">
        <v>0</v>
      </c>
      <c r="Z464" s="258">
        <v>0</v>
      </c>
      <c r="AA464" s="258">
        <v>0</v>
      </c>
      <c r="AB464" s="260">
        <v>2020</v>
      </c>
    </row>
    <row r="465" spans="1:28" s="6" customFormat="1" ht="35.25" customHeight="1" x14ac:dyDescent="0.5">
      <c r="A465" s="6">
        <v>1</v>
      </c>
      <c r="B465" s="225">
        <f>SUBTOTAL(103,$A$7:A465)</f>
        <v>449</v>
      </c>
      <c r="C465" s="254" t="s">
        <v>2195</v>
      </c>
      <c r="D465" s="255">
        <f t="shared" si="24"/>
        <v>1137848</v>
      </c>
      <c r="E465" s="258">
        <v>0</v>
      </c>
      <c r="F465" s="258">
        <v>0</v>
      </c>
      <c r="G465" s="258">
        <v>0</v>
      </c>
      <c r="H465" s="258">
        <v>0</v>
      </c>
      <c r="I465" s="258">
        <v>0</v>
      </c>
      <c r="J465" s="258">
        <v>0</v>
      </c>
      <c r="K465" s="259">
        <v>0</v>
      </c>
      <c r="L465" s="258">
        <v>0</v>
      </c>
      <c r="M465" s="258">
        <v>0</v>
      </c>
      <c r="N465" s="258">
        <v>1137848</v>
      </c>
      <c r="O465" s="258">
        <v>0</v>
      </c>
      <c r="P465" s="258">
        <v>0</v>
      </c>
      <c r="Q465" s="258">
        <v>0</v>
      </c>
      <c r="R465" s="258">
        <v>0</v>
      </c>
      <c r="S465" s="258">
        <v>0</v>
      </c>
      <c r="T465" s="258">
        <v>0</v>
      </c>
      <c r="U465" s="258">
        <v>0</v>
      </c>
      <c r="V465" s="258">
        <v>0</v>
      </c>
      <c r="W465" s="258">
        <v>0</v>
      </c>
      <c r="X465" s="258">
        <v>0</v>
      </c>
      <c r="Y465" s="258">
        <v>0</v>
      </c>
      <c r="Z465" s="258">
        <v>0</v>
      </c>
      <c r="AA465" s="258">
        <v>0</v>
      </c>
      <c r="AB465" s="260">
        <v>2020</v>
      </c>
    </row>
    <row r="466" spans="1:28" s="6" customFormat="1" ht="35.25" customHeight="1" x14ac:dyDescent="0.5">
      <c r="A466" s="6">
        <v>1</v>
      </c>
      <c r="B466" s="225">
        <f>SUBTOTAL(103,$A$7:A466)</f>
        <v>450</v>
      </c>
      <c r="C466" s="254" t="s">
        <v>2196</v>
      </c>
      <c r="D466" s="255">
        <f t="shared" si="24"/>
        <v>210700</v>
      </c>
      <c r="E466" s="258">
        <v>0</v>
      </c>
      <c r="F466" s="258">
        <v>0</v>
      </c>
      <c r="G466" s="258">
        <v>210700</v>
      </c>
      <c r="H466" s="258">
        <v>0</v>
      </c>
      <c r="I466" s="258">
        <v>0</v>
      </c>
      <c r="J466" s="258">
        <v>0</v>
      </c>
      <c r="K466" s="259">
        <v>0</v>
      </c>
      <c r="L466" s="258">
        <v>0</v>
      </c>
      <c r="M466" s="258">
        <v>0</v>
      </c>
      <c r="N466" s="258">
        <v>0</v>
      </c>
      <c r="O466" s="258">
        <v>0</v>
      </c>
      <c r="P466" s="258">
        <v>0</v>
      </c>
      <c r="Q466" s="258">
        <v>0</v>
      </c>
      <c r="R466" s="258">
        <v>0</v>
      </c>
      <c r="S466" s="258">
        <v>0</v>
      </c>
      <c r="T466" s="258">
        <v>0</v>
      </c>
      <c r="U466" s="258">
        <v>0</v>
      </c>
      <c r="V466" s="258">
        <v>0</v>
      </c>
      <c r="W466" s="258">
        <v>0</v>
      </c>
      <c r="X466" s="258">
        <v>0</v>
      </c>
      <c r="Y466" s="258">
        <v>0</v>
      </c>
      <c r="Z466" s="258">
        <v>0</v>
      </c>
      <c r="AA466" s="258">
        <v>0</v>
      </c>
      <c r="AB466" s="260">
        <v>2020</v>
      </c>
    </row>
    <row r="467" spans="1:28" s="6" customFormat="1" ht="35.25" customHeight="1" x14ac:dyDescent="0.5">
      <c r="A467" s="6">
        <v>1</v>
      </c>
      <c r="B467" s="225">
        <f>SUBTOTAL(103,$A$7:A467)</f>
        <v>451</v>
      </c>
      <c r="C467" s="254" t="s">
        <v>2197</v>
      </c>
      <c r="D467" s="255">
        <f t="shared" si="24"/>
        <v>492012</v>
      </c>
      <c r="E467" s="258">
        <v>0</v>
      </c>
      <c r="F467" s="258">
        <v>0</v>
      </c>
      <c r="G467" s="258">
        <v>0</v>
      </c>
      <c r="H467" s="258">
        <v>0</v>
      </c>
      <c r="I467" s="258">
        <v>492012</v>
      </c>
      <c r="J467" s="258">
        <v>0</v>
      </c>
      <c r="K467" s="259">
        <v>0</v>
      </c>
      <c r="L467" s="258">
        <v>0</v>
      </c>
      <c r="M467" s="258">
        <v>0</v>
      </c>
      <c r="N467" s="258">
        <v>0</v>
      </c>
      <c r="O467" s="258">
        <v>0</v>
      </c>
      <c r="P467" s="258">
        <v>0</v>
      </c>
      <c r="Q467" s="258">
        <v>0</v>
      </c>
      <c r="R467" s="258">
        <v>0</v>
      </c>
      <c r="S467" s="258">
        <v>0</v>
      </c>
      <c r="T467" s="258">
        <v>0</v>
      </c>
      <c r="U467" s="258">
        <v>0</v>
      </c>
      <c r="V467" s="258">
        <v>0</v>
      </c>
      <c r="W467" s="258">
        <v>0</v>
      </c>
      <c r="X467" s="258">
        <v>0</v>
      </c>
      <c r="Y467" s="258">
        <v>0</v>
      </c>
      <c r="Z467" s="258">
        <v>0</v>
      </c>
      <c r="AA467" s="258">
        <v>0</v>
      </c>
      <c r="AB467" s="260">
        <v>2020</v>
      </c>
    </row>
    <row r="468" spans="1:28" s="6" customFormat="1" ht="35.25" customHeight="1" x14ac:dyDescent="0.5">
      <c r="A468" s="6">
        <v>1</v>
      </c>
      <c r="B468" s="225">
        <f>SUBTOTAL(103,$A$7:A468)</f>
        <v>452</v>
      </c>
      <c r="C468" s="254" t="s">
        <v>2198</v>
      </c>
      <c r="D468" s="255">
        <f t="shared" si="24"/>
        <v>63000</v>
      </c>
      <c r="E468" s="258">
        <v>0</v>
      </c>
      <c r="F468" s="258">
        <v>63000</v>
      </c>
      <c r="G468" s="258">
        <v>0</v>
      </c>
      <c r="H468" s="258">
        <v>0</v>
      </c>
      <c r="I468" s="258">
        <v>0</v>
      </c>
      <c r="J468" s="258">
        <v>0</v>
      </c>
      <c r="K468" s="259">
        <v>0</v>
      </c>
      <c r="L468" s="258">
        <v>0</v>
      </c>
      <c r="M468" s="258">
        <v>0</v>
      </c>
      <c r="N468" s="258">
        <v>0</v>
      </c>
      <c r="O468" s="258">
        <v>0</v>
      </c>
      <c r="P468" s="258">
        <v>0</v>
      </c>
      <c r="Q468" s="258">
        <v>0</v>
      </c>
      <c r="R468" s="258">
        <v>0</v>
      </c>
      <c r="S468" s="258">
        <v>0</v>
      </c>
      <c r="T468" s="258">
        <v>0</v>
      </c>
      <c r="U468" s="258">
        <v>0</v>
      </c>
      <c r="V468" s="258">
        <v>0</v>
      </c>
      <c r="W468" s="258">
        <v>0</v>
      </c>
      <c r="X468" s="258">
        <v>0</v>
      </c>
      <c r="Y468" s="258">
        <v>0</v>
      </c>
      <c r="Z468" s="258">
        <v>0</v>
      </c>
      <c r="AA468" s="258">
        <v>0</v>
      </c>
      <c r="AB468" s="260">
        <v>2020</v>
      </c>
    </row>
    <row r="469" spans="1:28" s="6" customFormat="1" ht="35.25" customHeight="1" x14ac:dyDescent="0.5">
      <c r="A469" s="6">
        <v>1</v>
      </c>
      <c r="B469" s="225">
        <f>SUBTOTAL(103,$A$7:A469)</f>
        <v>453</v>
      </c>
      <c r="C469" s="254" t="s">
        <v>2199</v>
      </c>
      <c r="D469" s="255">
        <f t="shared" si="24"/>
        <v>361000</v>
      </c>
      <c r="E469" s="258">
        <v>0</v>
      </c>
      <c r="F469" s="258">
        <v>0</v>
      </c>
      <c r="G469" s="258">
        <v>0</v>
      </c>
      <c r="H469" s="258">
        <v>0</v>
      </c>
      <c r="I469" s="258">
        <v>0</v>
      </c>
      <c r="J469" s="258">
        <v>0</v>
      </c>
      <c r="K469" s="259">
        <v>0</v>
      </c>
      <c r="L469" s="258">
        <v>0</v>
      </c>
      <c r="M469" s="258">
        <v>0</v>
      </c>
      <c r="N469" s="258">
        <v>0</v>
      </c>
      <c r="O469" s="258">
        <v>361000</v>
      </c>
      <c r="P469" s="258">
        <v>0</v>
      </c>
      <c r="Q469" s="258">
        <v>0</v>
      </c>
      <c r="R469" s="258">
        <v>0</v>
      </c>
      <c r="S469" s="258">
        <v>0</v>
      </c>
      <c r="T469" s="258">
        <v>0</v>
      </c>
      <c r="U469" s="258">
        <v>0</v>
      </c>
      <c r="V469" s="258">
        <v>0</v>
      </c>
      <c r="W469" s="258">
        <v>0</v>
      </c>
      <c r="X469" s="258">
        <v>0</v>
      </c>
      <c r="Y469" s="258">
        <v>0</v>
      </c>
      <c r="Z469" s="258">
        <v>0</v>
      </c>
      <c r="AA469" s="258">
        <v>0</v>
      </c>
      <c r="AB469" s="260">
        <v>2020</v>
      </c>
    </row>
    <row r="470" spans="1:28" s="6" customFormat="1" ht="35.25" customHeight="1" x14ac:dyDescent="0.5">
      <c r="A470" s="6">
        <v>1</v>
      </c>
      <c r="B470" s="225">
        <f>SUBTOTAL(103,$A$7:A470)</f>
        <v>454</v>
      </c>
      <c r="C470" s="254" t="s">
        <v>2200</v>
      </c>
      <c r="D470" s="255">
        <f t="shared" si="24"/>
        <v>124000</v>
      </c>
      <c r="E470" s="258">
        <v>0</v>
      </c>
      <c r="F470" s="258">
        <v>0</v>
      </c>
      <c r="G470" s="258">
        <v>0</v>
      </c>
      <c r="H470" s="258">
        <v>0</v>
      </c>
      <c r="I470" s="258">
        <v>0</v>
      </c>
      <c r="J470" s="258">
        <v>0</v>
      </c>
      <c r="K470" s="259">
        <v>0</v>
      </c>
      <c r="L470" s="258">
        <v>0</v>
      </c>
      <c r="M470" s="258">
        <v>0</v>
      </c>
      <c r="N470" s="258">
        <v>0</v>
      </c>
      <c r="O470" s="258">
        <v>124000</v>
      </c>
      <c r="P470" s="258">
        <v>0</v>
      </c>
      <c r="Q470" s="258">
        <v>0</v>
      </c>
      <c r="R470" s="258">
        <v>0</v>
      </c>
      <c r="S470" s="258">
        <v>0</v>
      </c>
      <c r="T470" s="258">
        <v>0</v>
      </c>
      <c r="U470" s="258">
        <v>0</v>
      </c>
      <c r="V470" s="258">
        <v>0</v>
      </c>
      <c r="W470" s="258">
        <v>0</v>
      </c>
      <c r="X470" s="258">
        <v>0</v>
      </c>
      <c r="Y470" s="258">
        <v>0</v>
      </c>
      <c r="Z470" s="258">
        <v>0</v>
      </c>
      <c r="AA470" s="258">
        <v>0</v>
      </c>
      <c r="AB470" s="260">
        <v>2020</v>
      </c>
    </row>
    <row r="471" spans="1:28" s="6" customFormat="1" ht="35.25" customHeight="1" x14ac:dyDescent="0.5">
      <c r="A471" s="6">
        <v>1</v>
      </c>
      <c r="B471" s="225">
        <f>SUBTOTAL(103,$A$7:A471)</f>
        <v>455</v>
      </c>
      <c r="C471" s="254" t="s">
        <v>2201</v>
      </c>
      <c r="D471" s="255">
        <f t="shared" si="24"/>
        <v>1832116</v>
      </c>
      <c r="E471" s="258">
        <v>0</v>
      </c>
      <c r="F471" s="258">
        <v>0</v>
      </c>
      <c r="G471" s="258">
        <v>0</v>
      </c>
      <c r="H471" s="258">
        <v>0</v>
      </c>
      <c r="I471" s="258">
        <v>0</v>
      </c>
      <c r="J471" s="258">
        <v>0</v>
      </c>
      <c r="K471" s="259">
        <v>1</v>
      </c>
      <c r="L471" s="258">
        <v>1832116</v>
      </c>
      <c r="M471" s="258">
        <v>0</v>
      </c>
      <c r="N471" s="258">
        <v>0</v>
      </c>
      <c r="O471" s="258">
        <v>0</v>
      </c>
      <c r="P471" s="258">
        <v>0</v>
      </c>
      <c r="Q471" s="258">
        <v>0</v>
      </c>
      <c r="R471" s="258">
        <v>0</v>
      </c>
      <c r="S471" s="258">
        <v>0</v>
      </c>
      <c r="T471" s="258">
        <v>0</v>
      </c>
      <c r="U471" s="258">
        <v>0</v>
      </c>
      <c r="V471" s="258">
        <v>0</v>
      </c>
      <c r="W471" s="258">
        <v>0</v>
      </c>
      <c r="X471" s="258">
        <v>0</v>
      </c>
      <c r="Y471" s="258">
        <v>0</v>
      </c>
      <c r="Z471" s="258">
        <v>0</v>
      </c>
      <c r="AA471" s="258">
        <v>0</v>
      </c>
      <c r="AB471" s="260">
        <v>2020</v>
      </c>
    </row>
    <row r="472" spans="1:28" s="6" customFormat="1" ht="35.25" customHeight="1" x14ac:dyDescent="0.5">
      <c r="A472" s="6">
        <v>1</v>
      </c>
      <c r="B472" s="225">
        <f>SUBTOTAL(103,$A$7:A472)</f>
        <v>456</v>
      </c>
      <c r="C472" s="254" t="s">
        <v>2202</v>
      </c>
      <c r="D472" s="255">
        <f t="shared" si="24"/>
        <v>752530</v>
      </c>
      <c r="E472" s="258">
        <v>0</v>
      </c>
      <c r="F472" s="258">
        <v>0</v>
      </c>
      <c r="G472" s="258">
        <v>0</v>
      </c>
      <c r="H472" s="258">
        <v>0</v>
      </c>
      <c r="I472" s="258">
        <v>0</v>
      </c>
      <c r="J472" s="258">
        <v>0</v>
      </c>
      <c r="K472" s="259">
        <v>0</v>
      </c>
      <c r="L472" s="258">
        <v>0</v>
      </c>
      <c r="M472" s="258">
        <v>600078</v>
      </c>
      <c r="N472" s="258">
        <v>0</v>
      </c>
      <c r="O472" s="258">
        <v>152452</v>
      </c>
      <c r="P472" s="258">
        <v>0</v>
      </c>
      <c r="Q472" s="258">
        <v>0</v>
      </c>
      <c r="R472" s="258">
        <v>0</v>
      </c>
      <c r="S472" s="258">
        <v>0</v>
      </c>
      <c r="T472" s="258">
        <v>0</v>
      </c>
      <c r="U472" s="258">
        <v>0</v>
      </c>
      <c r="V472" s="258">
        <v>0</v>
      </c>
      <c r="W472" s="258">
        <v>0</v>
      </c>
      <c r="X472" s="258">
        <v>0</v>
      </c>
      <c r="Y472" s="258">
        <v>0</v>
      </c>
      <c r="Z472" s="258">
        <v>0</v>
      </c>
      <c r="AA472" s="258">
        <v>0</v>
      </c>
      <c r="AB472" s="260">
        <v>2020</v>
      </c>
    </row>
    <row r="473" spans="1:28" s="6" customFormat="1" ht="35.25" customHeight="1" x14ac:dyDescent="0.5">
      <c r="A473" s="6">
        <v>1</v>
      </c>
      <c r="B473" s="225">
        <f>SUBTOTAL(103,$A$7:A473)</f>
        <v>457</v>
      </c>
      <c r="C473" s="254" t="s">
        <v>2203</v>
      </c>
      <c r="D473" s="255">
        <f t="shared" si="24"/>
        <v>317122.2</v>
      </c>
      <c r="E473" s="258">
        <v>0</v>
      </c>
      <c r="F473" s="258">
        <v>0</v>
      </c>
      <c r="G473" s="258">
        <v>0</v>
      </c>
      <c r="H473" s="258">
        <v>0</v>
      </c>
      <c r="I473" s="258">
        <v>0</v>
      </c>
      <c r="J473" s="258">
        <v>0</v>
      </c>
      <c r="K473" s="259">
        <v>0</v>
      </c>
      <c r="L473" s="258">
        <v>0</v>
      </c>
      <c r="M473" s="258">
        <v>317122.2</v>
      </c>
      <c r="N473" s="258">
        <v>0</v>
      </c>
      <c r="O473" s="258">
        <v>0</v>
      </c>
      <c r="P473" s="258">
        <v>0</v>
      </c>
      <c r="Q473" s="258">
        <v>0</v>
      </c>
      <c r="R473" s="258">
        <v>0</v>
      </c>
      <c r="S473" s="258">
        <v>0</v>
      </c>
      <c r="T473" s="258">
        <v>0</v>
      </c>
      <c r="U473" s="258">
        <v>0</v>
      </c>
      <c r="V473" s="258">
        <v>0</v>
      </c>
      <c r="W473" s="258">
        <v>0</v>
      </c>
      <c r="X473" s="258">
        <v>0</v>
      </c>
      <c r="Y473" s="258">
        <v>0</v>
      </c>
      <c r="Z473" s="258">
        <v>0</v>
      </c>
      <c r="AA473" s="258">
        <v>0</v>
      </c>
      <c r="AB473" s="260">
        <v>2020</v>
      </c>
    </row>
    <row r="474" spans="1:28" s="6" customFormat="1" ht="35.25" customHeight="1" x14ac:dyDescent="0.5">
      <c r="A474" s="6">
        <v>1</v>
      </c>
      <c r="B474" s="225">
        <f>SUBTOTAL(103,$A$7:A474)</f>
        <v>458</v>
      </c>
      <c r="C474" s="254" t="s">
        <v>2204</v>
      </c>
      <c r="D474" s="255">
        <f t="shared" si="24"/>
        <v>973016</v>
      </c>
      <c r="E474" s="258">
        <v>0</v>
      </c>
      <c r="F474" s="258">
        <v>0</v>
      </c>
      <c r="G474" s="258">
        <v>0</v>
      </c>
      <c r="H474" s="258">
        <v>0</v>
      </c>
      <c r="I474" s="258">
        <v>0</v>
      </c>
      <c r="J474" s="258">
        <v>0</v>
      </c>
      <c r="K474" s="259">
        <v>0</v>
      </c>
      <c r="L474" s="258">
        <v>0</v>
      </c>
      <c r="M474" s="258">
        <v>973016</v>
      </c>
      <c r="N474" s="258">
        <v>0</v>
      </c>
      <c r="O474" s="258">
        <v>0</v>
      </c>
      <c r="P474" s="258">
        <v>0</v>
      </c>
      <c r="Q474" s="258">
        <v>0</v>
      </c>
      <c r="R474" s="258">
        <v>0</v>
      </c>
      <c r="S474" s="258">
        <v>0</v>
      </c>
      <c r="T474" s="258">
        <v>0</v>
      </c>
      <c r="U474" s="258">
        <v>0</v>
      </c>
      <c r="V474" s="258">
        <v>0</v>
      </c>
      <c r="W474" s="258">
        <v>0</v>
      </c>
      <c r="X474" s="258">
        <v>0</v>
      </c>
      <c r="Y474" s="258">
        <v>0</v>
      </c>
      <c r="Z474" s="258">
        <v>0</v>
      </c>
      <c r="AA474" s="258">
        <v>0</v>
      </c>
      <c r="AB474" s="260">
        <v>2020</v>
      </c>
    </row>
    <row r="475" spans="1:28" s="6" customFormat="1" ht="35.25" customHeight="1" x14ac:dyDescent="0.5">
      <c r="A475" s="6">
        <v>1</v>
      </c>
      <c r="B475" s="225">
        <f>SUBTOTAL(103,$A$7:A475)</f>
        <v>459</v>
      </c>
      <c r="C475" s="254" t="s">
        <v>2205</v>
      </c>
      <c r="D475" s="255">
        <f t="shared" si="24"/>
        <v>350223</v>
      </c>
      <c r="E475" s="258">
        <v>0</v>
      </c>
      <c r="F475" s="258">
        <v>0</v>
      </c>
      <c r="G475" s="258">
        <v>0</v>
      </c>
      <c r="H475" s="258">
        <v>0</v>
      </c>
      <c r="I475" s="258">
        <v>0</v>
      </c>
      <c r="J475" s="258">
        <v>0</v>
      </c>
      <c r="K475" s="259">
        <v>0</v>
      </c>
      <c r="L475" s="258">
        <v>0</v>
      </c>
      <c r="M475" s="258">
        <v>0</v>
      </c>
      <c r="N475" s="258">
        <v>0</v>
      </c>
      <c r="O475" s="258">
        <v>350223</v>
      </c>
      <c r="P475" s="258">
        <v>0</v>
      </c>
      <c r="Q475" s="258">
        <v>0</v>
      </c>
      <c r="R475" s="258">
        <v>0</v>
      </c>
      <c r="S475" s="258">
        <v>0</v>
      </c>
      <c r="T475" s="258">
        <v>0</v>
      </c>
      <c r="U475" s="258">
        <v>0</v>
      </c>
      <c r="V475" s="258">
        <v>0</v>
      </c>
      <c r="W475" s="258">
        <v>0</v>
      </c>
      <c r="X475" s="258">
        <v>0</v>
      </c>
      <c r="Y475" s="258">
        <v>0</v>
      </c>
      <c r="Z475" s="258">
        <v>0</v>
      </c>
      <c r="AA475" s="258">
        <v>0</v>
      </c>
      <c r="AB475" s="260">
        <v>2020</v>
      </c>
    </row>
    <row r="476" spans="1:28" s="6" customFormat="1" ht="35.25" customHeight="1" x14ac:dyDescent="0.5">
      <c r="A476" s="6">
        <v>1</v>
      </c>
      <c r="B476" s="225">
        <f>SUBTOTAL(103,$A$7:A476)</f>
        <v>460</v>
      </c>
      <c r="C476" s="254" t="s">
        <v>2206</v>
      </c>
      <c r="D476" s="255">
        <f t="shared" si="24"/>
        <v>1628343.96</v>
      </c>
      <c r="E476" s="258">
        <v>0</v>
      </c>
      <c r="F476" s="258">
        <v>0</v>
      </c>
      <c r="G476" s="258">
        <v>390000</v>
      </c>
      <c r="H476" s="258">
        <v>0</v>
      </c>
      <c r="I476" s="258">
        <v>0</v>
      </c>
      <c r="J476" s="258">
        <v>0</v>
      </c>
      <c r="K476" s="259">
        <v>0</v>
      </c>
      <c r="L476" s="258">
        <v>0</v>
      </c>
      <c r="M476" s="258">
        <v>623200.5</v>
      </c>
      <c r="N476" s="258">
        <v>0</v>
      </c>
      <c r="O476" s="258">
        <v>615143.46</v>
      </c>
      <c r="P476" s="258">
        <v>0</v>
      </c>
      <c r="Q476" s="258">
        <v>0</v>
      </c>
      <c r="R476" s="258">
        <v>0</v>
      </c>
      <c r="S476" s="258">
        <v>0</v>
      </c>
      <c r="T476" s="258">
        <v>0</v>
      </c>
      <c r="U476" s="258">
        <v>0</v>
      </c>
      <c r="V476" s="258">
        <v>0</v>
      </c>
      <c r="W476" s="258">
        <v>0</v>
      </c>
      <c r="X476" s="258">
        <v>0</v>
      </c>
      <c r="Y476" s="258">
        <v>0</v>
      </c>
      <c r="Z476" s="258">
        <v>0</v>
      </c>
      <c r="AA476" s="258">
        <v>0</v>
      </c>
      <c r="AB476" s="260">
        <v>2020</v>
      </c>
    </row>
    <row r="477" spans="1:28" s="6" customFormat="1" ht="35.25" customHeight="1" x14ac:dyDescent="0.5">
      <c r="A477" s="6">
        <v>1</v>
      </c>
      <c r="B477" s="225">
        <f>SUBTOTAL(103,$A$7:A477)</f>
        <v>461</v>
      </c>
      <c r="C477" s="254" t="s">
        <v>2207</v>
      </c>
      <c r="D477" s="255">
        <f>E477+F477+G477+H477+I477+J477+L477+M477+N477+O477+P477+Q477+R477+S477+T477+U477+V477+W477+X477+Y477+Z477+AA477</f>
        <v>391500</v>
      </c>
      <c r="E477" s="258">
        <v>0</v>
      </c>
      <c r="F477" s="258">
        <v>0</v>
      </c>
      <c r="G477" s="258">
        <v>0</v>
      </c>
      <c r="H477" s="258">
        <v>0</v>
      </c>
      <c r="I477" s="258">
        <v>0</v>
      </c>
      <c r="J477" s="258">
        <v>0</v>
      </c>
      <c r="K477" s="259">
        <v>0</v>
      </c>
      <c r="L477" s="258">
        <v>0</v>
      </c>
      <c r="M477" s="258">
        <v>391500</v>
      </c>
      <c r="N477" s="258">
        <v>0</v>
      </c>
      <c r="O477" s="258">
        <v>0</v>
      </c>
      <c r="P477" s="258">
        <v>0</v>
      </c>
      <c r="Q477" s="258">
        <v>0</v>
      </c>
      <c r="R477" s="258">
        <v>0</v>
      </c>
      <c r="S477" s="258">
        <v>0</v>
      </c>
      <c r="T477" s="258">
        <v>0</v>
      </c>
      <c r="U477" s="258">
        <v>0</v>
      </c>
      <c r="V477" s="258">
        <v>0</v>
      </c>
      <c r="W477" s="258">
        <v>0</v>
      </c>
      <c r="X477" s="258">
        <v>0</v>
      </c>
      <c r="Y477" s="258">
        <v>0</v>
      </c>
      <c r="Z477" s="258">
        <v>0</v>
      </c>
      <c r="AA477" s="258">
        <v>0</v>
      </c>
      <c r="AB477" s="260">
        <v>2020</v>
      </c>
    </row>
    <row r="478" spans="1:28" s="6" customFormat="1" ht="35.25" customHeight="1" x14ac:dyDescent="0.5">
      <c r="A478" s="6">
        <v>1</v>
      </c>
      <c r="B478" s="225">
        <f>SUBTOTAL(103,$A$7:A478)</f>
        <v>462</v>
      </c>
      <c r="C478" s="254" t="s">
        <v>2208</v>
      </c>
      <c r="D478" s="255">
        <f>E478+F478+G478+H478+I478+J478+L478+M478+N478+O478+P478+Q478+R478+S478+T478+U478+V478+W478+X478+Y478+Z478+AA478</f>
        <v>466000</v>
      </c>
      <c r="E478" s="258">
        <v>0</v>
      </c>
      <c r="F478" s="258">
        <v>0</v>
      </c>
      <c r="G478" s="258">
        <v>0</v>
      </c>
      <c r="H478" s="258">
        <v>0</v>
      </c>
      <c r="I478" s="258">
        <v>0</v>
      </c>
      <c r="J478" s="258">
        <v>0</v>
      </c>
      <c r="K478" s="259">
        <v>0</v>
      </c>
      <c r="L478" s="258">
        <v>0</v>
      </c>
      <c r="M478" s="258">
        <v>0</v>
      </c>
      <c r="N478" s="258">
        <v>0</v>
      </c>
      <c r="O478" s="258">
        <v>466000</v>
      </c>
      <c r="P478" s="258">
        <v>0</v>
      </c>
      <c r="Q478" s="258">
        <v>0</v>
      </c>
      <c r="R478" s="258">
        <v>0</v>
      </c>
      <c r="S478" s="258">
        <v>0</v>
      </c>
      <c r="T478" s="258">
        <v>0</v>
      </c>
      <c r="U478" s="258">
        <v>0</v>
      </c>
      <c r="V478" s="258">
        <v>0</v>
      </c>
      <c r="W478" s="258">
        <v>0</v>
      </c>
      <c r="X478" s="258">
        <v>0</v>
      </c>
      <c r="Y478" s="258">
        <v>0</v>
      </c>
      <c r="Z478" s="258">
        <v>0</v>
      </c>
      <c r="AA478" s="258">
        <v>0</v>
      </c>
      <c r="AB478" s="260">
        <v>2020</v>
      </c>
    </row>
    <row r="479" spans="1:28" s="6" customFormat="1" ht="35.25" customHeight="1" x14ac:dyDescent="0.5">
      <c r="A479" s="6">
        <v>1</v>
      </c>
      <c r="B479" s="225">
        <f>SUBTOTAL(103,$A$7:A479)</f>
        <v>463</v>
      </c>
      <c r="C479" s="254" t="s">
        <v>2209</v>
      </c>
      <c r="D479" s="255">
        <f>E479+F479+G479+H479+I479+J479+L479+M479+N479+O479+P479+Q479+R479+S479+T479+U479+V479+W479+X479+Y479+Z479+AA479</f>
        <v>852734</v>
      </c>
      <c r="E479" s="258">
        <v>0</v>
      </c>
      <c r="F479" s="258">
        <v>0</v>
      </c>
      <c r="G479" s="258">
        <v>852734</v>
      </c>
      <c r="H479" s="258">
        <v>0</v>
      </c>
      <c r="I479" s="258">
        <v>0</v>
      </c>
      <c r="J479" s="258">
        <v>0</v>
      </c>
      <c r="K479" s="259">
        <v>0</v>
      </c>
      <c r="L479" s="258">
        <v>0</v>
      </c>
      <c r="M479" s="258">
        <v>0</v>
      </c>
      <c r="N479" s="258">
        <v>0</v>
      </c>
      <c r="O479" s="258">
        <v>0</v>
      </c>
      <c r="P479" s="258">
        <v>0</v>
      </c>
      <c r="Q479" s="258">
        <v>0</v>
      </c>
      <c r="R479" s="258">
        <v>0</v>
      </c>
      <c r="S479" s="258">
        <v>0</v>
      </c>
      <c r="T479" s="258">
        <v>0</v>
      </c>
      <c r="U479" s="258">
        <v>0</v>
      </c>
      <c r="V479" s="258">
        <v>0</v>
      </c>
      <c r="W479" s="258">
        <v>0</v>
      </c>
      <c r="X479" s="258">
        <v>0</v>
      </c>
      <c r="Y479" s="258">
        <v>0</v>
      </c>
      <c r="Z479" s="258">
        <v>0</v>
      </c>
      <c r="AA479" s="258">
        <v>0</v>
      </c>
      <c r="AB479" s="260">
        <v>2020</v>
      </c>
    </row>
    <row r="480" spans="1:28" s="6" customFormat="1" ht="35.25" customHeight="1" x14ac:dyDescent="0.5">
      <c r="A480" s="6">
        <v>1</v>
      </c>
      <c r="B480" s="225">
        <f>SUBTOTAL(103,$A$7:A480)</f>
        <v>464</v>
      </c>
      <c r="C480" s="254" t="s">
        <v>2210</v>
      </c>
      <c r="D480" s="255">
        <f>E480+F480+G480+H480+I480+J480+L480+M480+N480+O480+P480+Q480+R480+S480+T480+U480+V480+W480+X480+Y480+Z480+AA480</f>
        <v>58155</v>
      </c>
      <c r="E480" s="258">
        <v>0</v>
      </c>
      <c r="F480" s="258">
        <v>0</v>
      </c>
      <c r="G480" s="258">
        <v>58155</v>
      </c>
      <c r="H480" s="258">
        <v>0</v>
      </c>
      <c r="I480" s="258">
        <v>0</v>
      </c>
      <c r="J480" s="258">
        <v>0</v>
      </c>
      <c r="K480" s="259">
        <v>0</v>
      </c>
      <c r="L480" s="258">
        <v>0</v>
      </c>
      <c r="M480" s="258">
        <v>0</v>
      </c>
      <c r="N480" s="258">
        <v>0</v>
      </c>
      <c r="O480" s="258">
        <v>0</v>
      </c>
      <c r="P480" s="258">
        <v>0</v>
      </c>
      <c r="Q480" s="258">
        <v>0</v>
      </c>
      <c r="R480" s="258">
        <v>0</v>
      </c>
      <c r="S480" s="258">
        <v>0</v>
      </c>
      <c r="T480" s="258">
        <v>0</v>
      </c>
      <c r="U480" s="258">
        <v>0</v>
      </c>
      <c r="V480" s="258">
        <v>0</v>
      </c>
      <c r="W480" s="258">
        <v>0</v>
      </c>
      <c r="X480" s="258">
        <v>0</v>
      </c>
      <c r="Y480" s="258">
        <v>0</v>
      </c>
      <c r="Z480" s="258">
        <v>0</v>
      </c>
      <c r="AA480" s="258">
        <v>0</v>
      </c>
      <c r="AB480" s="260">
        <v>2020</v>
      </c>
    </row>
    <row r="481" spans="1:28" s="6" customFormat="1" ht="35.25" customHeight="1" x14ac:dyDescent="0.5">
      <c r="A481" s="6">
        <v>1</v>
      </c>
      <c r="B481" s="225">
        <f>SUBTOTAL(103,$A$7:A481)</f>
        <v>465</v>
      </c>
      <c r="C481" s="254" t="s">
        <v>2399</v>
      </c>
      <c r="D481" s="255">
        <f t="shared" ref="D481:D489" si="25">E481+F481+G481+H481+I481+J481+L481+M481+N481+O481+P481+Q481+R481+S481+T481+U481+V481+W481+X481+Y481+Z481+AA481</f>
        <v>141489</v>
      </c>
      <c r="E481" s="258">
        <v>0</v>
      </c>
      <c r="F481" s="258">
        <v>0</v>
      </c>
      <c r="G481" s="258">
        <v>0</v>
      </c>
      <c r="H481" s="258">
        <v>0</v>
      </c>
      <c r="I481" s="258">
        <v>0</v>
      </c>
      <c r="J481" s="258">
        <v>0</v>
      </c>
      <c r="K481" s="259">
        <v>0</v>
      </c>
      <c r="L481" s="258">
        <v>0</v>
      </c>
      <c r="M481" s="258">
        <v>0</v>
      </c>
      <c r="N481" s="258">
        <v>0</v>
      </c>
      <c r="O481" s="258">
        <v>141489</v>
      </c>
      <c r="P481" s="258">
        <v>0</v>
      </c>
      <c r="Q481" s="258">
        <v>0</v>
      </c>
      <c r="R481" s="258">
        <v>0</v>
      </c>
      <c r="S481" s="258">
        <v>0</v>
      </c>
      <c r="T481" s="258">
        <v>0</v>
      </c>
      <c r="U481" s="258">
        <v>0</v>
      </c>
      <c r="V481" s="258">
        <v>0</v>
      </c>
      <c r="W481" s="258">
        <v>0</v>
      </c>
      <c r="X481" s="258">
        <v>0</v>
      </c>
      <c r="Y481" s="258">
        <v>0</v>
      </c>
      <c r="Z481" s="258">
        <v>0</v>
      </c>
      <c r="AA481" s="258">
        <v>0</v>
      </c>
      <c r="AB481" s="260">
        <v>2020</v>
      </c>
    </row>
    <row r="482" spans="1:28" s="6" customFormat="1" ht="35.25" customHeight="1" x14ac:dyDescent="0.5">
      <c r="A482" s="6">
        <v>1</v>
      </c>
      <c r="B482" s="225">
        <f>SUBTOTAL(103,$A$7:A482)</f>
        <v>466</v>
      </c>
      <c r="C482" s="254" t="s">
        <v>2400</v>
      </c>
      <c r="D482" s="255">
        <f t="shared" si="25"/>
        <v>1610716</v>
      </c>
      <c r="E482" s="258">
        <v>0</v>
      </c>
      <c r="F482" s="258">
        <v>0</v>
      </c>
      <c r="G482" s="258">
        <v>0</v>
      </c>
      <c r="H482" s="258">
        <v>0</v>
      </c>
      <c r="I482" s="258">
        <v>0</v>
      </c>
      <c r="J482" s="258">
        <v>0</v>
      </c>
      <c r="K482" s="259">
        <v>0</v>
      </c>
      <c r="L482" s="258">
        <v>0</v>
      </c>
      <c r="M482" s="258">
        <v>1610716</v>
      </c>
      <c r="N482" s="258">
        <v>0</v>
      </c>
      <c r="O482" s="258">
        <v>0</v>
      </c>
      <c r="P482" s="258">
        <v>0</v>
      </c>
      <c r="Q482" s="258">
        <v>0</v>
      </c>
      <c r="R482" s="258">
        <v>0</v>
      </c>
      <c r="S482" s="258">
        <v>0</v>
      </c>
      <c r="T482" s="258">
        <v>0</v>
      </c>
      <c r="U482" s="258">
        <v>0</v>
      </c>
      <c r="V482" s="258">
        <v>0</v>
      </c>
      <c r="W482" s="258">
        <v>0</v>
      </c>
      <c r="X482" s="258">
        <v>0</v>
      </c>
      <c r="Y482" s="258">
        <v>0</v>
      </c>
      <c r="Z482" s="258">
        <v>0</v>
      </c>
      <c r="AA482" s="258">
        <v>0</v>
      </c>
      <c r="AB482" s="260">
        <v>2020</v>
      </c>
    </row>
    <row r="483" spans="1:28" s="6" customFormat="1" ht="35.25" customHeight="1" x14ac:dyDescent="0.5">
      <c r="A483" s="6">
        <v>1</v>
      </c>
      <c r="B483" s="225">
        <f>SUBTOTAL(103,$A$7:A483)</f>
        <v>467</v>
      </c>
      <c r="C483" s="254" t="s">
        <v>2401</v>
      </c>
      <c r="D483" s="255">
        <f t="shared" si="25"/>
        <v>244703</v>
      </c>
      <c r="E483" s="258">
        <v>0</v>
      </c>
      <c r="F483" s="258">
        <v>0</v>
      </c>
      <c r="G483" s="258">
        <v>0</v>
      </c>
      <c r="H483" s="258">
        <v>0</v>
      </c>
      <c r="I483" s="258">
        <v>0</v>
      </c>
      <c r="J483" s="258">
        <v>0</v>
      </c>
      <c r="K483" s="259">
        <v>0</v>
      </c>
      <c r="L483" s="258">
        <v>0</v>
      </c>
      <c r="M483" s="258">
        <v>0</v>
      </c>
      <c r="N483" s="258">
        <v>0</v>
      </c>
      <c r="O483" s="258">
        <v>244703</v>
      </c>
      <c r="P483" s="258">
        <v>0</v>
      </c>
      <c r="Q483" s="258">
        <v>0</v>
      </c>
      <c r="R483" s="258">
        <v>0</v>
      </c>
      <c r="S483" s="258">
        <v>0</v>
      </c>
      <c r="T483" s="258">
        <v>0</v>
      </c>
      <c r="U483" s="258">
        <v>0</v>
      </c>
      <c r="V483" s="258">
        <v>0</v>
      </c>
      <c r="W483" s="258">
        <v>0</v>
      </c>
      <c r="X483" s="258">
        <v>0</v>
      </c>
      <c r="Y483" s="258">
        <v>0</v>
      </c>
      <c r="Z483" s="258">
        <v>0</v>
      </c>
      <c r="AA483" s="258">
        <v>0</v>
      </c>
      <c r="AB483" s="260">
        <v>2020</v>
      </c>
    </row>
    <row r="484" spans="1:28" s="6" customFormat="1" ht="35.25" customHeight="1" x14ac:dyDescent="0.5">
      <c r="A484" s="6">
        <v>1</v>
      </c>
      <c r="B484" s="225">
        <f>SUBTOTAL(103,$A$7:A484)</f>
        <v>468</v>
      </c>
      <c r="C484" s="254" t="s">
        <v>2402</v>
      </c>
      <c r="D484" s="255">
        <f t="shared" si="25"/>
        <v>490000</v>
      </c>
      <c r="E484" s="258">
        <v>0</v>
      </c>
      <c r="F484" s="258">
        <v>0</v>
      </c>
      <c r="G484" s="258">
        <v>0</v>
      </c>
      <c r="H484" s="258">
        <v>0</v>
      </c>
      <c r="I484" s="258">
        <v>0</v>
      </c>
      <c r="J484" s="258">
        <v>0</v>
      </c>
      <c r="K484" s="259">
        <v>0</v>
      </c>
      <c r="L484" s="258">
        <v>0</v>
      </c>
      <c r="M484" s="258">
        <v>0</v>
      </c>
      <c r="N484" s="258">
        <v>0</v>
      </c>
      <c r="O484" s="258">
        <v>490000</v>
      </c>
      <c r="P484" s="258">
        <v>0</v>
      </c>
      <c r="Q484" s="258">
        <v>0</v>
      </c>
      <c r="R484" s="258">
        <v>0</v>
      </c>
      <c r="S484" s="258">
        <v>0</v>
      </c>
      <c r="T484" s="258">
        <v>0</v>
      </c>
      <c r="U484" s="258">
        <v>0</v>
      </c>
      <c r="V484" s="258">
        <v>0</v>
      </c>
      <c r="W484" s="258">
        <v>0</v>
      </c>
      <c r="X484" s="258">
        <v>0</v>
      </c>
      <c r="Y484" s="258">
        <v>0</v>
      </c>
      <c r="Z484" s="258">
        <v>0</v>
      </c>
      <c r="AA484" s="258">
        <v>0</v>
      </c>
      <c r="AB484" s="260">
        <v>2020</v>
      </c>
    </row>
    <row r="485" spans="1:28" s="6" customFormat="1" ht="35.25" customHeight="1" x14ac:dyDescent="0.5">
      <c r="A485" s="6">
        <v>1</v>
      </c>
      <c r="B485" s="225">
        <f>SUBTOTAL(103,$A$7:A485)</f>
        <v>469</v>
      </c>
      <c r="C485" s="254" t="s">
        <v>2403</v>
      </c>
      <c r="D485" s="255">
        <f t="shared" si="25"/>
        <v>605834</v>
      </c>
      <c r="E485" s="258">
        <v>0</v>
      </c>
      <c r="F485" s="258">
        <v>0</v>
      </c>
      <c r="G485" s="258">
        <v>0</v>
      </c>
      <c r="H485" s="258">
        <v>0</v>
      </c>
      <c r="I485" s="258">
        <v>0</v>
      </c>
      <c r="J485" s="258">
        <v>0</v>
      </c>
      <c r="K485" s="259">
        <v>0</v>
      </c>
      <c r="L485" s="258">
        <v>0</v>
      </c>
      <c r="M485" s="258">
        <v>0</v>
      </c>
      <c r="N485" s="258">
        <v>0</v>
      </c>
      <c r="O485" s="258">
        <v>605834</v>
      </c>
      <c r="P485" s="258">
        <v>0</v>
      </c>
      <c r="Q485" s="258">
        <v>0</v>
      </c>
      <c r="R485" s="258">
        <v>0</v>
      </c>
      <c r="S485" s="258">
        <v>0</v>
      </c>
      <c r="T485" s="258">
        <v>0</v>
      </c>
      <c r="U485" s="258">
        <v>0</v>
      </c>
      <c r="V485" s="258">
        <v>0</v>
      </c>
      <c r="W485" s="258">
        <v>0</v>
      </c>
      <c r="X485" s="258">
        <v>0</v>
      </c>
      <c r="Y485" s="258">
        <v>0</v>
      </c>
      <c r="Z485" s="258">
        <v>0</v>
      </c>
      <c r="AA485" s="258">
        <v>0</v>
      </c>
      <c r="AB485" s="260">
        <v>2020</v>
      </c>
    </row>
    <row r="486" spans="1:28" s="6" customFormat="1" ht="35.25" customHeight="1" x14ac:dyDescent="0.5">
      <c r="A486" s="6">
        <v>1</v>
      </c>
      <c r="B486" s="225">
        <f>SUBTOTAL(103,$A$7:A486)</f>
        <v>470</v>
      </c>
      <c r="C486" s="254" t="s">
        <v>2404</v>
      </c>
      <c r="D486" s="255">
        <f t="shared" si="25"/>
        <v>2298244</v>
      </c>
      <c r="E486" s="258">
        <v>0</v>
      </c>
      <c r="F486" s="258">
        <v>0</v>
      </c>
      <c r="G486" s="258">
        <v>0</v>
      </c>
      <c r="H486" s="258">
        <v>0</v>
      </c>
      <c r="I486" s="258">
        <v>0</v>
      </c>
      <c r="J486" s="258">
        <v>0</v>
      </c>
      <c r="K486" s="259">
        <v>0</v>
      </c>
      <c r="L486" s="258">
        <v>0</v>
      </c>
      <c r="M486" s="258">
        <v>0</v>
      </c>
      <c r="N486" s="258">
        <v>0</v>
      </c>
      <c r="O486" s="258">
        <v>2298244</v>
      </c>
      <c r="P486" s="258">
        <v>0</v>
      </c>
      <c r="Q486" s="258">
        <v>0</v>
      </c>
      <c r="R486" s="258">
        <v>0</v>
      </c>
      <c r="S486" s="258">
        <v>0</v>
      </c>
      <c r="T486" s="258">
        <v>0</v>
      </c>
      <c r="U486" s="258">
        <v>0</v>
      </c>
      <c r="V486" s="258">
        <v>0</v>
      </c>
      <c r="W486" s="258">
        <v>0</v>
      </c>
      <c r="X486" s="258">
        <v>0</v>
      </c>
      <c r="Y486" s="258">
        <v>0</v>
      </c>
      <c r="Z486" s="258">
        <v>0</v>
      </c>
      <c r="AA486" s="258">
        <v>0</v>
      </c>
      <c r="AB486" s="260">
        <v>2020</v>
      </c>
    </row>
    <row r="487" spans="1:28" s="6" customFormat="1" ht="35.25" customHeight="1" x14ac:dyDescent="0.5">
      <c r="A487" s="6">
        <v>1</v>
      </c>
      <c r="B487" s="225">
        <f>SUBTOTAL(103,$A$7:A487)</f>
        <v>471</v>
      </c>
      <c r="C487" s="254" t="s">
        <v>2405</v>
      </c>
      <c r="D487" s="255">
        <f t="shared" si="25"/>
        <v>208006.47</v>
      </c>
      <c r="E487" s="258">
        <v>0</v>
      </c>
      <c r="F487" s="258">
        <v>0</v>
      </c>
      <c r="G487" s="258">
        <v>0</v>
      </c>
      <c r="H487" s="258">
        <v>208006.47</v>
      </c>
      <c r="I487" s="258">
        <v>0</v>
      </c>
      <c r="J487" s="258">
        <v>0</v>
      </c>
      <c r="K487" s="259">
        <v>0</v>
      </c>
      <c r="L487" s="258">
        <v>0</v>
      </c>
      <c r="M487" s="258">
        <v>0</v>
      </c>
      <c r="N487" s="258">
        <v>0</v>
      </c>
      <c r="O487" s="258">
        <v>0</v>
      </c>
      <c r="P487" s="258">
        <v>0</v>
      </c>
      <c r="Q487" s="258">
        <v>0</v>
      </c>
      <c r="R487" s="258">
        <v>0</v>
      </c>
      <c r="S487" s="258">
        <v>0</v>
      </c>
      <c r="T487" s="258">
        <v>0</v>
      </c>
      <c r="U487" s="258">
        <v>0</v>
      </c>
      <c r="V487" s="258">
        <v>0</v>
      </c>
      <c r="W487" s="258">
        <v>0</v>
      </c>
      <c r="X487" s="258">
        <v>0</v>
      </c>
      <c r="Y487" s="258">
        <v>0</v>
      </c>
      <c r="Z487" s="258">
        <v>0</v>
      </c>
      <c r="AA487" s="258">
        <v>0</v>
      </c>
      <c r="AB487" s="260">
        <v>2020</v>
      </c>
    </row>
    <row r="488" spans="1:28" s="6" customFormat="1" ht="35.25" customHeight="1" x14ac:dyDescent="0.5">
      <c r="A488" s="6">
        <v>1</v>
      </c>
      <c r="B488" s="225">
        <f>SUBTOTAL(103,$A$7:A488)</f>
        <v>472</v>
      </c>
      <c r="C488" s="254" t="s">
        <v>2406</v>
      </c>
      <c r="D488" s="255">
        <f t="shared" si="25"/>
        <v>900000</v>
      </c>
      <c r="E488" s="258">
        <v>0</v>
      </c>
      <c r="F488" s="258">
        <v>0</v>
      </c>
      <c r="G488" s="258">
        <v>0</v>
      </c>
      <c r="H488" s="258">
        <v>0</v>
      </c>
      <c r="I488" s="258">
        <v>0</v>
      </c>
      <c r="J488" s="258">
        <v>0</v>
      </c>
      <c r="K488" s="259">
        <v>0</v>
      </c>
      <c r="L488" s="258">
        <v>0</v>
      </c>
      <c r="M488" s="258">
        <v>900000</v>
      </c>
      <c r="N488" s="258">
        <v>0</v>
      </c>
      <c r="O488" s="258">
        <v>0</v>
      </c>
      <c r="P488" s="258">
        <v>0</v>
      </c>
      <c r="Q488" s="258">
        <v>0</v>
      </c>
      <c r="R488" s="258">
        <v>0</v>
      </c>
      <c r="S488" s="258">
        <v>0</v>
      </c>
      <c r="T488" s="258">
        <v>0</v>
      </c>
      <c r="U488" s="258">
        <v>0</v>
      </c>
      <c r="V488" s="258">
        <v>0</v>
      </c>
      <c r="W488" s="258">
        <v>0</v>
      </c>
      <c r="X488" s="258">
        <v>0</v>
      </c>
      <c r="Y488" s="258">
        <v>0</v>
      </c>
      <c r="Z488" s="258">
        <v>0</v>
      </c>
      <c r="AA488" s="258">
        <v>0</v>
      </c>
      <c r="AB488" s="260">
        <v>2020</v>
      </c>
    </row>
    <row r="489" spans="1:28" s="6" customFormat="1" ht="35.25" customHeight="1" x14ac:dyDescent="0.5">
      <c r="A489" s="6">
        <v>1</v>
      </c>
      <c r="B489" s="225">
        <f>SUBTOTAL(103,$A$7:A489)</f>
        <v>473</v>
      </c>
      <c r="C489" s="254" t="s">
        <v>2407</v>
      </c>
      <c r="D489" s="255">
        <f t="shared" si="25"/>
        <v>703144</v>
      </c>
      <c r="E489" s="258">
        <v>0</v>
      </c>
      <c r="F489" s="258">
        <v>0</v>
      </c>
      <c r="G489" s="258">
        <v>0</v>
      </c>
      <c r="H489" s="258">
        <v>0</v>
      </c>
      <c r="I489" s="258">
        <v>0</v>
      </c>
      <c r="J489" s="258">
        <v>0</v>
      </c>
      <c r="K489" s="259">
        <v>0</v>
      </c>
      <c r="L489" s="258">
        <v>0</v>
      </c>
      <c r="M489" s="258">
        <v>0</v>
      </c>
      <c r="N489" s="258">
        <v>0</v>
      </c>
      <c r="O489" s="258">
        <v>703144</v>
      </c>
      <c r="P489" s="258">
        <v>0</v>
      </c>
      <c r="Q489" s="258">
        <v>0</v>
      </c>
      <c r="R489" s="258">
        <v>0</v>
      </c>
      <c r="S489" s="258">
        <v>0</v>
      </c>
      <c r="T489" s="258">
        <v>0</v>
      </c>
      <c r="U489" s="258">
        <v>0</v>
      </c>
      <c r="V489" s="258">
        <v>0</v>
      </c>
      <c r="W489" s="258">
        <v>0</v>
      </c>
      <c r="X489" s="258">
        <v>0</v>
      </c>
      <c r="Y489" s="258">
        <v>0</v>
      </c>
      <c r="Z489" s="258">
        <v>0</v>
      </c>
      <c r="AA489" s="258">
        <v>0</v>
      </c>
      <c r="AB489" s="260">
        <v>2020</v>
      </c>
    </row>
    <row r="490" spans="1:28" s="6" customFormat="1" ht="35.25" customHeight="1" x14ac:dyDescent="0.5">
      <c r="A490" s="6">
        <v>1</v>
      </c>
      <c r="B490" s="225">
        <f>SUBTOTAL(103,$A$7:A490)</f>
        <v>474</v>
      </c>
      <c r="C490" s="254" t="s">
        <v>2408</v>
      </c>
      <c r="D490" s="255">
        <v>1354720</v>
      </c>
      <c r="E490" s="258">
        <v>0</v>
      </c>
      <c r="F490" s="258">
        <v>0</v>
      </c>
      <c r="G490" s="258">
        <v>0</v>
      </c>
      <c r="H490" s="258">
        <v>0</v>
      </c>
      <c r="I490" s="258">
        <v>0</v>
      </c>
      <c r="J490" s="258">
        <v>0</v>
      </c>
      <c r="K490" s="259">
        <v>0</v>
      </c>
      <c r="L490" s="258">
        <v>0</v>
      </c>
      <c r="M490" s="258">
        <v>1354720</v>
      </c>
      <c r="N490" s="258">
        <v>0</v>
      </c>
      <c r="O490" s="258">
        <v>0</v>
      </c>
      <c r="P490" s="258">
        <v>0</v>
      </c>
      <c r="Q490" s="258">
        <v>0</v>
      </c>
      <c r="R490" s="258">
        <v>0</v>
      </c>
      <c r="S490" s="258">
        <v>0</v>
      </c>
      <c r="T490" s="258">
        <v>0</v>
      </c>
      <c r="U490" s="258">
        <v>0</v>
      </c>
      <c r="V490" s="258">
        <v>0</v>
      </c>
      <c r="W490" s="258">
        <v>0</v>
      </c>
      <c r="X490" s="258">
        <v>0</v>
      </c>
      <c r="Y490" s="258">
        <v>0</v>
      </c>
      <c r="Z490" s="258">
        <v>0</v>
      </c>
      <c r="AA490" s="258">
        <v>0</v>
      </c>
      <c r="AB490" s="260">
        <v>2020</v>
      </c>
    </row>
    <row r="491" spans="1:28" s="6" customFormat="1" ht="35.25" customHeight="1" x14ac:dyDescent="0.5">
      <c r="A491" s="6">
        <v>1</v>
      </c>
      <c r="B491" s="225">
        <f>SUBTOTAL(103,$A$7:A491)</f>
        <v>475</v>
      </c>
      <c r="C491" s="254" t="s">
        <v>2409</v>
      </c>
      <c r="D491" s="255">
        <v>1200000</v>
      </c>
      <c r="E491" s="258">
        <v>0</v>
      </c>
      <c r="F491" s="258">
        <v>0</v>
      </c>
      <c r="G491" s="258">
        <v>0</v>
      </c>
      <c r="H491" s="258">
        <v>0</v>
      </c>
      <c r="I491" s="258">
        <v>0</v>
      </c>
      <c r="J491" s="258">
        <v>0</v>
      </c>
      <c r="K491" s="259">
        <v>0</v>
      </c>
      <c r="L491" s="258">
        <v>0</v>
      </c>
      <c r="M491" s="258">
        <v>1200000</v>
      </c>
      <c r="N491" s="258">
        <v>0</v>
      </c>
      <c r="O491" s="258">
        <v>0</v>
      </c>
      <c r="P491" s="258">
        <v>0</v>
      </c>
      <c r="Q491" s="258">
        <v>0</v>
      </c>
      <c r="R491" s="258">
        <v>0</v>
      </c>
      <c r="S491" s="258">
        <v>0</v>
      </c>
      <c r="T491" s="258">
        <v>0</v>
      </c>
      <c r="U491" s="258">
        <v>0</v>
      </c>
      <c r="V491" s="258">
        <v>0</v>
      </c>
      <c r="W491" s="258">
        <v>0</v>
      </c>
      <c r="X491" s="258">
        <v>0</v>
      </c>
      <c r="Y491" s="258">
        <v>0</v>
      </c>
      <c r="Z491" s="258">
        <v>0</v>
      </c>
      <c r="AA491" s="258">
        <v>0</v>
      </c>
      <c r="AB491" s="260">
        <v>2020</v>
      </c>
    </row>
    <row r="492" spans="1:28" s="6" customFormat="1" ht="35.25" customHeight="1" x14ac:dyDescent="0.5">
      <c r="A492" s="6">
        <v>1</v>
      </c>
      <c r="B492" s="225">
        <f>SUBTOTAL(103,$A$7:A492)</f>
        <v>476</v>
      </c>
      <c r="C492" s="254" t="s">
        <v>2410</v>
      </c>
      <c r="D492" s="255">
        <v>813524</v>
      </c>
      <c r="E492" s="258">
        <v>0</v>
      </c>
      <c r="F492" s="258">
        <v>0</v>
      </c>
      <c r="G492" s="258">
        <v>813524</v>
      </c>
      <c r="H492" s="258">
        <v>0</v>
      </c>
      <c r="I492" s="258">
        <v>0</v>
      </c>
      <c r="J492" s="258">
        <v>0</v>
      </c>
      <c r="K492" s="259">
        <v>0</v>
      </c>
      <c r="L492" s="258">
        <v>0</v>
      </c>
      <c r="M492" s="258">
        <v>0</v>
      </c>
      <c r="N492" s="258">
        <v>0</v>
      </c>
      <c r="O492" s="258">
        <v>0</v>
      </c>
      <c r="P492" s="258">
        <v>0</v>
      </c>
      <c r="Q492" s="258">
        <v>0</v>
      </c>
      <c r="R492" s="258">
        <v>0</v>
      </c>
      <c r="S492" s="258">
        <v>0</v>
      </c>
      <c r="T492" s="258">
        <v>0</v>
      </c>
      <c r="U492" s="258">
        <v>0</v>
      </c>
      <c r="V492" s="258">
        <v>0</v>
      </c>
      <c r="W492" s="258">
        <v>0</v>
      </c>
      <c r="X492" s="258">
        <v>0</v>
      </c>
      <c r="Y492" s="258">
        <v>0</v>
      </c>
      <c r="Z492" s="258">
        <v>0</v>
      </c>
      <c r="AA492" s="258">
        <v>0</v>
      </c>
      <c r="AB492" s="260">
        <v>2020</v>
      </c>
    </row>
    <row r="493" spans="1:28" s="6" customFormat="1" ht="35.25" customHeight="1" x14ac:dyDescent="0.5">
      <c r="A493" s="6">
        <v>1</v>
      </c>
      <c r="B493" s="225">
        <f>SUBTOTAL(103,$A$7:A493)</f>
        <v>477</v>
      </c>
      <c r="C493" s="254" t="s">
        <v>2411</v>
      </c>
      <c r="D493" s="255">
        <v>994759</v>
      </c>
      <c r="E493" s="258">
        <v>0</v>
      </c>
      <c r="F493" s="258">
        <v>0</v>
      </c>
      <c r="G493" s="258">
        <v>0</v>
      </c>
      <c r="H493" s="258">
        <v>0</v>
      </c>
      <c r="I493" s="258">
        <v>0</v>
      </c>
      <c r="J493" s="258">
        <v>0</v>
      </c>
      <c r="K493" s="259">
        <v>0</v>
      </c>
      <c r="L493" s="258">
        <v>0</v>
      </c>
      <c r="M493" s="258">
        <v>570746</v>
      </c>
      <c r="N493" s="258">
        <v>0</v>
      </c>
      <c r="O493" s="258">
        <v>424013</v>
      </c>
      <c r="P493" s="258">
        <v>0</v>
      </c>
      <c r="Q493" s="258">
        <v>0</v>
      </c>
      <c r="R493" s="258">
        <v>0</v>
      </c>
      <c r="S493" s="258">
        <v>0</v>
      </c>
      <c r="T493" s="258">
        <v>0</v>
      </c>
      <c r="U493" s="258">
        <v>0</v>
      </c>
      <c r="V493" s="258">
        <v>0</v>
      </c>
      <c r="W493" s="258">
        <v>0</v>
      </c>
      <c r="X493" s="258">
        <v>0</v>
      </c>
      <c r="Y493" s="258">
        <v>0</v>
      </c>
      <c r="Z493" s="258">
        <v>0</v>
      </c>
      <c r="AA493" s="258">
        <v>0</v>
      </c>
      <c r="AB493" s="260">
        <v>2020</v>
      </c>
    </row>
    <row r="494" spans="1:28" s="6" customFormat="1" ht="35.25" customHeight="1" x14ac:dyDescent="0.5">
      <c r="A494" s="6">
        <v>1</v>
      </c>
      <c r="B494" s="225">
        <f>SUBTOTAL(103,$A$7:A494)</f>
        <v>478</v>
      </c>
      <c r="C494" s="254" t="s">
        <v>2412</v>
      </c>
      <c r="D494" s="255">
        <v>1116214.55</v>
      </c>
      <c r="E494" s="258">
        <v>0</v>
      </c>
      <c r="F494" s="258">
        <v>1116214.55</v>
      </c>
      <c r="G494" s="258">
        <v>0</v>
      </c>
      <c r="H494" s="258">
        <v>0</v>
      </c>
      <c r="I494" s="258">
        <v>0</v>
      </c>
      <c r="J494" s="258">
        <v>0</v>
      </c>
      <c r="K494" s="259">
        <v>0</v>
      </c>
      <c r="L494" s="258">
        <v>0</v>
      </c>
      <c r="M494" s="258">
        <v>0</v>
      </c>
      <c r="N494" s="258">
        <v>0</v>
      </c>
      <c r="O494" s="258">
        <v>0</v>
      </c>
      <c r="P494" s="258">
        <v>0</v>
      </c>
      <c r="Q494" s="258">
        <v>0</v>
      </c>
      <c r="R494" s="258">
        <v>0</v>
      </c>
      <c r="S494" s="258">
        <v>0</v>
      </c>
      <c r="T494" s="258">
        <v>0</v>
      </c>
      <c r="U494" s="258">
        <v>0</v>
      </c>
      <c r="V494" s="258">
        <v>0</v>
      </c>
      <c r="W494" s="258">
        <v>0</v>
      </c>
      <c r="X494" s="258">
        <v>0</v>
      </c>
      <c r="Y494" s="258">
        <v>0</v>
      </c>
      <c r="Z494" s="258">
        <v>0</v>
      </c>
      <c r="AA494" s="258">
        <v>0</v>
      </c>
      <c r="AB494" s="260">
        <v>2020</v>
      </c>
    </row>
    <row r="495" spans="1:28" s="6" customFormat="1" ht="35.25" customHeight="1" x14ac:dyDescent="0.5">
      <c r="A495" s="6">
        <v>1</v>
      </c>
      <c r="B495" s="225">
        <f>SUBTOTAL(103,$A$7:A495)</f>
        <v>479</v>
      </c>
      <c r="C495" s="254" t="s">
        <v>2413</v>
      </c>
      <c r="D495" s="255">
        <v>1723519</v>
      </c>
      <c r="E495" s="258">
        <v>0</v>
      </c>
      <c r="F495" s="258">
        <v>0</v>
      </c>
      <c r="G495" s="258">
        <v>0</v>
      </c>
      <c r="H495" s="258">
        <v>0</v>
      </c>
      <c r="I495" s="258">
        <v>0</v>
      </c>
      <c r="J495" s="258">
        <v>0</v>
      </c>
      <c r="K495" s="259">
        <v>0</v>
      </c>
      <c r="L495" s="258">
        <v>0</v>
      </c>
      <c r="M495" s="258">
        <v>1292526</v>
      </c>
      <c r="N495" s="258">
        <v>0</v>
      </c>
      <c r="O495" s="258">
        <v>430993</v>
      </c>
      <c r="P495" s="258">
        <v>0</v>
      </c>
      <c r="Q495" s="258">
        <v>0</v>
      </c>
      <c r="R495" s="258">
        <v>0</v>
      </c>
      <c r="S495" s="258">
        <v>0</v>
      </c>
      <c r="T495" s="258">
        <v>0</v>
      </c>
      <c r="U495" s="258">
        <v>0</v>
      </c>
      <c r="V495" s="258">
        <v>0</v>
      </c>
      <c r="W495" s="258">
        <v>0</v>
      </c>
      <c r="X495" s="258">
        <v>0</v>
      </c>
      <c r="Y495" s="258">
        <v>0</v>
      </c>
      <c r="Z495" s="258">
        <v>0</v>
      </c>
      <c r="AA495" s="258">
        <v>0</v>
      </c>
      <c r="AB495" s="260">
        <v>2020</v>
      </c>
    </row>
    <row r="496" spans="1:28" s="6" customFormat="1" ht="35.25" customHeight="1" x14ac:dyDescent="0.5">
      <c r="A496" s="6">
        <v>1</v>
      </c>
      <c r="B496" s="225">
        <f>SUBTOTAL(103,$A$7:A496)</f>
        <v>480</v>
      </c>
      <c r="C496" s="254" t="s">
        <v>2414</v>
      </c>
      <c r="D496" s="255">
        <v>1278638</v>
      </c>
      <c r="E496" s="258">
        <v>0</v>
      </c>
      <c r="F496" s="258">
        <v>0</v>
      </c>
      <c r="G496" s="258">
        <v>0</v>
      </c>
      <c r="H496" s="258">
        <v>0</v>
      </c>
      <c r="I496" s="258">
        <v>0</v>
      </c>
      <c r="J496" s="258">
        <v>0</v>
      </c>
      <c r="K496" s="259">
        <v>0</v>
      </c>
      <c r="L496" s="258">
        <v>0</v>
      </c>
      <c r="M496" s="258">
        <v>1278638</v>
      </c>
      <c r="N496" s="258">
        <v>0</v>
      </c>
      <c r="O496" s="258">
        <v>0</v>
      </c>
      <c r="P496" s="258">
        <v>0</v>
      </c>
      <c r="Q496" s="258">
        <v>0</v>
      </c>
      <c r="R496" s="258">
        <v>0</v>
      </c>
      <c r="S496" s="258">
        <v>0</v>
      </c>
      <c r="T496" s="258">
        <v>0</v>
      </c>
      <c r="U496" s="258">
        <v>0</v>
      </c>
      <c r="V496" s="258">
        <v>0</v>
      </c>
      <c r="W496" s="258">
        <v>0</v>
      </c>
      <c r="X496" s="258">
        <v>0</v>
      </c>
      <c r="Y496" s="258">
        <v>0</v>
      </c>
      <c r="Z496" s="258">
        <v>0</v>
      </c>
      <c r="AA496" s="258">
        <v>0</v>
      </c>
      <c r="AB496" s="260">
        <v>2020</v>
      </c>
    </row>
    <row r="497" spans="1:28" s="6" customFormat="1" ht="35.25" customHeight="1" x14ac:dyDescent="0.5">
      <c r="A497" s="6">
        <v>1</v>
      </c>
      <c r="B497" s="225">
        <f>SUBTOTAL(103,$A$7:A497)</f>
        <v>481</v>
      </c>
      <c r="C497" s="254" t="s">
        <v>2415</v>
      </c>
      <c r="D497" s="255">
        <v>4448101.99</v>
      </c>
      <c r="E497" s="258">
        <v>554213.75</v>
      </c>
      <c r="F497" s="258">
        <v>1163821.17</v>
      </c>
      <c r="G497" s="258">
        <v>0</v>
      </c>
      <c r="H497" s="258">
        <v>255478.07</v>
      </c>
      <c r="I497" s="258">
        <v>0</v>
      </c>
      <c r="J497" s="258">
        <v>0</v>
      </c>
      <c r="K497" s="259">
        <v>0</v>
      </c>
      <c r="L497" s="258">
        <v>0</v>
      </c>
      <c r="M497" s="258">
        <v>1741847</v>
      </c>
      <c r="N497" s="258">
        <v>0</v>
      </c>
      <c r="O497" s="258">
        <v>732742</v>
      </c>
      <c r="P497" s="258">
        <v>0</v>
      </c>
      <c r="Q497" s="258">
        <v>0</v>
      </c>
      <c r="R497" s="258">
        <v>0</v>
      </c>
      <c r="S497" s="258">
        <v>0</v>
      </c>
      <c r="T497" s="258">
        <v>0</v>
      </c>
      <c r="U497" s="258">
        <v>0</v>
      </c>
      <c r="V497" s="258">
        <v>0</v>
      </c>
      <c r="W497" s="258">
        <v>0</v>
      </c>
      <c r="X497" s="258">
        <v>0</v>
      </c>
      <c r="Y497" s="258">
        <v>0</v>
      </c>
      <c r="Z497" s="258">
        <v>0</v>
      </c>
      <c r="AA497" s="258">
        <v>0</v>
      </c>
      <c r="AB497" s="260">
        <v>2020</v>
      </c>
    </row>
    <row r="498" spans="1:28" s="6" customFormat="1" ht="35.25" customHeight="1" x14ac:dyDescent="0.5">
      <c r="A498" s="6">
        <v>1</v>
      </c>
      <c r="B498" s="225">
        <f>SUBTOTAL(103,$A$7:A498)</f>
        <v>482</v>
      </c>
      <c r="C498" s="254" t="s">
        <v>2211</v>
      </c>
      <c r="D498" s="255">
        <v>1269855</v>
      </c>
      <c r="E498" s="258">
        <v>0</v>
      </c>
      <c r="F498" s="258">
        <v>0</v>
      </c>
      <c r="G498" s="258">
        <v>0</v>
      </c>
      <c r="H498" s="258">
        <v>0</v>
      </c>
      <c r="I498" s="258">
        <v>0</v>
      </c>
      <c r="J498" s="258">
        <v>0</v>
      </c>
      <c r="K498" s="259">
        <v>0</v>
      </c>
      <c r="L498" s="258">
        <v>0</v>
      </c>
      <c r="M498" s="258">
        <v>1120180</v>
      </c>
      <c r="N498" s="258">
        <v>0</v>
      </c>
      <c r="O498" s="258">
        <v>149675</v>
      </c>
      <c r="P498" s="258">
        <v>0</v>
      </c>
      <c r="Q498" s="258">
        <v>0</v>
      </c>
      <c r="R498" s="258">
        <v>0</v>
      </c>
      <c r="S498" s="258">
        <v>0</v>
      </c>
      <c r="T498" s="258">
        <v>0</v>
      </c>
      <c r="U498" s="258">
        <v>0</v>
      </c>
      <c r="V498" s="258">
        <v>0</v>
      </c>
      <c r="W498" s="258">
        <v>0</v>
      </c>
      <c r="X498" s="258">
        <v>0</v>
      </c>
      <c r="Y498" s="258">
        <v>0</v>
      </c>
      <c r="Z498" s="258">
        <v>0</v>
      </c>
      <c r="AA498" s="258">
        <v>0</v>
      </c>
      <c r="AB498" s="260">
        <v>2020</v>
      </c>
    </row>
    <row r="499" spans="1:28" s="6" customFormat="1" ht="35.25" customHeight="1" x14ac:dyDescent="0.5">
      <c r="B499" s="254" t="s">
        <v>853</v>
      </c>
      <c r="C499" s="254"/>
      <c r="D499" s="255">
        <f t="shared" ref="D499:AA499" si="26">SUM(D500:D500)</f>
        <v>30800</v>
      </c>
      <c r="E499" s="255">
        <f t="shared" si="26"/>
        <v>0</v>
      </c>
      <c r="F499" s="255">
        <f t="shared" si="26"/>
        <v>0</v>
      </c>
      <c r="G499" s="255">
        <f t="shared" si="26"/>
        <v>0</v>
      </c>
      <c r="H499" s="255">
        <f t="shared" si="26"/>
        <v>0</v>
      </c>
      <c r="I499" s="255">
        <f t="shared" si="26"/>
        <v>0</v>
      </c>
      <c r="J499" s="255">
        <f t="shared" si="26"/>
        <v>0</v>
      </c>
      <c r="K499" s="257">
        <f t="shared" si="26"/>
        <v>0</v>
      </c>
      <c r="L499" s="255">
        <f t="shared" si="26"/>
        <v>0</v>
      </c>
      <c r="M499" s="255">
        <f t="shared" si="26"/>
        <v>0</v>
      </c>
      <c r="N499" s="255">
        <f t="shared" si="26"/>
        <v>0</v>
      </c>
      <c r="O499" s="255">
        <f t="shared" si="26"/>
        <v>30800</v>
      </c>
      <c r="P499" s="255">
        <f t="shared" si="26"/>
        <v>0</v>
      </c>
      <c r="Q499" s="255">
        <f t="shared" si="26"/>
        <v>0</v>
      </c>
      <c r="R499" s="255">
        <f t="shared" si="26"/>
        <v>0</v>
      </c>
      <c r="S499" s="255">
        <f t="shared" si="26"/>
        <v>0</v>
      </c>
      <c r="T499" s="255">
        <f t="shared" si="26"/>
        <v>0</v>
      </c>
      <c r="U499" s="255">
        <f t="shared" si="26"/>
        <v>0</v>
      </c>
      <c r="V499" s="255">
        <f t="shared" si="26"/>
        <v>0</v>
      </c>
      <c r="W499" s="255">
        <f t="shared" si="26"/>
        <v>0</v>
      </c>
      <c r="X499" s="255">
        <f t="shared" si="26"/>
        <v>0</v>
      </c>
      <c r="Y499" s="255">
        <f t="shared" si="26"/>
        <v>0</v>
      </c>
      <c r="Z499" s="255">
        <f t="shared" si="26"/>
        <v>0</v>
      </c>
      <c r="AA499" s="255">
        <f t="shared" si="26"/>
        <v>0</v>
      </c>
      <c r="AB499" s="256" t="s">
        <v>890</v>
      </c>
    </row>
    <row r="500" spans="1:28" s="6" customFormat="1" ht="35.25" customHeight="1" x14ac:dyDescent="0.5">
      <c r="A500" s="6">
        <v>1</v>
      </c>
      <c r="B500" s="225">
        <f>SUBTOTAL(103,$A$7:A500)</f>
        <v>483</v>
      </c>
      <c r="C500" s="254" t="s">
        <v>1866</v>
      </c>
      <c r="D500" s="255">
        <f>E500+F500+G500+H500+I500+J500+L500+M500+N500+O500+P500+Q500+R500+S500+T500+U500+V500+W500+X500+Y500+Z500+AA500</f>
        <v>30800</v>
      </c>
      <c r="E500" s="258">
        <v>0</v>
      </c>
      <c r="F500" s="258">
        <v>0</v>
      </c>
      <c r="G500" s="258">
        <v>0</v>
      </c>
      <c r="H500" s="258">
        <v>0</v>
      </c>
      <c r="I500" s="258">
        <v>0</v>
      </c>
      <c r="J500" s="258">
        <v>0</v>
      </c>
      <c r="K500" s="259">
        <v>0</v>
      </c>
      <c r="L500" s="258">
        <v>0</v>
      </c>
      <c r="M500" s="258">
        <v>0</v>
      </c>
      <c r="N500" s="258">
        <v>0</v>
      </c>
      <c r="O500" s="258">
        <v>30800</v>
      </c>
      <c r="P500" s="258">
        <v>0</v>
      </c>
      <c r="Q500" s="258">
        <v>0</v>
      </c>
      <c r="R500" s="258">
        <v>0</v>
      </c>
      <c r="S500" s="258">
        <v>0</v>
      </c>
      <c r="T500" s="258">
        <v>0</v>
      </c>
      <c r="U500" s="258">
        <v>0</v>
      </c>
      <c r="V500" s="258">
        <v>0</v>
      </c>
      <c r="W500" s="258">
        <v>0</v>
      </c>
      <c r="X500" s="258">
        <v>0</v>
      </c>
      <c r="Y500" s="258">
        <v>0</v>
      </c>
      <c r="Z500" s="258">
        <v>0</v>
      </c>
      <c r="AA500" s="258">
        <v>0</v>
      </c>
      <c r="AB500" s="260">
        <v>2020</v>
      </c>
    </row>
    <row r="501" spans="1:28" s="6" customFormat="1" ht="35.25" customHeight="1" x14ac:dyDescent="0.5">
      <c r="B501" s="254" t="s">
        <v>852</v>
      </c>
      <c r="C501" s="254"/>
      <c r="D501" s="255">
        <f t="shared" ref="D501:AA501" si="27">SUM(D502:D502)</f>
        <v>246611</v>
      </c>
      <c r="E501" s="255">
        <f t="shared" si="27"/>
        <v>0</v>
      </c>
      <c r="F501" s="255">
        <f t="shared" si="27"/>
        <v>0</v>
      </c>
      <c r="G501" s="255">
        <f t="shared" si="27"/>
        <v>0</v>
      </c>
      <c r="H501" s="255">
        <f t="shared" si="27"/>
        <v>0</v>
      </c>
      <c r="I501" s="255">
        <f t="shared" si="27"/>
        <v>0</v>
      </c>
      <c r="J501" s="255">
        <f t="shared" si="27"/>
        <v>0</v>
      </c>
      <c r="K501" s="259">
        <f t="shared" si="27"/>
        <v>0</v>
      </c>
      <c r="L501" s="255">
        <f t="shared" si="27"/>
        <v>0</v>
      </c>
      <c r="M501" s="255">
        <f t="shared" si="27"/>
        <v>0</v>
      </c>
      <c r="N501" s="255">
        <f t="shared" si="27"/>
        <v>0</v>
      </c>
      <c r="O501" s="255">
        <f t="shared" si="27"/>
        <v>246611</v>
      </c>
      <c r="P501" s="255">
        <f t="shared" si="27"/>
        <v>0</v>
      </c>
      <c r="Q501" s="255">
        <f t="shared" si="27"/>
        <v>0</v>
      </c>
      <c r="R501" s="255">
        <f t="shared" si="27"/>
        <v>0</v>
      </c>
      <c r="S501" s="255">
        <f t="shared" si="27"/>
        <v>0</v>
      </c>
      <c r="T501" s="255">
        <f t="shared" si="27"/>
        <v>0</v>
      </c>
      <c r="U501" s="255">
        <f t="shared" si="27"/>
        <v>0</v>
      </c>
      <c r="V501" s="255">
        <f t="shared" si="27"/>
        <v>0</v>
      </c>
      <c r="W501" s="255">
        <f t="shared" si="27"/>
        <v>0</v>
      </c>
      <c r="X501" s="255">
        <f t="shared" si="27"/>
        <v>0</v>
      </c>
      <c r="Y501" s="255">
        <f t="shared" si="27"/>
        <v>0</v>
      </c>
      <c r="Z501" s="255">
        <f t="shared" si="27"/>
        <v>0</v>
      </c>
      <c r="AA501" s="255">
        <f t="shared" si="27"/>
        <v>0</v>
      </c>
      <c r="AB501" s="256" t="s">
        <v>890</v>
      </c>
    </row>
    <row r="502" spans="1:28" s="6" customFormat="1" ht="35.25" customHeight="1" x14ac:dyDescent="0.5">
      <c r="A502" s="6">
        <v>1</v>
      </c>
      <c r="B502" s="225">
        <f>SUBTOTAL(103,$A$7:A502)</f>
        <v>484</v>
      </c>
      <c r="C502" s="254" t="s">
        <v>1867</v>
      </c>
      <c r="D502" s="255">
        <f>E502+F502+G502+H502+I502+J502+L502+M502+N502+O502+P502+Q502+R502+S502+T502+U502+V502+W502+X502+Y502+Z502+AA502</f>
        <v>246611</v>
      </c>
      <c r="E502" s="258">
        <v>0</v>
      </c>
      <c r="F502" s="258">
        <v>0</v>
      </c>
      <c r="G502" s="258">
        <v>0</v>
      </c>
      <c r="H502" s="258">
        <v>0</v>
      </c>
      <c r="I502" s="258">
        <v>0</v>
      </c>
      <c r="J502" s="258">
        <v>0</v>
      </c>
      <c r="K502" s="259">
        <v>0</v>
      </c>
      <c r="L502" s="258">
        <v>0</v>
      </c>
      <c r="M502" s="258">
        <v>0</v>
      </c>
      <c r="N502" s="258">
        <v>0</v>
      </c>
      <c r="O502" s="258">
        <v>246611</v>
      </c>
      <c r="P502" s="258">
        <v>0</v>
      </c>
      <c r="Q502" s="258">
        <v>0</v>
      </c>
      <c r="R502" s="258">
        <v>0</v>
      </c>
      <c r="S502" s="258">
        <v>0</v>
      </c>
      <c r="T502" s="258">
        <v>0</v>
      </c>
      <c r="U502" s="258">
        <v>0</v>
      </c>
      <c r="V502" s="258">
        <v>0</v>
      </c>
      <c r="W502" s="258">
        <v>0</v>
      </c>
      <c r="X502" s="258">
        <v>0</v>
      </c>
      <c r="Y502" s="258">
        <v>0</v>
      </c>
      <c r="Z502" s="258">
        <v>0</v>
      </c>
      <c r="AA502" s="258">
        <v>0</v>
      </c>
      <c r="AB502" s="260">
        <v>2020</v>
      </c>
    </row>
    <row r="503" spans="1:28" s="6" customFormat="1" ht="35.25" customHeight="1" x14ac:dyDescent="0.5">
      <c r="B503" s="254" t="s">
        <v>880</v>
      </c>
      <c r="C503" s="254"/>
      <c r="D503" s="255">
        <f>SUM(D504:D505)</f>
        <v>855755</v>
      </c>
      <c r="E503" s="255">
        <f t="shared" ref="E503:AA503" si="28">SUM(E504:E505)</f>
        <v>0</v>
      </c>
      <c r="F503" s="255">
        <f t="shared" si="28"/>
        <v>0</v>
      </c>
      <c r="G503" s="255">
        <f t="shared" si="28"/>
        <v>0</v>
      </c>
      <c r="H503" s="255">
        <f t="shared" si="28"/>
        <v>0</v>
      </c>
      <c r="I503" s="255">
        <f t="shared" si="28"/>
        <v>0</v>
      </c>
      <c r="J503" s="255">
        <f t="shared" si="28"/>
        <v>0</v>
      </c>
      <c r="K503" s="259">
        <f t="shared" si="28"/>
        <v>0</v>
      </c>
      <c r="L503" s="255">
        <f t="shared" si="28"/>
        <v>0</v>
      </c>
      <c r="M503" s="255">
        <f t="shared" si="28"/>
        <v>0</v>
      </c>
      <c r="N503" s="255">
        <f t="shared" si="28"/>
        <v>855755</v>
      </c>
      <c r="O503" s="255">
        <f t="shared" si="28"/>
        <v>0</v>
      </c>
      <c r="P503" s="255">
        <f t="shared" si="28"/>
        <v>0</v>
      </c>
      <c r="Q503" s="255">
        <f t="shared" si="28"/>
        <v>0</v>
      </c>
      <c r="R503" s="255">
        <f t="shared" si="28"/>
        <v>0</v>
      </c>
      <c r="S503" s="255">
        <f t="shared" si="28"/>
        <v>0</v>
      </c>
      <c r="T503" s="255">
        <f t="shared" si="28"/>
        <v>0</v>
      </c>
      <c r="U503" s="255">
        <f t="shared" si="28"/>
        <v>0</v>
      </c>
      <c r="V503" s="255">
        <f t="shared" si="28"/>
        <v>0</v>
      </c>
      <c r="W503" s="255">
        <f t="shared" si="28"/>
        <v>0</v>
      </c>
      <c r="X503" s="255">
        <f t="shared" si="28"/>
        <v>0</v>
      </c>
      <c r="Y503" s="255">
        <f t="shared" si="28"/>
        <v>0</v>
      </c>
      <c r="Z503" s="255">
        <f t="shared" si="28"/>
        <v>0</v>
      </c>
      <c r="AA503" s="255">
        <f t="shared" si="28"/>
        <v>0</v>
      </c>
      <c r="AB503" s="256" t="s">
        <v>890</v>
      </c>
    </row>
    <row r="504" spans="1:28" s="6" customFormat="1" ht="35.25" customHeight="1" x14ac:dyDescent="0.5">
      <c r="A504" s="6">
        <v>1</v>
      </c>
      <c r="B504" s="225">
        <f>SUBTOTAL(103,$A$7:A504)</f>
        <v>485</v>
      </c>
      <c r="C504" s="254" t="s">
        <v>1868</v>
      </c>
      <c r="D504" s="255">
        <f>E504+F504+G504+H504+I504+J504+L504+M504+N504+O504+P504+Q504+R504+S504+T504+U504+V504+W504+X504+Y504+Z504+AA504</f>
        <v>488555</v>
      </c>
      <c r="E504" s="258">
        <v>0</v>
      </c>
      <c r="F504" s="258">
        <v>0</v>
      </c>
      <c r="G504" s="258">
        <v>0</v>
      </c>
      <c r="H504" s="258">
        <v>0</v>
      </c>
      <c r="I504" s="258">
        <v>0</v>
      </c>
      <c r="J504" s="258">
        <v>0</v>
      </c>
      <c r="K504" s="259">
        <v>0</v>
      </c>
      <c r="L504" s="258">
        <v>0</v>
      </c>
      <c r="M504" s="258">
        <v>0</v>
      </c>
      <c r="N504" s="258">
        <v>488555</v>
      </c>
      <c r="O504" s="258">
        <v>0</v>
      </c>
      <c r="P504" s="258">
        <v>0</v>
      </c>
      <c r="Q504" s="258">
        <v>0</v>
      </c>
      <c r="R504" s="258">
        <v>0</v>
      </c>
      <c r="S504" s="258">
        <v>0</v>
      </c>
      <c r="T504" s="258">
        <v>0</v>
      </c>
      <c r="U504" s="258">
        <v>0</v>
      </c>
      <c r="V504" s="258">
        <v>0</v>
      </c>
      <c r="W504" s="258">
        <v>0</v>
      </c>
      <c r="X504" s="258">
        <v>0</v>
      </c>
      <c r="Y504" s="258">
        <v>0</v>
      </c>
      <c r="Z504" s="258">
        <v>0</v>
      </c>
      <c r="AA504" s="258">
        <v>0</v>
      </c>
      <c r="AB504" s="260">
        <v>2020</v>
      </c>
    </row>
    <row r="505" spans="1:28" s="6" customFormat="1" ht="35.25" customHeight="1" x14ac:dyDescent="0.5">
      <c r="A505" s="6">
        <v>1</v>
      </c>
      <c r="B505" s="225">
        <f>SUBTOTAL(103,$A$7:A505)</f>
        <v>486</v>
      </c>
      <c r="C505" s="254" t="s">
        <v>1869</v>
      </c>
      <c r="D505" s="255">
        <f>E505+F505+G505+H505+I505+J505+L505+M505+N505+O505+P505+Q505+R505+S505+T505+U505+V505+W505+X505+Y505+Z505+AA505</f>
        <v>367200</v>
      </c>
      <c r="E505" s="258">
        <v>0</v>
      </c>
      <c r="F505" s="258">
        <v>0</v>
      </c>
      <c r="G505" s="258">
        <v>0</v>
      </c>
      <c r="H505" s="258">
        <v>0</v>
      </c>
      <c r="I505" s="258">
        <v>0</v>
      </c>
      <c r="J505" s="258">
        <v>0</v>
      </c>
      <c r="K505" s="259">
        <v>0</v>
      </c>
      <c r="L505" s="258">
        <v>0</v>
      </c>
      <c r="M505" s="258">
        <v>0</v>
      </c>
      <c r="N505" s="258">
        <v>367200</v>
      </c>
      <c r="O505" s="258">
        <v>0</v>
      </c>
      <c r="P505" s="258">
        <v>0</v>
      </c>
      <c r="Q505" s="258">
        <v>0</v>
      </c>
      <c r="R505" s="258">
        <v>0</v>
      </c>
      <c r="S505" s="258">
        <v>0</v>
      </c>
      <c r="T505" s="258">
        <v>0</v>
      </c>
      <c r="U505" s="258">
        <v>0</v>
      </c>
      <c r="V505" s="258">
        <v>0</v>
      </c>
      <c r="W505" s="258">
        <v>0</v>
      </c>
      <c r="X505" s="258">
        <v>0</v>
      </c>
      <c r="Y505" s="258">
        <v>0</v>
      </c>
      <c r="Z505" s="258">
        <v>0</v>
      </c>
      <c r="AA505" s="258">
        <v>0</v>
      </c>
      <c r="AB505" s="260">
        <v>2020</v>
      </c>
    </row>
    <row r="506" spans="1:28" s="6" customFormat="1" ht="35.25" customHeight="1" x14ac:dyDescent="0.5">
      <c r="B506" s="253" t="s">
        <v>828</v>
      </c>
      <c r="C506" s="254"/>
      <c r="D506" s="255">
        <f t="shared" ref="D506:AA506" si="29">SUM(D507:D517)</f>
        <v>5274530.68</v>
      </c>
      <c r="E506" s="255">
        <f t="shared" si="29"/>
        <v>0</v>
      </c>
      <c r="F506" s="255">
        <f t="shared" si="29"/>
        <v>0</v>
      </c>
      <c r="G506" s="255">
        <f t="shared" si="29"/>
        <v>1536598.68</v>
      </c>
      <c r="H506" s="255">
        <f t="shared" si="29"/>
        <v>0</v>
      </c>
      <c r="I506" s="255">
        <f t="shared" si="29"/>
        <v>0</v>
      </c>
      <c r="J506" s="255">
        <f t="shared" si="29"/>
        <v>0</v>
      </c>
      <c r="K506" s="259">
        <f t="shared" si="29"/>
        <v>0</v>
      </c>
      <c r="L506" s="255">
        <f t="shared" si="29"/>
        <v>0</v>
      </c>
      <c r="M506" s="255">
        <f t="shared" si="29"/>
        <v>653320</v>
      </c>
      <c r="N506" s="255">
        <f t="shared" si="29"/>
        <v>0</v>
      </c>
      <c r="O506" s="255">
        <f t="shared" si="29"/>
        <v>3084612</v>
      </c>
      <c r="P506" s="255">
        <f t="shared" si="29"/>
        <v>0</v>
      </c>
      <c r="Q506" s="255">
        <f t="shared" si="29"/>
        <v>0</v>
      </c>
      <c r="R506" s="255">
        <f t="shared" si="29"/>
        <v>0</v>
      </c>
      <c r="S506" s="255">
        <f t="shared" si="29"/>
        <v>0</v>
      </c>
      <c r="T506" s="255">
        <f t="shared" si="29"/>
        <v>0</v>
      </c>
      <c r="U506" s="255">
        <f t="shared" si="29"/>
        <v>0</v>
      </c>
      <c r="V506" s="255">
        <f t="shared" si="29"/>
        <v>0</v>
      </c>
      <c r="W506" s="255">
        <f t="shared" si="29"/>
        <v>0</v>
      </c>
      <c r="X506" s="255">
        <f t="shared" si="29"/>
        <v>0</v>
      </c>
      <c r="Y506" s="255">
        <f t="shared" si="29"/>
        <v>0</v>
      </c>
      <c r="Z506" s="255">
        <f t="shared" si="29"/>
        <v>0</v>
      </c>
      <c r="AA506" s="255">
        <f t="shared" si="29"/>
        <v>0</v>
      </c>
      <c r="AB506" s="256" t="s">
        <v>890</v>
      </c>
    </row>
    <row r="507" spans="1:28" s="6" customFormat="1" ht="35.25" customHeight="1" x14ac:dyDescent="0.5">
      <c r="A507" s="6">
        <v>1</v>
      </c>
      <c r="B507" s="225">
        <f>SUBTOTAL(103,$A$7:A507)</f>
        <v>487</v>
      </c>
      <c r="C507" s="254" t="s">
        <v>2212</v>
      </c>
      <c r="D507" s="255">
        <f t="shared" ref="D507:D521" si="30">E507+F507+G507+H507+I507+J507+L507+M507+N507+O507+P507+Q507+R507+S507+T507+U507+V507+W507+X507+Y507+Z507+AA507</f>
        <v>338400</v>
      </c>
      <c r="E507" s="261">
        <v>0</v>
      </c>
      <c r="F507" s="261">
        <v>0</v>
      </c>
      <c r="G507" s="258">
        <v>0</v>
      </c>
      <c r="H507" s="258">
        <v>0</v>
      </c>
      <c r="I507" s="258">
        <v>0</v>
      </c>
      <c r="J507" s="258">
        <v>0</v>
      </c>
      <c r="K507" s="259">
        <v>0</v>
      </c>
      <c r="L507" s="258">
        <v>0</v>
      </c>
      <c r="M507" s="261">
        <v>0</v>
      </c>
      <c r="N507" s="258">
        <v>0</v>
      </c>
      <c r="O507" s="258">
        <v>338400</v>
      </c>
      <c r="P507" s="258">
        <v>0</v>
      </c>
      <c r="Q507" s="258">
        <v>0</v>
      </c>
      <c r="R507" s="258">
        <v>0</v>
      </c>
      <c r="S507" s="258">
        <v>0</v>
      </c>
      <c r="T507" s="258">
        <v>0</v>
      </c>
      <c r="U507" s="258">
        <v>0</v>
      </c>
      <c r="V507" s="258">
        <v>0</v>
      </c>
      <c r="W507" s="258">
        <v>0</v>
      </c>
      <c r="X507" s="258">
        <v>0</v>
      </c>
      <c r="Y507" s="258">
        <v>0</v>
      </c>
      <c r="Z507" s="258">
        <v>0</v>
      </c>
      <c r="AA507" s="258">
        <v>0</v>
      </c>
      <c r="AB507" s="260">
        <v>2020</v>
      </c>
    </row>
    <row r="508" spans="1:28" s="6" customFormat="1" ht="35.25" customHeight="1" x14ac:dyDescent="0.5">
      <c r="A508" s="6">
        <v>1</v>
      </c>
      <c r="B508" s="225">
        <f>SUBTOTAL(103,$A$7:A508)</f>
        <v>488</v>
      </c>
      <c r="C508" s="254" t="s">
        <v>2213</v>
      </c>
      <c r="D508" s="255">
        <f t="shared" si="30"/>
        <v>353445</v>
      </c>
      <c r="E508" s="261">
        <v>0</v>
      </c>
      <c r="F508" s="261">
        <v>0</v>
      </c>
      <c r="G508" s="258">
        <v>0</v>
      </c>
      <c r="H508" s="258">
        <v>0</v>
      </c>
      <c r="I508" s="258">
        <v>0</v>
      </c>
      <c r="J508" s="258">
        <v>0</v>
      </c>
      <c r="K508" s="259">
        <v>0</v>
      </c>
      <c r="L508" s="258">
        <v>0</v>
      </c>
      <c r="M508" s="261">
        <v>0</v>
      </c>
      <c r="N508" s="258">
        <v>0</v>
      </c>
      <c r="O508" s="258">
        <v>353445</v>
      </c>
      <c r="P508" s="258">
        <v>0</v>
      </c>
      <c r="Q508" s="258">
        <v>0</v>
      </c>
      <c r="R508" s="258">
        <v>0</v>
      </c>
      <c r="S508" s="258">
        <v>0</v>
      </c>
      <c r="T508" s="258">
        <v>0</v>
      </c>
      <c r="U508" s="258">
        <v>0</v>
      </c>
      <c r="V508" s="258">
        <v>0</v>
      </c>
      <c r="W508" s="258">
        <v>0</v>
      </c>
      <c r="X508" s="258">
        <v>0</v>
      </c>
      <c r="Y508" s="258">
        <v>0</v>
      </c>
      <c r="Z508" s="258">
        <v>0</v>
      </c>
      <c r="AA508" s="258">
        <v>0</v>
      </c>
      <c r="AB508" s="260">
        <v>2020</v>
      </c>
    </row>
    <row r="509" spans="1:28" s="6" customFormat="1" ht="35.25" customHeight="1" x14ac:dyDescent="0.5">
      <c r="A509" s="6">
        <v>1</v>
      </c>
      <c r="B509" s="225">
        <f>SUBTOTAL(103,$A$7:A509)</f>
        <v>489</v>
      </c>
      <c r="C509" s="254" t="s">
        <v>2214</v>
      </c>
      <c r="D509" s="255">
        <f t="shared" si="30"/>
        <v>436897.68</v>
      </c>
      <c r="E509" s="261">
        <v>0</v>
      </c>
      <c r="F509" s="261">
        <v>0</v>
      </c>
      <c r="G509" s="258">
        <v>436897.68</v>
      </c>
      <c r="H509" s="258">
        <v>0</v>
      </c>
      <c r="I509" s="258">
        <v>0</v>
      </c>
      <c r="J509" s="258">
        <v>0</v>
      </c>
      <c r="K509" s="259">
        <v>0</v>
      </c>
      <c r="L509" s="258">
        <v>0</v>
      </c>
      <c r="M509" s="261">
        <v>0</v>
      </c>
      <c r="N509" s="258">
        <v>0</v>
      </c>
      <c r="O509" s="258">
        <v>0</v>
      </c>
      <c r="P509" s="258">
        <v>0</v>
      </c>
      <c r="Q509" s="258">
        <v>0</v>
      </c>
      <c r="R509" s="258">
        <v>0</v>
      </c>
      <c r="S509" s="258">
        <v>0</v>
      </c>
      <c r="T509" s="258">
        <v>0</v>
      </c>
      <c r="U509" s="258">
        <v>0</v>
      </c>
      <c r="V509" s="258">
        <v>0</v>
      </c>
      <c r="W509" s="258">
        <v>0</v>
      </c>
      <c r="X509" s="258">
        <v>0</v>
      </c>
      <c r="Y509" s="258">
        <v>0</v>
      </c>
      <c r="Z509" s="258">
        <v>0</v>
      </c>
      <c r="AA509" s="258">
        <v>0</v>
      </c>
      <c r="AB509" s="260">
        <v>2020</v>
      </c>
    </row>
    <row r="510" spans="1:28" s="6" customFormat="1" ht="35.25" customHeight="1" x14ac:dyDescent="0.5">
      <c r="A510" s="6">
        <v>1</v>
      </c>
      <c r="B510" s="225">
        <f>SUBTOTAL(103,$A$7:A510)</f>
        <v>490</v>
      </c>
      <c r="C510" s="254" t="s">
        <v>2215</v>
      </c>
      <c r="D510" s="255">
        <f t="shared" si="30"/>
        <v>323557</v>
      </c>
      <c r="E510" s="261">
        <v>0</v>
      </c>
      <c r="F510" s="261">
        <v>0</v>
      </c>
      <c r="G510" s="258">
        <v>0</v>
      </c>
      <c r="H510" s="258">
        <v>0</v>
      </c>
      <c r="I510" s="258">
        <v>0</v>
      </c>
      <c r="J510" s="258">
        <v>0</v>
      </c>
      <c r="K510" s="259">
        <v>0</v>
      </c>
      <c r="L510" s="258">
        <v>0</v>
      </c>
      <c r="M510" s="261">
        <v>0</v>
      </c>
      <c r="N510" s="258">
        <v>0</v>
      </c>
      <c r="O510" s="258">
        <v>323557</v>
      </c>
      <c r="P510" s="258">
        <v>0</v>
      </c>
      <c r="Q510" s="258">
        <v>0</v>
      </c>
      <c r="R510" s="258">
        <v>0</v>
      </c>
      <c r="S510" s="258">
        <v>0</v>
      </c>
      <c r="T510" s="258">
        <v>0</v>
      </c>
      <c r="U510" s="258">
        <v>0</v>
      </c>
      <c r="V510" s="258">
        <v>0</v>
      </c>
      <c r="W510" s="258">
        <v>0</v>
      </c>
      <c r="X510" s="258">
        <v>0</v>
      </c>
      <c r="Y510" s="258">
        <v>0</v>
      </c>
      <c r="Z510" s="258">
        <v>0</v>
      </c>
      <c r="AA510" s="258">
        <v>0</v>
      </c>
      <c r="AB510" s="260">
        <v>2020</v>
      </c>
    </row>
    <row r="511" spans="1:28" s="6" customFormat="1" ht="35.25" customHeight="1" x14ac:dyDescent="0.5">
      <c r="A511" s="6">
        <v>1</v>
      </c>
      <c r="B511" s="225">
        <f>SUBTOTAL(103,$A$7:A511)</f>
        <v>491</v>
      </c>
      <c r="C511" s="254" t="s">
        <v>2216</v>
      </c>
      <c r="D511" s="255">
        <f t="shared" si="30"/>
        <v>574400</v>
      </c>
      <c r="E511" s="261">
        <v>0</v>
      </c>
      <c r="F511" s="261">
        <v>0</v>
      </c>
      <c r="G511" s="258">
        <v>0</v>
      </c>
      <c r="H511" s="258">
        <v>0</v>
      </c>
      <c r="I511" s="258">
        <v>0</v>
      </c>
      <c r="J511" s="258">
        <v>0</v>
      </c>
      <c r="K511" s="259">
        <v>0</v>
      </c>
      <c r="L511" s="258">
        <v>0</v>
      </c>
      <c r="M511" s="261">
        <v>333320</v>
      </c>
      <c r="N511" s="258">
        <v>0</v>
      </c>
      <c r="O511" s="258">
        <v>241080</v>
      </c>
      <c r="P511" s="258">
        <v>0</v>
      </c>
      <c r="Q511" s="258">
        <v>0</v>
      </c>
      <c r="R511" s="258">
        <v>0</v>
      </c>
      <c r="S511" s="258">
        <v>0</v>
      </c>
      <c r="T511" s="258">
        <v>0</v>
      </c>
      <c r="U511" s="258">
        <v>0</v>
      </c>
      <c r="V511" s="258">
        <v>0</v>
      </c>
      <c r="W511" s="258">
        <v>0</v>
      </c>
      <c r="X511" s="258">
        <v>0</v>
      </c>
      <c r="Y511" s="258">
        <v>0</v>
      </c>
      <c r="Z511" s="258">
        <v>0</v>
      </c>
      <c r="AA511" s="258">
        <v>0</v>
      </c>
      <c r="AB511" s="260">
        <v>2020</v>
      </c>
    </row>
    <row r="512" spans="1:28" s="6" customFormat="1" ht="35.25" customHeight="1" x14ac:dyDescent="0.5">
      <c r="A512" s="6">
        <v>1</v>
      </c>
      <c r="B512" s="225">
        <f>SUBTOTAL(103,$A$7:A512)</f>
        <v>492</v>
      </c>
      <c r="C512" s="254" t="s">
        <v>2217</v>
      </c>
      <c r="D512" s="255">
        <f t="shared" si="30"/>
        <v>353445</v>
      </c>
      <c r="E512" s="261">
        <v>0</v>
      </c>
      <c r="F512" s="261">
        <v>0</v>
      </c>
      <c r="G512" s="258">
        <v>0</v>
      </c>
      <c r="H512" s="258">
        <v>0</v>
      </c>
      <c r="I512" s="258">
        <v>0</v>
      </c>
      <c r="J512" s="258">
        <v>0</v>
      </c>
      <c r="K512" s="259">
        <v>0</v>
      </c>
      <c r="L512" s="258">
        <v>0</v>
      </c>
      <c r="M512" s="261">
        <v>0</v>
      </c>
      <c r="N512" s="258">
        <v>0</v>
      </c>
      <c r="O512" s="258">
        <v>353445</v>
      </c>
      <c r="P512" s="258">
        <v>0</v>
      </c>
      <c r="Q512" s="258">
        <v>0</v>
      </c>
      <c r="R512" s="258">
        <v>0</v>
      </c>
      <c r="S512" s="258">
        <v>0</v>
      </c>
      <c r="T512" s="258">
        <v>0</v>
      </c>
      <c r="U512" s="258">
        <v>0</v>
      </c>
      <c r="V512" s="258">
        <v>0</v>
      </c>
      <c r="W512" s="258">
        <v>0</v>
      </c>
      <c r="X512" s="258">
        <v>0</v>
      </c>
      <c r="Y512" s="258">
        <v>0</v>
      </c>
      <c r="Z512" s="258">
        <v>0</v>
      </c>
      <c r="AA512" s="258">
        <v>0</v>
      </c>
      <c r="AB512" s="260">
        <v>2020</v>
      </c>
    </row>
    <row r="513" spans="1:28" s="6" customFormat="1" ht="35.25" customHeight="1" x14ac:dyDescent="0.5">
      <c r="A513" s="6">
        <v>1</v>
      </c>
      <c r="B513" s="225">
        <f>SUBTOTAL(103,$A$7:A513)</f>
        <v>493</v>
      </c>
      <c r="C513" s="254" t="s">
        <v>2416</v>
      </c>
      <c r="D513" s="255">
        <f t="shared" si="30"/>
        <v>336434</v>
      </c>
      <c r="E513" s="261">
        <v>0</v>
      </c>
      <c r="F513" s="261">
        <v>0</v>
      </c>
      <c r="G513" s="258">
        <v>0</v>
      </c>
      <c r="H513" s="258">
        <v>0</v>
      </c>
      <c r="I513" s="258">
        <v>0</v>
      </c>
      <c r="J513" s="258">
        <v>0</v>
      </c>
      <c r="K513" s="259">
        <v>0</v>
      </c>
      <c r="L513" s="258">
        <v>0</v>
      </c>
      <c r="M513" s="261">
        <v>0</v>
      </c>
      <c r="N513" s="258">
        <v>0</v>
      </c>
      <c r="O513" s="258">
        <v>336434</v>
      </c>
      <c r="P513" s="258">
        <v>0</v>
      </c>
      <c r="Q513" s="258">
        <v>0</v>
      </c>
      <c r="R513" s="258">
        <v>0</v>
      </c>
      <c r="S513" s="258">
        <v>0</v>
      </c>
      <c r="T513" s="258">
        <v>0</v>
      </c>
      <c r="U513" s="258">
        <v>0</v>
      </c>
      <c r="V513" s="258">
        <v>0</v>
      </c>
      <c r="W513" s="258">
        <v>0</v>
      </c>
      <c r="X513" s="258">
        <v>0</v>
      </c>
      <c r="Y513" s="258">
        <v>0</v>
      </c>
      <c r="Z513" s="258">
        <v>0</v>
      </c>
      <c r="AA513" s="258">
        <v>0</v>
      </c>
      <c r="AB513" s="260">
        <v>2020</v>
      </c>
    </row>
    <row r="514" spans="1:28" s="6" customFormat="1" ht="35.25" customHeight="1" x14ac:dyDescent="0.5">
      <c r="A514" s="6">
        <v>1</v>
      </c>
      <c r="B514" s="225">
        <f>SUBTOTAL(103,$A$7:A514)</f>
        <v>494</v>
      </c>
      <c r="C514" s="254" t="s">
        <v>2417</v>
      </c>
      <c r="D514" s="255">
        <f t="shared" si="30"/>
        <v>796882</v>
      </c>
      <c r="E514" s="261">
        <v>0</v>
      </c>
      <c r="F514" s="261">
        <v>0</v>
      </c>
      <c r="G514" s="258">
        <v>796882</v>
      </c>
      <c r="H514" s="258">
        <v>0</v>
      </c>
      <c r="I514" s="258">
        <v>0</v>
      </c>
      <c r="J514" s="258">
        <v>0</v>
      </c>
      <c r="K514" s="259">
        <v>0</v>
      </c>
      <c r="L514" s="258">
        <v>0</v>
      </c>
      <c r="M514" s="261">
        <v>0</v>
      </c>
      <c r="N514" s="258">
        <v>0</v>
      </c>
      <c r="O514" s="258">
        <v>0</v>
      </c>
      <c r="P514" s="258">
        <v>0</v>
      </c>
      <c r="Q514" s="258">
        <v>0</v>
      </c>
      <c r="R514" s="258">
        <v>0</v>
      </c>
      <c r="S514" s="258">
        <v>0</v>
      </c>
      <c r="T514" s="258">
        <v>0</v>
      </c>
      <c r="U514" s="258">
        <v>0</v>
      </c>
      <c r="V514" s="258">
        <v>0</v>
      </c>
      <c r="W514" s="258">
        <v>0</v>
      </c>
      <c r="X514" s="258">
        <v>0</v>
      </c>
      <c r="Y514" s="258">
        <v>0</v>
      </c>
      <c r="Z514" s="258">
        <v>0</v>
      </c>
      <c r="AA514" s="258">
        <v>0</v>
      </c>
      <c r="AB514" s="260">
        <v>2020</v>
      </c>
    </row>
    <row r="515" spans="1:28" s="6" customFormat="1" ht="35.25" customHeight="1" x14ac:dyDescent="0.5">
      <c r="A515" s="6">
        <v>1</v>
      </c>
      <c r="B515" s="225">
        <f>SUBTOTAL(103,$A$7:A515)</f>
        <v>495</v>
      </c>
      <c r="C515" s="254" t="s">
        <v>2418</v>
      </c>
      <c r="D515" s="255">
        <f t="shared" si="30"/>
        <v>1138251</v>
      </c>
      <c r="E515" s="261">
        <v>0</v>
      </c>
      <c r="F515" s="261">
        <v>0</v>
      </c>
      <c r="G515" s="258">
        <v>0</v>
      </c>
      <c r="H515" s="258">
        <v>0</v>
      </c>
      <c r="I515" s="258">
        <v>0</v>
      </c>
      <c r="J515" s="258">
        <v>0</v>
      </c>
      <c r="K515" s="259">
        <v>0</v>
      </c>
      <c r="L515" s="258">
        <v>0</v>
      </c>
      <c r="M515" s="261">
        <v>0</v>
      </c>
      <c r="N515" s="258">
        <v>0</v>
      </c>
      <c r="O515" s="258">
        <v>1138251</v>
      </c>
      <c r="P515" s="258">
        <v>0</v>
      </c>
      <c r="Q515" s="258">
        <v>0</v>
      </c>
      <c r="R515" s="258">
        <v>0</v>
      </c>
      <c r="S515" s="258">
        <v>0</v>
      </c>
      <c r="T515" s="258">
        <v>0</v>
      </c>
      <c r="U515" s="258">
        <v>0</v>
      </c>
      <c r="V515" s="258">
        <v>0</v>
      </c>
      <c r="W515" s="258">
        <v>0</v>
      </c>
      <c r="X515" s="258">
        <v>0</v>
      </c>
      <c r="Y515" s="258">
        <v>0</v>
      </c>
      <c r="Z515" s="258">
        <v>0</v>
      </c>
      <c r="AA515" s="258">
        <v>0</v>
      </c>
      <c r="AB515" s="260">
        <v>2020</v>
      </c>
    </row>
    <row r="516" spans="1:28" s="6" customFormat="1" ht="35.25" customHeight="1" x14ac:dyDescent="0.5">
      <c r="A516" s="6">
        <v>1</v>
      </c>
      <c r="B516" s="225">
        <f>SUBTOTAL(103,$A$7:A516)</f>
        <v>496</v>
      </c>
      <c r="C516" s="254" t="s">
        <v>2419</v>
      </c>
      <c r="D516" s="255">
        <v>320000</v>
      </c>
      <c r="E516" s="261">
        <v>0</v>
      </c>
      <c r="F516" s="261">
        <v>0</v>
      </c>
      <c r="G516" s="258">
        <v>0</v>
      </c>
      <c r="H516" s="258">
        <v>0</v>
      </c>
      <c r="I516" s="258">
        <v>0</v>
      </c>
      <c r="J516" s="258">
        <v>0</v>
      </c>
      <c r="K516" s="259">
        <v>0</v>
      </c>
      <c r="L516" s="258">
        <v>0</v>
      </c>
      <c r="M516" s="261">
        <v>320000</v>
      </c>
      <c r="N516" s="258">
        <v>0</v>
      </c>
      <c r="O516" s="258">
        <v>0</v>
      </c>
      <c r="P516" s="258">
        <v>0</v>
      </c>
      <c r="Q516" s="258">
        <v>0</v>
      </c>
      <c r="R516" s="258">
        <v>0</v>
      </c>
      <c r="S516" s="258">
        <v>0</v>
      </c>
      <c r="T516" s="258">
        <v>0</v>
      </c>
      <c r="U516" s="258">
        <v>0</v>
      </c>
      <c r="V516" s="258">
        <v>0</v>
      </c>
      <c r="W516" s="258">
        <v>0</v>
      </c>
      <c r="X516" s="258">
        <v>0</v>
      </c>
      <c r="Y516" s="258">
        <v>0</v>
      </c>
      <c r="Z516" s="258">
        <v>0</v>
      </c>
      <c r="AA516" s="258">
        <v>0</v>
      </c>
      <c r="AB516" s="260">
        <v>2020</v>
      </c>
    </row>
    <row r="517" spans="1:28" s="6" customFormat="1" ht="35.25" customHeight="1" x14ac:dyDescent="0.5">
      <c r="A517" s="6">
        <v>1</v>
      </c>
      <c r="B517" s="225">
        <f>SUBTOTAL(103,$A$7:A517)</f>
        <v>497</v>
      </c>
      <c r="C517" s="254" t="s">
        <v>2218</v>
      </c>
      <c r="D517" s="255">
        <f t="shared" si="30"/>
        <v>302819</v>
      </c>
      <c r="E517" s="261">
        <v>0</v>
      </c>
      <c r="F517" s="261">
        <v>0</v>
      </c>
      <c r="G517" s="258">
        <v>302819</v>
      </c>
      <c r="H517" s="258">
        <v>0</v>
      </c>
      <c r="I517" s="258">
        <v>0</v>
      </c>
      <c r="J517" s="258">
        <v>0</v>
      </c>
      <c r="K517" s="259">
        <v>0</v>
      </c>
      <c r="L517" s="258">
        <v>0</v>
      </c>
      <c r="M517" s="261">
        <v>0</v>
      </c>
      <c r="N517" s="258">
        <v>0</v>
      </c>
      <c r="O517" s="258">
        <v>0</v>
      </c>
      <c r="P517" s="258">
        <v>0</v>
      </c>
      <c r="Q517" s="258">
        <v>0</v>
      </c>
      <c r="R517" s="258">
        <v>0</v>
      </c>
      <c r="S517" s="258">
        <v>0</v>
      </c>
      <c r="T517" s="258">
        <v>0</v>
      </c>
      <c r="U517" s="258">
        <v>0</v>
      </c>
      <c r="V517" s="258">
        <v>0</v>
      </c>
      <c r="W517" s="258">
        <v>0</v>
      </c>
      <c r="X517" s="258">
        <v>0</v>
      </c>
      <c r="Y517" s="258">
        <v>0</v>
      </c>
      <c r="Z517" s="258">
        <v>0</v>
      </c>
      <c r="AA517" s="258">
        <v>0</v>
      </c>
      <c r="AB517" s="260">
        <v>2020</v>
      </c>
    </row>
    <row r="518" spans="1:28" s="6" customFormat="1" ht="35.25" customHeight="1" x14ac:dyDescent="0.5">
      <c r="B518" s="253" t="s">
        <v>862</v>
      </c>
      <c r="C518" s="254"/>
      <c r="D518" s="255">
        <f t="shared" ref="D518:AA518" si="31">SUM(D519:D525)</f>
        <v>5657497</v>
      </c>
      <c r="E518" s="255">
        <f t="shared" si="31"/>
        <v>0</v>
      </c>
      <c r="F518" s="255">
        <f t="shared" si="31"/>
        <v>0</v>
      </c>
      <c r="G518" s="255">
        <f t="shared" si="31"/>
        <v>0</v>
      </c>
      <c r="H518" s="255">
        <f t="shared" si="31"/>
        <v>0</v>
      </c>
      <c r="I518" s="255">
        <f t="shared" si="31"/>
        <v>0</v>
      </c>
      <c r="J518" s="255">
        <f t="shared" si="31"/>
        <v>0</v>
      </c>
      <c r="K518" s="257">
        <f t="shared" si="31"/>
        <v>0</v>
      </c>
      <c r="L518" s="255">
        <f t="shared" si="31"/>
        <v>0</v>
      </c>
      <c r="M518" s="255">
        <f t="shared" si="31"/>
        <v>0</v>
      </c>
      <c r="N518" s="255">
        <f t="shared" si="31"/>
        <v>0</v>
      </c>
      <c r="O518" s="255">
        <f t="shared" si="31"/>
        <v>5657497</v>
      </c>
      <c r="P518" s="255">
        <f t="shared" si="31"/>
        <v>0</v>
      </c>
      <c r="Q518" s="255">
        <f t="shared" si="31"/>
        <v>0</v>
      </c>
      <c r="R518" s="255">
        <f t="shared" si="31"/>
        <v>0</v>
      </c>
      <c r="S518" s="255">
        <f t="shared" si="31"/>
        <v>0</v>
      </c>
      <c r="T518" s="255">
        <f t="shared" si="31"/>
        <v>0</v>
      </c>
      <c r="U518" s="255">
        <f t="shared" si="31"/>
        <v>0</v>
      </c>
      <c r="V518" s="255">
        <f t="shared" si="31"/>
        <v>0</v>
      </c>
      <c r="W518" s="255">
        <f t="shared" si="31"/>
        <v>0</v>
      </c>
      <c r="X518" s="255">
        <f t="shared" si="31"/>
        <v>0</v>
      </c>
      <c r="Y518" s="255">
        <f t="shared" si="31"/>
        <v>0</v>
      </c>
      <c r="Z518" s="255">
        <f t="shared" si="31"/>
        <v>0</v>
      </c>
      <c r="AA518" s="255">
        <f t="shared" si="31"/>
        <v>0</v>
      </c>
      <c r="AB518" s="256" t="s">
        <v>890</v>
      </c>
    </row>
    <row r="519" spans="1:28" s="6" customFormat="1" ht="35.25" customHeight="1" x14ac:dyDescent="0.5">
      <c r="A519" s="6">
        <v>1</v>
      </c>
      <c r="B519" s="225">
        <f>SUBTOTAL(103,$A$7:A519)</f>
        <v>498</v>
      </c>
      <c r="C519" s="254" t="s">
        <v>2219</v>
      </c>
      <c r="D519" s="255">
        <f t="shared" si="30"/>
        <v>512725</v>
      </c>
      <c r="E519" s="258">
        <v>0</v>
      </c>
      <c r="F519" s="258">
        <v>0</v>
      </c>
      <c r="G519" s="258">
        <v>0</v>
      </c>
      <c r="H519" s="258">
        <v>0</v>
      </c>
      <c r="I519" s="258">
        <v>0</v>
      </c>
      <c r="J519" s="258">
        <v>0</v>
      </c>
      <c r="K519" s="259">
        <v>0</v>
      </c>
      <c r="L519" s="258">
        <v>0</v>
      </c>
      <c r="M519" s="258">
        <v>0</v>
      </c>
      <c r="N519" s="258">
        <v>0</v>
      </c>
      <c r="O519" s="258">
        <v>512725</v>
      </c>
      <c r="P519" s="258">
        <v>0</v>
      </c>
      <c r="Q519" s="258">
        <v>0</v>
      </c>
      <c r="R519" s="258">
        <v>0</v>
      </c>
      <c r="S519" s="258">
        <v>0</v>
      </c>
      <c r="T519" s="258">
        <v>0</v>
      </c>
      <c r="U519" s="258">
        <v>0</v>
      </c>
      <c r="V519" s="258">
        <v>0</v>
      </c>
      <c r="W519" s="258">
        <v>0</v>
      </c>
      <c r="X519" s="258">
        <v>0</v>
      </c>
      <c r="Y519" s="258">
        <v>0</v>
      </c>
      <c r="Z519" s="258">
        <v>0</v>
      </c>
      <c r="AA519" s="258">
        <v>0</v>
      </c>
      <c r="AB519" s="260">
        <v>2020</v>
      </c>
    </row>
    <row r="520" spans="1:28" s="6" customFormat="1" ht="35.25" customHeight="1" x14ac:dyDescent="0.5">
      <c r="A520" s="6">
        <v>1</v>
      </c>
      <c r="B520" s="225">
        <f>SUBTOTAL(103,$A$7:A520)</f>
        <v>499</v>
      </c>
      <c r="C520" s="254" t="s">
        <v>2220</v>
      </c>
      <c r="D520" s="255">
        <f t="shared" si="30"/>
        <v>1078018</v>
      </c>
      <c r="E520" s="258">
        <v>0</v>
      </c>
      <c r="F520" s="258">
        <v>0</v>
      </c>
      <c r="G520" s="258">
        <v>0</v>
      </c>
      <c r="H520" s="258">
        <v>0</v>
      </c>
      <c r="I520" s="258">
        <v>0</v>
      </c>
      <c r="J520" s="258">
        <v>0</v>
      </c>
      <c r="K520" s="259">
        <v>0</v>
      </c>
      <c r="L520" s="258">
        <v>0</v>
      </c>
      <c r="M520" s="258">
        <v>0</v>
      </c>
      <c r="N520" s="258">
        <v>0</v>
      </c>
      <c r="O520" s="258">
        <v>1078018</v>
      </c>
      <c r="P520" s="258">
        <v>0</v>
      </c>
      <c r="Q520" s="258">
        <v>0</v>
      </c>
      <c r="R520" s="258">
        <v>0</v>
      </c>
      <c r="S520" s="258">
        <v>0</v>
      </c>
      <c r="T520" s="258">
        <v>0</v>
      </c>
      <c r="U520" s="258">
        <v>0</v>
      </c>
      <c r="V520" s="258">
        <v>0</v>
      </c>
      <c r="W520" s="258">
        <v>0</v>
      </c>
      <c r="X520" s="258">
        <v>0</v>
      </c>
      <c r="Y520" s="258">
        <v>0</v>
      </c>
      <c r="Z520" s="258">
        <v>0</v>
      </c>
      <c r="AA520" s="258">
        <v>0</v>
      </c>
      <c r="AB520" s="260">
        <v>2020</v>
      </c>
    </row>
    <row r="521" spans="1:28" s="6" customFormat="1" ht="35.25" customHeight="1" x14ac:dyDescent="0.5">
      <c r="A521" s="6">
        <v>1</v>
      </c>
      <c r="B521" s="225">
        <f>SUBTOTAL(103,$A$7:A521)</f>
        <v>500</v>
      </c>
      <c r="C521" s="254" t="s">
        <v>2221</v>
      </c>
      <c r="D521" s="255">
        <f t="shared" si="30"/>
        <v>302103</v>
      </c>
      <c r="E521" s="258">
        <v>0</v>
      </c>
      <c r="F521" s="258">
        <v>0</v>
      </c>
      <c r="G521" s="258">
        <v>0</v>
      </c>
      <c r="H521" s="258">
        <v>0</v>
      </c>
      <c r="I521" s="258">
        <v>0</v>
      </c>
      <c r="J521" s="258">
        <v>0</v>
      </c>
      <c r="K521" s="259">
        <v>0</v>
      </c>
      <c r="L521" s="258">
        <v>0</v>
      </c>
      <c r="M521" s="258">
        <v>0</v>
      </c>
      <c r="N521" s="258">
        <v>0</v>
      </c>
      <c r="O521" s="258">
        <v>302103</v>
      </c>
      <c r="P521" s="258">
        <v>0</v>
      </c>
      <c r="Q521" s="258">
        <v>0</v>
      </c>
      <c r="R521" s="258">
        <v>0</v>
      </c>
      <c r="S521" s="258">
        <v>0</v>
      </c>
      <c r="T521" s="258">
        <v>0</v>
      </c>
      <c r="U521" s="258">
        <v>0</v>
      </c>
      <c r="V521" s="258">
        <v>0</v>
      </c>
      <c r="W521" s="258">
        <v>0</v>
      </c>
      <c r="X521" s="258">
        <v>0</v>
      </c>
      <c r="Y521" s="258">
        <v>0</v>
      </c>
      <c r="Z521" s="258">
        <v>0</v>
      </c>
      <c r="AA521" s="258">
        <v>0</v>
      </c>
      <c r="AB521" s="260">
        <v>2020</v>
      </c>
    </row>
    <row r="522" spans="1:28" s="6" customFormat="1" ht="35.25" customHeight="1" x14ac:dyDescent="0.5">
      <c r="A522" s="6">
        <v>1</v>
      </c>
      <c r="B522" s="225">
        <f>SUBTOTAL(103,$A$7:A522)</f>
        <v>501</v>
      </c>
      <c r="C522" s="254" t="s">
        <v>2222</v>
      </c>
      <c r="D522" s="255">
        <f>E522+F522+G522+H522+I522+J522+L522+M522+N522+O522+P522+Q522+R522+S522+T522+U522+V522+W522+X522+Y522+Z522+AA522</f>
        <v>1078018</v>
      </c>
      <c r="E522" s="258">
        <v>0</v>
      </c>
      <c r="F522" s="258">
        <v>0</v>
      </c>
      <c r="G522" s="258">
        <v>0</v>
      </c>
      <c r="H522" s="258">
        <v>0</v>
      </c>
      <c r="I522" s="258">
        <v>0</v>
      </c>
      <c r="J522" s="258">
        <v>0</v>
      </c>
      <c r="K522" s="259">
        <v>0</v>
      </c>
      <c r="L522" s="258">
        <v>0</v>
      </c>
      <c r="M522" s="258">
        <v>0</v>
      </c>
      <c r="N522" s="258">
        <v>0</v>
      </c>
      <c r="O522" s="258">
        <v>1078018</v>
      </c>
      <c r="P522" s="258">
        <v>0</v>
      </c>
      <c r="Q522" s="258">
        <v>0</v>
      </c>
      <c r="R522" s="258">
        <v>0</v>
      </c>
      <c r="S522" s="258">
        <v>0</v>
      </c>
      <c r="T522" s="258">
        <v>0</v>
      </c>
      <c r="U522" s="258">
        <v>0</v>
      </c>
      <c r="V522" s="258">
        <v>0</v>
      </c>
      <c r="W522" s="258">
        <v>0</v>
      </c>
      <c r="X522" s="258">
        <v>0</v>
      </c>
      <c r="Y522" s="258">
        <v>0</v>
      </c>
      <c r="Z522" s="258">
        <v>0</v>
      </c>
      <c r="AA522" s="258">
        <v>0</v>
      </c>
      <c r="AB522" s="260">
        <v>2020</v>
      </c>
    </row>
    <row r="523" spans="1:28" s="6" customFormat="1" ht="35.25" customHeight="1" x14ac:dyDescent="0.5">
      <c r="A523" s="6">
        <v>1</v>
      </c>
      <c r="B523" s="225">
        <f>SUBTOTAL(103,$A$7:A523)</f>
        <v>502</v>
      </c>
      <c r="C523" s="254" t="s">
        <v>2223</v>
      </c>
      <c r="D523" s="255">
        <f>E523+F523+G523+H523+I523+J523+L523+M523+N523+O523+P523+Q523+R523+S523+T523+U523+V523+W523+X523+Y523+Z523+AA523</f>
        <v>1064400</v>
      </c>
      <c r="E523" s="258">
        <v>0</v>
      </c>
      <c r="F523" s="258">
        <v>0</v>
      </c>
      <c r="G523" s="258">
        <v>0</v>
      </c>
      <c r="H523" s="258">
        <v>0</v>
      </c>
      <c r="I523" s="258">
        <v>0</v>
      </c>
      <c r="J523" s="258">
        <v>0</v>
      </c>
      <c r="K523" s="259">
        <v>0</v>
      </c>
      <c r="L523" s="258">
        <v>0</v>
      </c>
      <c r="M523" s="258">
        <v>0</v>
      </c>
      <c r="N523" s="258">
        <v>0</v>
      </c>
      <c r="O523" s="258">
        <v>1064400</v>
      </c>
      <c r="P523" s="258">
        <v>0</v>
      </c>
      <c r="Q523" s="258">
        <v>0</v>
      </c>
      <c r="R523" s="258">
        <v>0</v>
      </c>
      <c r="S523" s="258">
        <v>0</v>
      </c>
      <c r="T523" s="258">
        <v>0</v>
      </c>
      <c r="U523" s="258">
        <v>0</v>
      </c>
      <c r="V523" s="258">
        <v>0</v>
      </c>
      <c r="W523" s="258">
        <v>0</v>
      </c>
      <c r="X523" s="258">
        <v>0</v>
      </c>
      <c r="Y523" s="258">
        <v>0</v>
      </c>
      <c r="Z523" s="258">
        <v>0</v>
      </c>
      <c r="AA523" s="258">
        <v>0</v>
      </c>
      <c r="AB523" s="260">
        <v>2020</v>
      </c>
    </row>
    <row r="524" spans="1:28" s="6" customFormat="1" ht="35.25" customHeight="1" x14ac:dyDescent="0.5">
      <c r="A524" s="6">
        <v>1</v>
      </c>
      <c r="B524" s="225">
        <f>SUBTOTAL(103,$A$7:A524)</f>
        <v>503</v>
      </c>
      <c r="C524" s="254" t="s">
        <v>2420</v>
      </c>
      <c r="D524" s="255">
        <v>544215</v>
      </c>
      <c r="E524" s="258">
        <v>0</v>
      </c>
      <c r="F524" s="258">
        <v>0</v>
      </c>
      <c r="G524" s="258">
        <v>0</v>
      </c>
      <c r="H524" s="258">
        <v>0</v>
      </c>
      <c r="I524" s="258">
        <v>0</v>
      </c>
      <c r="J524" s="258">
        <v>0</v>
      </c>
      <c r="K524" s="259">
        <v>0</v>
      </c>
      <c r="L524" s="258">
        <v>0</v>
      </c>
      <c r="M524" s="258">
        <v>0</v>
      </c>
      <c r="N524" s="258">
        <v>0</v>
      </c>
      <c r="O524" s="258">
        <v>544215</v>
      </c>
      <c r="P524" s="258">
        <v>0</v>
      </c>
      <c r="Q524" s="258">
        <v>0</v>
      </c>
      <c r="R524" s="258">
        <v>0</v>
      </c>
      <c r="S524" s="258">
        <v>0</v>
      </c>
      <c r="T524" s="258">
        <v>0</v>
      </c>
      <c r="U524" s="258">
        <v>0</v>
      </c>
      <c r="V524" s="258">
        <v>0</v>
      </c>
      <c r="W524" s="258">
        <v>0</v>
      </c>
      <c r="X524" s="258">
        <v>0</v>
      </c>
      <c r="Y524" s="258">
        <v>0</v>
      </c>
      <c r="Z524" s="258">
        <v>0</v>
      </c>
      <c r="AA524" s="258">
        <v>0</v>
      </c>
      <c r="AB524" s="260">
        <v>2020</v>
      </c>
    </row>
    <row r="525" spans="1:28" s="6" customFormat="1" ht="35.25" customHeight="1" x14ac:dyDescent="0.5">
      <c r="A525" s="6">
        <v>1</v>
      </c>
      <c r="B525" s="225">
        <f>SUBTOTAL(103,$A$7:A525)</f>
        <v>504</v>
      </c>
      <c r="C525" s="254" t="s">
        <v>2224</v>
      </c>
      <c r="D525" s="255">
        <f>E525+F525+G525+H525+I525+J525+L525+M525+N525+O525+P525+Q525+R525+S525+T525+U525+V525+W525+X525+Y525+Z525+AA525</f>
        <v>1078018</v>
      </c>
      <c r="E525" s="258">
        <v>0</v>
      </c>
      <c r="F525" s="258">
        <v>0</v>
      </c>
      <c r="G525" s="258">
        <v>0</v>
      </c>
      <c r="H525" s="258">
        <v>0</v>
      </c>
      <c r="I525" s="258">
        <v>0</v>
      </c>
      <c r="J525" s="258">
        <v>0</v>
      </c>
      <c r="K525" s="259">
        <v>0</v>
      </c>
      <c r="L525" s="258">
        <v>0</v>
      </c>
      <c r="M525" s="258">
        <v>0</v>
      </c>
      <c r="N525" s="258">
        <v>0</v>
      </c>
      <c r="O525" s="258">
        <v>1078018</v>
      </c>
      <c r="P525" s="258">
        <v>0</v>
      </c>
      <c r="Q525" s="258">
        <v>0</v>
      </c>
      <c r="R525" s="258">
        <v>0</v>
      </c>
      <c r="S525" s="258">
        <v>0</v>
      </c>
      <c r="T525" s="258">
        <v>0</v>
      </c>
      <c r="U525" s="258">
        <v>0</v>
      </c>
      <c r="V525" s="258">
        <v>0</v>
      </c>
      <c r="W525" s="258">
        <v>0</v>
      </c>
      <c r="X525" s="258">
        <v>0</v>
      </c>
      <c r="Y525" s="258">
        <v>0</v>
      </c>
      <c r="Z525" s="258">
        <v>0</v>
      </c>
      <c r="AA525" s="258">
        <v>0</v>
      </c>
      <c r="AB525" s="260">
        <v>2020</v>
      </c>
    </row>
    <row r="526" spans="1:28" s="6" customFormat="1" ht="35.25" customHeight="1" x14ac:dyDescent="0.5">
      <c r="B526" s="253" t="s">
        <v>823</v>
      </c>
      <c r="C526" s="254"/>
      <c r="D526" s="255">
        <f>SUM(D527:D533)</f>
        <v>3386042.2499999995</v>
      </c>
      <c r="E526" s="255">
        <f t="shared" ref="E526:AA526" si="32">SUM(E527:E533)</f>
        <v>0</v>
      </c>
      <c r="F526" s="255">
        <f t="shared" si="32"/>
        <v>257473.3</v>
      </c>
      <c r="G526" s="255">
        <f t="shared" si="32"/>
        <v>772921.4</v>
      </c>
      <c r="H526" s="255">
        <f t="shared" si="32"/>
        <v>0</v>
      </c>
      <c r="I526" s="255">
        <f t="shared" si="32"/>
        <v>0</v>
      </c>
      <c r="J526" s="255">
        <f t="shared" si="32"/>
        <v>0</v>
      </c>
      <c r="K526" s="255">
        <f t="shared" si="32"/>
        <v>0</v>
      </c>
      <c r="L526" s="255">
        <f t="shared" si="32"/>
        <v>0</v>
      </c>
      <c r="M526" s="255">
        <f t="shared" si="32"/>
        <v>310640.5</v>
      </c>
      <c r="N526" s="255">
        <f t="shared" si="32"/>
        <v>348127.31</v>
      </c>
      <c r="O526" s="255">
        <f t="shared" si="32"/>
        <v>504399.24</v>
      </c>
      <c r="P526" s="255">
        <f t="shared" si="32"/>
        <v>1192480.5</v>
      </c>
      <c r="Q526" s="255">
        <f t="shared" si="32"/>
        <v>0</v>
      </c>
      <c r="R526" s="255">
        <f t="shared" si="32"/>
        <v>0</v>
      </c>
      <c r="S526" s="255">
        <f t="shared" si="32"/>
        <v>0</v>
      </c>
      <c r="T526" s="255">
        <f t="shared" si="32"/>
        <v>0</v>
      </c>
      <c r="U526" s="255">
        <f t="shared" si="32"/>
        <v>0</v>
      </c>
      <c r="V526" s="255">
        <f t="shared" si="32"/>
        <v>0</v>
      </c>
      <c r="W526" s="255">
        <f t="shared" si="32"/>
        <v>0</v>
      </c>
      <c r="X526" s="255">
        <f t="shared" si="32"/>
        <v>0</v>
      </c>
      <c r="Y526" s="255">
        <f t="shared" si="32"/>
        <v>0</v>
      </c>
      <c r="Z526" s="255">
        <f t="shared" si="32"/>
        <v>0</v>
      </c>
      <c r="AA526" s="255">
        <f t="shared" si="32"/>
        <v>0</v>
      </c>
      <c r="AB526" s="256" t="s">
        <v>890</v>
      </c>
    </row>
    <row r="527" spans="1:28" s="6" customFormat="1" ht="35.25" customHeight="1" x14ac:dyDescent="0.5">
      <c r="A527" s="6">
        <v>1</v>
      </c>
      <c r="B527" s="225">
        <f>SUBTOTAL(103,$A$7:A527)</f>
        <v>505</v>
      </c>
      <c r="C527" s="254" t="s">
        <v>2225</v>
      </c>
      <c r="D527" s="255">
        <f t="shared" ref="D527:D533" si="33">E527+F527+G527+H527+I527+J527+L527+M527+N527+O527+P527+Q527+R527+S527+T527+U527+V527+W527+X527+Y527+Z527+AA527</f>
        <v>211213</v>
      </c>
      <c r="E527" s="258">
        <v>0</v>
      </c>
      <c r="F527" s="258">
        <v>211213</v>
      </c>
      <c r="G527" s="258">
        <v>0</v>
      </c>
      <c r="H527" s="258">
        <v>0</v>
      </c>
      <c r="I527" s="258">
        <v>0</v>
      </c>
      <c r="J527" s="258">
        <v>0</v>
      </c>
      <c r="K527" s="259">
        <v>0</v>
      </c>
      <c r="L527" s="258">
        <v>0</v>
      </c>
      <c r="M527" s="258">
        <v>0</v>
      </c>
      <c r="N527" s="258">
        <v>0</v>
      </c>
      <c r="O527" s="258">
        <v>0</v>
      </c>
      <c r="P527" s="258">
        <v>0</v>
      </c>
      <c r="Q527" s="258">
        <v>0</v>
      </c>
      <c r="R527" s="258">
        <v>0</v>
      </c>
      <c r="S527" s="258">
        <v>0</v>
      </c>
      <c r="T527" s="258">
        <v>0</v>
      </c>
      <c r="U527" s="258">
        <v>0</v>
      </c>
      <c r="V527" s="258">
        <v>0</v>
      </c>
      <c r="W527" s="258">
        <v>0</v>
      </c>
      <c r="X527" s="258">
        <v>0</v>
      </c>
      <c r="Y527" s="258">
        <v>0</v>
      </c>
      <c r="Z527" s="258">
        <v>0</v>
      </c>
      <c r="AA527" s="258">
        <v>0</v>
      </c>
      <c r="AB527" s="260">
        <v>2020</v>
      </c>
    </row>
    <row r="528" spans="1:28" s="6" customFormat="1" ht="35.25" customHeight="1" x14ac:dyDescent="0.5">
      <c r="A528" s="6">
        <v>1</v>
      </c>
      <c r="B528" s="225">
        <f>SUBTOTAL(103,$A$7:A528)</f>
        <v>506</v>
      </c>
      <c r="C528" s="254" t="s">
        <v>2226</v>
      </c>
      <c r="D528" s="255">
        <f t="shared" si="33"/>
        <v>1761201</v>
      </c>
      <c r="E528" s="258">
        <v>0</v>
      </c>
      <c r="F528" s="258">
        <v>0</v>
      </c>
      <c r="G528" s="258">
        <v>0</v>
      </c>
      <c r="H528" s="258">
        <v>0</v>
      </c>
      <c r="I528" s="258">
        <v>0</v>
      </c>
      <c r="J528" s="258">
        <v>0</v>
      </c>
      <c r="K528" s="259">
        <v>0</v>
      </c>
      <c r="L528" s="258">
        <v>0</v>
      </c>
      <c r="M528" s="258">
        <v>310640.5</v>
      </c>
      <c r="N528" s="258">
        <v>0</v>
      </c>
      <c r="O528" s="261">
        <v>258080</v>
      </c>
      <c r="P528" s="258">
        <v>1192480.5</v>
      </c>
      <c r="Q528" s="258">
        <v>0</v>
      </c>
      <c r="R528" s="258">
        <v>0</v>
      </c>
      <c r="S528" s="258">
        <v>0</v>
      </c>
      <c r="T528" s="258">
        <v>0</v>
      </c>
      <c r="U528" s="258">
        <v>0</v>
      </c>
      <c r="V528" s="258">
        <v>0</v>
      </c>
      <c r="W528" s="258">
        <v>0</v>
      </c>
      <c r="X528" s="258">
        <v>0</v>
      </c>
      <c r="Y528" s="258">
        <v>0</v>
      </c>
      <c r="Z528" s="258">
        <v>0</v>
      </c>
      <c r="AA528" s="258">
        <v>0</v>
      </c>
      <c r="AB528" s="260">
        <v>2020</v>
      </c>
    </row>
    <row r="529" spans="1:28" s="6" customFormat="1" ht="35.25" customHeight="1" x14ac:dyDescent="0.5">
      <c r="A529" s="6">
        <v>1</v>
      </c>
      <c r="B529" s="225">
        <f>SUBTOTAL(103,$A$7:A529)</f>
        <v>507</v>
      </c>
      <c r="C529" s="254" t="s">
        <v>2227</v>
      </c>
      <c r="D529" s="255">
        <f t="shared" si="33"/>
        <v>46260.3</v>
      </c>
      <c r="E529" s="258">
        <v>0</v>
      </c>
      <c r="F529" s="258">
        <v>46260.3</v>
      </c>
      <c r="G529" s="258">
        <v>0</v>
      </c>
      <c r="H529" s="258">
        <v>0</v>
      </c>
      <c r="I529" s="258">
        <v>0</v>
      </c>
      <c r="J529" s="258">
        <v>0</v>
      </c>
      <c r="K529" s="259">
        <v>0</v>
      </c>
      <c r="L529" s="258">
        <v>0</v>
      </c>
      <c r="M529" s="258">
        <v>0</v>
      </c>
      <c r="N529" s="258">
        <v>0</v>
      </c>
      <c r="O529" s="258">
        <v>0</v>
      </c>
      <c r="P529" s="258">
        <v>0</v>
      </c>
      <c r="Q529" s="258">
        <v>0</v>
      </c>
      <c r="R529" s="258">
        <v>0</v>
      </c>
      <c r="S529" s="258">
        <v>0</v>
      </c>
      <c r="T529" s="258">
        <v>0</v>
      </c>
      <c r="U529" s="258">
        <v>0</v>
      </c>
      <c r="V529" s="258">
        <v>0</v>
      </c>
      <c r="W529" s="258">
        <v>0</v>
      </c>
      <c r="X529" s="258">
        <v>0</v>
      </c>
      <c r="Y529" s="258">
        <v>0</v>
      </c>
      <c r="Z529" s="258">
        <v>0</v>
      </c>
      <c r="AA529" s="258">
        <v>0</v>
      </c>
      <c r="AB529" s="260">
        <v>2020</v>
      </c>
    </row>
    <row r="530" spans="1:28" s="6" customFormat="1" ht="35.25" customHeight="1" x14ac:dyDescent="0.5">
      <c r="A530" s="6">
        <v>1</v>
      </c>
      <c r="B530" s="225">
        <f>SUBTOTAL(103,$A$7:A530)</f>
        <v>508</v>
      </c>
      <c r="C530" s="254" t="s">
        <v>2228</v>
      </c>
      <c r="D530" s="255">
        <f t="shared" si="33"/>
        <v>417626</v>
      </c>
      <c r="E530" s="258">
        <v>0</v>
      </c>
      <c r="F530" s="258">
        <v>0</v>
      </c>
      <c r="G530" s="258">
        <v>175577</v>
      </c>
      <c r="H530" s="258">
        <v>0</v>
      </c>
      <c r="I530" s="258">
        <v>0</v>
      </c>
      <c r="J530" s="258">
        <v>0</v>
      </c>
      <c r="K530" s="259">
        <v>0</v>
      </c>
      <c r="L530" s="258">
        <v>0</v>
      </c>
      <c r="M530" s="258">
        <v>0</v>
      </c>
      <c r="N530" s="258">
        <v>242049</v>
      </c>
      <c r="O530" s="258">
        <v>0</v>
      </c>
      <c r="P530" s="258">
        <v>0</v>
      </c>
      <c r="Q530" s="258">
        <v>0</v>
      </c>
      <c r="R530" s="258">
        <v>0</v>
      </c>
      <c r="S530" s="258">
        <v>0</v>
      </c>
      <c r="T530" s="258">
        <v>0</v>
      </c>
      <c r="U530" s="258">
        <v>0</v>
      </c>
      <c r="V530" s="258">
        <v>0</v>
      </c>
      <c r="W530" s="258">
        <v>0</v>
      </c>
      <c r="X530" s="258">
        <v>0</v>
      </c>
      <c r="Y530" s="258">
        <v>0</v>
      </c>
      <c r="Z530" s="258">
        <v>0</v>
      </c>
      <c r="AA530" s="258">
        <v>0</v>
      </c>
      <c r="AB530" s="260">
        <v>2020</v>
      </c>
    </row>
    <row r="531" spans="1:28" s="6" customFormat="1" ht="35.25" customHeight="1" x14ac:dyDescent="0.5">
      <c r="A531" s="6">
        <v>1</v>
      </c>
      <c r="B531" s="225">
        <f>SUBTOTAL(103,$A$7:A531)</f>
        <v>509</v>
      </c>
      <c r="C531" s="254" t="s">
        <v>2229</v>
      </c>
      <c r="D531" s="255">
        <f t="shared" si="33"/>
        <v>187333.55</v>
      </c>
      <c r="E531" s="258">
        <v>0</v>
      </c>
      <c r="F531" s="258">
        <v>0</v>
      </c>
      <c r="G531" s="258">
        <v>0</v>
      </c>
      <c r="H531" s="258">
        <v>0</v>
      </c>
      <c r="I531" s="258">
        <v>0</v>
      </c>
      <c r="J531" s="258">
        <v>0</v>
      </c>
      <c r="K531" s="259">
        <v>0</v>
      </c>
      <c r="L531" s="258">
        <v>0</v>
      </c>
      <c r="M531" s="258">
        <v>0</v>
      </c>
      <c r="N531" s="258">
        <v>106078.31</v>
      </c>
      <c r="O531" s="258">
        <v>81255.240000000005</v>
      </c>
      <c r="P531" s="258">
        <v>0</v>
      </c>
      <c r="Q531" s="258">
        <v>0</v>
      </c>
      <c r="R531" s="258">
        <v>0</v>
      </c>
      <c r="S531" s="258">
        <v>0</v>
      </c>
      <c r="T531" s="258">
        <v>0</v>
      </c>
      <c r="U531" s="258">
        <v>0</v>
      </c>
      <c r="V531" s="258">
        <v>0</v>
      </c>
      <c r="W531" s="258">
        <v>0</v>
      </c>
      <c r="X531" s="258">
        <v>0</v>
      </c>
      <c r="Y531" s="258">
        <v>0</v>
      </c>
      <c r="Z531" s="258">
        <v>0</v>
      </c>
      <c r="AA531" s="258">
        <v>0</v>
      </c>
      <c r="AB531" s="260">
        <v>2020</v>
      </c>
    </row>
    <row r="532" spans="1:28" s="6" customFormat="1" ht="35.25" customHeight="1" x14ac:dyDescent="0.5">
      <c r="A532" s="6">
        <v>1</v>
      </c>
      <c r="B532" s="225">
        <f>SUBTOTAL(103,$A$7:A532)</f>
        <v>510</v>
      </c>
      <c r="C532" s="254" t="s">
        <v>2230</v>
      </c>
      <c r="D532" s="255">
        <f t="shared" si="33"/>
        <v>165064</v>
      </c>
      <c r="E532" s="258">
        <v>0</v>
      </c>
      <c r="F532" s="258">
        <v>0</v>
      </c>
      <c r="G532" s="258">
        <v>0</v>
      </c>
      <c r="H532" s="258">
        <v>0</v>
      </c>
      <c r="I532" s="258">
        <v>0</v>
      </c>
      <c r="J532" s="258">
        <v>0</v>
      </c>
      <c r="K532" s="259">
        <v>0</v>
      </c>
      <c r="L532" s="258">
        <v>0</v>
      </c>
      <c r="M532" s="258">
        <v>0</v>
      </c>
      <c r="N532" s="258">
        <v>0</v>
      </c>
      <c r="O532" s="258">
        <v>165064</v>
      </c>
      <c r="P532" s="258">
        <v>0</v>
      </c>
      <c r="Q532" s="258">
        <v>0</v>
      </c>
      <c r="R532" s="258">
        <v>0</v>
      </c>
      <c r="S532" s="258">
        <v>0</v>
      </c>
      <c r="T532" s="258">
        <v>0</v>
      </c>
      <c r="U532" s="258">
        <v>0</v>
      </c>
      <c r="V532" s="258">
        <v>0</v>
      </c>
      <c r="W532" s="258">
        <v>0</v>
      </c>
      <c r="X532" s="258">
        <v>0</v>
      </c>
      <c r="Y532" s="258">
        <v>0</v>
      </c>
      <c r="Z532" s="258">
        <v>0</v>
      </c>
      <c r="AA532" s="258">
        <v>0</v>
      </c>
      <c r="AB532" s="260">
        <v>2020</v>
      </c>
    </row>
    <row r="533" spans="1:28" s="6" customFormat="1" ht="35.25" customHeight="1" x14ac:dyDescent="0.5">
      <c r="A533" s="6">
        <v>1</v>
      </c>
      <c r="B533" s="225">
        <f>SUBTOTAL(103,$A$7:A533)</f>
        <v>511</v>
      </c>
      <c r="C533" s="254" t="s">
        <v>2421</v>
      </c>
      <c r="D533" s="255">
        <f t="shared" si="33"/>
        <v>597344.4</v>
      </c>
      <c r="E533" s="258">
        <v>0</v>
      </c>
      <c r="F533" s="258">
        <v>0</v>
      </c>
      <c r="G533" s="258">
        <v>597344.4</v>
      </c>
      <c r="H533" s="258">
        <v>0</v>
      </c>
      <c r="I533" s="258">
        <v>0</v>
      </c>
      <c r="J533" s="258">
        <v>0</v>
      </c>
      <c r="K533" s="259">
        <v>0</v>
      </c>
      <c r="L533" s="258">
        <v>0</v>
      </c>
      <c r="M533" s="258">
        <v>0</v>
      </c>
      <c r="N533" s="258">
        <v>0</v>
      </c>
      <c r="O533" s="258">
        <v>0</v>
      </c>
      <c r="P533" s="258">
        <v>0</v>
      </c>
      <c r="Q533" s="258">
        <v>0</v>
      </c>
      <c r="R533" s="258">
        <v>0</v>
      </c>
      <c r="S533" s="258">
        <v>0</v>
      </c>
      <c r="T533" s="258">
        <v>0</v>
      </c>
      <c r="U533" s="258">
        <v>0</v>
      </c>
      <c r="V533" s="258">
        <v>0</v>
      </c>
      <c r="W533" s="258">
        <v>0</v>
      </c>
      <c r="X533" s="258">
        <v>0</v>
      </c>
      <c r="Y533" s="258">
        <v>0</v>
      </c>
      <c r="Z533" s="258">
        <v>0</v>
      </c>
      <c r="AA533" s="258">
        <v>0</v>
      </c>
      <c r="AB533" s="260">
        <v>2020</v>
      </c>
    </row>
    <row r="534" spans="1:28" s="6" customFormat="1" ht="35.25" customHeight="1" x14ac:dyDescent="0.5">
      <c r="B534" s="253" t="s">
        <v>1405</v>
      </c>
      <c r="C534" s="254"/>
      <c r="D534" s="255">
        <f>SUM(D535:D537)</f>
        <v>1200715</v>
      </c>
      <c r="E534" s="255">
        <f t="shared" ref="E534:AA534" si="34">SUM(E535:E537)</f>
        <v>0</v>
      </c>
      <c r="F534" s="255">
        <f t="shared" si="34"/>
        <v>0</v>
      </c>
      <c r="G534" s="255">
        <f t="shared" si="34"/>
        <v>0</v>
      </c>
      <c r="H534" s="255">
        <f t="shared" si="34"/>
        <v>0</v>
      </c>
      <c r="I534" s="255">
        <f t="shared" si="34"/>
        <v>0</v>
      </c>
      <c r="J534" s="255">
        <f t="shared" si="34"/>
        <v>0</v>
      </c>
      <c r="K534" s="257">
        <f t="shared" si="34"/>
        <v>0</v>
      </c>
      <c r="L534" s="255">
        <f t="shared" si="34"/>
        <v>0</v>
      </c>
      <c r="M534" s="255">
        <f t="shared" si="34"/>
        <v>0</v>
      </c>
      <c r="N534" s="255">
        <f t="shared" si="34"/>
        <v>0</v>
      </c>
      <c r="O534" s="255">
        <f t="shared" si="34"/>
        <v>1200715</v>
      </c>
      <c r="P534" s="255">
        <f t="shared" si="34"/>
        <v>0</v>
      </c>
      <c r="Q534" s="255">
        <f t="shared" si="34"/>
        <v>0</v>
      </c>
      <c r="R534" s="255">
        <f t="shared" si="34"/>
        <v>0</v>
      </c>
      <c r="S534" s="255">
        <f t="shared" si="34"/>
        <v>0</v>
      </c>
      <c r="T534" s="255">
        <f t="shared" si="34"/>
        <v>0</v>
      </c>
      <c r="U534" s="255">
        <f t="shared" si="34"/>
        <v>0</v>
      </c>
      <c r="V534" s="255">
        <f t="shared" si="34"/>
        <v>0</v>
      </c>
      <c r="W534" s="255">
        <f t="shared" si="34"/>
        <v>0</v>
      </c>
      <c r="X534" s="255">
        <f t="shared" si="34"/>
        <v>0</v>
      </c>
      <c r="Y534" s="255">
        <f t="shared" si="34"/>
        <v>0</v>
      </c>
      <c r="Z534" s="255">
        <f t="shared" si="34"/>
        <v>0</v>
      </c>
      <c r="AA534" s="255">
        <f t="shared" si="34"/>
        <v>0</v>
      </c>
      <c r="AB534" s="256" t="s">
        <v>890</v>
      </c>
    </row>
    <row r="535" spans="1:28" s="6" customFormat="1" ht="35.25" customHeight="1" x14ac:dyDescent="0.5">
      <c r="A535" s="6">
        <v>1</v>
      </c>
      <c r="B535" s="225">
        <f>SUBTOTAL(103,$A$7:A535)</f>
        <v>512</v>
      </c>
      <c r="C535" s="254" t="s">
        <v>2231</v>
      </c>
      <c r="D535" s="255">
        <f>E535+F535+G535+H535+I535+J535+L535+M535+N535+O535+P535+Q535+R535+S535+T535+U535+V535+W535+X535+Y535+Z535+AA535</f>
        <v>552011</v>
      </c>
      <c r="E535" s="258">
        <v>0</v>
      </c>
      <c r="F535" s="258">
        <v>0</v>
      </c>
      <c r="G535" s="258">
        <v>0</v>
      </c>
      <c r="H535" s="258">
        <v>0</v>
      </c>
      <c r="I535" s="258">
        <v>0</v>
      </c>
      <c r="J535" s="258">
        <v>0</v>
      </c>
      <c r="K535" s="259">
        <v>0</v>
      </c>
      <c r="L535" s="258">
        <v>0</v>
      </c>
      <c r="M535" s="258">
        <v>0</v>
      </c>
      <c r="N535" s="258">
        <v>0</v>
      </c>
      <c r="O535" s="258">
        <v>552011</v>
      </c>
      <c r="P535" s="258">
        <v>0</v>
      </c>
      <c r="Q535" s="258">
        <v>0</v>
      </c>
      <c r="R535" s="258">
        <v>0</v>
      </c>
      <c r="S535" s="258">
        <v>0</v>
      </c>
      <c r="T535" s="258">
        <v>0</v>
      </c>
      <c r="U535" s="258">
        <v>0</v>
      </c>
      <c r="V535" s="258">
        <v>0</v>
      </c>
      <c r="W535" s="258">
        <v>0</v>
      </c>
      <c r="X535" s="258">
        <v>0</v>
      </c>
      <c r="Y535" s="258">
        <v>0</v>
      </c>
      <c r="Z535" s="258">
        <v>0</v>
      </c>
      <c r="AA535" s="258">
        <v>0</v>
      </c>
      <c r="AB535" s="260">
        <v>2020</v>
      </c>
    </row>
    <row r="536" spans="1:28" s="6" customFormat="1" ht="35.25" customHeight="1" x14ac:dyDescent="0.5">
      <c r="A536" s="6">
        <v>1</v>
      </c>
      <c r="B536" s="225">
        <f>SUBTOTAL(103,$A$7:A536)</f>
        <v>513</v>
      </c>
      <c r="C536" s="254" t="s">
        <v>2232</v>
      </c>
      <c r="D536" s="255">
        <f>E536+F536+G536+H536+I536+J536+L536+M536+N536+O536+P536+Q536+R536+S536+T536+U536+V536+W536+X536+Y536+Z536+AA536</f>
        <v>520050</v>
      </c>
      <c r="E536" s="258">
        <v>0</v>
      </c>
      <c r="F536" s="258">
        <v>0</v>
      </c>
      <c r="G536" s="258">
        <v>0</v>
      </c>
      <c r="H536" s="258">
        <v>0</v>
      </c>
      <c r="I536" s="258">
        <v>0</v>
      </c>
      <c r="J536" s="258">
        <v>0</v>
      </c>
      <c r="K536" s="259">
        <v>0</v>
      </c>
      <c r="L536" s="258">
        <v>0</v>
      </c>
      <c r="M536" s="258">
        <v>0</v>
      </c>
      <c r="N536" s="258">
        <v>0</v>
      </c>
      <c r="O536" s="258">
        <v>520050</v>
      </c>
      <c r="P536" s="258">
        <v>0</v>
      </c>
      <c r="Q536" s="258">
        <v>0</v>
      </c>
      <c r="R536" s="258">
        <v>0</v>
      </c>
      <c r="S536" s="258">
        <v>0</v>
      </c>
      <c r="T536" s="258">
        <v>0</v>
      </c>
      <c r="U536" s="258">
        <v>0</v>
      </c>
      <c r="V536" s="258">
        <v>0</v>
      </c>
      <c r="W536" s="258">
        <v>0</v>
      </c>
      <c r="X536" s="258">
        <v>0</v>
      </c>
      <c r="Y536" s="258">
        <v>0</v>
      </c>
      <c r="Z536" s="258">
        <v>0</v>
      </c>
      <c r="AA536" s="258">
        <v>0</v>
      </c>
      <c r="AB536" s="260">
        <v>2020</v>
      </c>
    </row>
    <row r="537" spans="1:28" s="6" customFormat="1" ht="35.25" customHeight="1" x14ac:dyDescent="0.5">
      <c r="A537" s="6">
        <v>1</v>
      </c>
      <c r="B537" s="225">
        <f>SUBTOTAL(103,$A$7:A537)</f>
        <v>514</v>
      </c>
      <c r="C537" s="254" t="s">
        <v>2233</v>
      </c>
      <c r="D537" s="255">
        <f>E537+F537+G537+H537+I537+J537+L537+M537+N537+O537+P537+Q537+R537+S537+T537+U537+V537+W537+X537+Y537+Z537+AA537</f>
        <v>128654</v>
      </c>
      <c r="E537" s="258">
        <v>0</v>
      </c>
      <c r="F537" s="258">
        <v>0</v>
      </c>
      <c r="G537" s="258">
        <v>0</v>
      </c>
      <c r="H537" s="258">
        <v>0</v>
      </c>
      <c r="I537" s="258">
        <v>0</v>
      </c>
      <c r="J537" s="258">
        <v>0</v>
      </c>
      <c r="K537" s="259">
        <v>0</v>
      </c>
      <c r="L537" s="258">
        <v>0</v>
      </c>
      <c r="M537" s="258">
        <v>0</v>
      </c>
      <c r="N537" s="258">
        <v>0</v>
      </c>
      <c r="O537" s="258">
        <v>128654</v>
      </c>
      <c r="P537" s="258">
        <v>0</v>
      </c>
      <c r="Q537" s="258">
        <v>0</v>
      </c>
      <c r="R537" s="258">
        <v>0</v>
      </c>
      <c r="S537" s="258">
        <v>0</v>
      </c>
      <c r="T537" s="258">
        <v>0</v>
      </c>
      <c r="U537" s="258">
        <v>0</v>
      </c>
      <c r="V537" s="258">
        <v>0</v>
      </c>
      <c r="W537" s="258">
        <v>0</v>
      </c>
      <c r="X537" s="258">
        <v>0</v>
      </c>
      <c r="Y537" s="258">
        <v>0</v>
      </c>
      <c r="Z537" s="258">
        <v>0</v>
      </c>
      <c r="AA537" s="258">
        <v>0</v>
      </c>
      <c r="AB537" s="260">
        <v>2020</v>
      </c>
    </row>
    <row r="538" spans="1:28" s="6" customFormat="1" ht="35.25" customHeight="1" x14ac:dyDescent="0.5">
      <c r="B538" s="253" t="s">
        <v>831</v>
      </c>
      <c r="C538" s="254"/>
      <c r="D538" s="255">
        <f>SUM(D539:D540)</f>
        <v>486500</v>
      </c>
      <c r="E538" s="255">
        <f t="shared" ref="E538:AA538" si="35">SUM(E539:E540)</f>
        <v>0</v>
      </c>
      <c r="F538" s="255">
        <f t="shared" si="35"/>
        <v>0</v>
      </c>
      <c r="G538" s="255">
        <f t="shared" si="35"/>
        <v>175000</v>
      </c>
      <c r="H538" s="255">
        <f t="shared" si="35"/>
        <v>0</v>
      </c>
      <c r="I538" s="255">
        <f t="shared" si="35"/>
        <v>0</v>
      </c>
      <c r="J538" s="255">
        <f t="shared" si="35"/>
        <v>0</v>
      </c>
      <c r="K538" s="257">
        <f t="shared" si="35"/>
        <v>0</v>
      </c>
      <c r="L538" s="255">
        <f t="shared" si="35"/>
        <v>0</v>
      </c>
      <c r="M538" s="255">
        <f t="shared" si="35"/>
        <v>0</v>
      </c>
      <c r="N538" s="255">
        <f t="shared" si="35"/>
        <v>311500</v>
      </c>
      <c r="O538" s="255">
        <f t="shared" si="35"/>
        <v>0</v>
      </c>
      <c r="P538" s="255">
        <f t="shared" si="35"/>
        <v>0</v>
      </c>
      <c r="Q538" s="255">
        <f t="shared" si="35"/>
        <v>0</v>
      </c>
      <c r="R538" s="255">
        <f t="shared" si="35"/>
        <v>0</v>
      </c>
      <c r="S538" s="255">
        <f t="shared" si="35"/>
        <v>0</v>
      </c>
      <c r="T538" s="255">
        <f t="shared" si="35"/>
        <v>0</v>
      </c>
      <c r="U538" s="255">
        <f t="shared" si="35"/>
        <v>0</v>
      </c>
      <c r="V538" s="255">
        <f t="shared" si="35"/>
        <v>0</v>
      </c>
      <c r="W538" s="255">
        <f t="shared" si="35"/>
        <v>0</v>
      </c>
      <c r="X538" s="255">
        <f t="shared" si="35"/>
        <v>0</v>
      </c>
      <c r="Y538" s="255">
        <f t="shared" si="35"/>
        <v>0</v>
      </c>
      <c r="Z538" s="255">
        <f t="shared" si="35"/>
        <v>0</v>
      </c>
      <c r="AA538" s="255">
        <f t="shared" si="35"/>
        <v>0</v>
      </c>
      <c r="AB538" s="256" t="s">
        <v>890</v>
      </c>
    </row>
    <row r="539" spans="1:28" s="6" customFormat="1" ht="35.25" customHeight="1" x14ac:dyDescent="0.5">
      <c r="A539" s="6">
        <v>1</v>
      </c>
      <c r="B539" s="225">
        <f>SUBTOTAL(103,$A$7:A539)</f>
        <v>515</v>
      </c>
      <c r="C539" s="254" t="s">
        <v>2234</v>
      </c>
      <c r="D539" s="255">
        <f>E539+F539+G539+H539+I539+J539+L539+M539+N539+O539+P539+Q539+R539+S539+T539+U539+V539+W539+X539+Y539+Z539+AA539</f>
        <v>175000</v>
      </c>
      <c r="E539" s="258">
        <v>0</v>
      </c>
      <c r="F539" s="258">
        <v>0</v>
      </c>
      <c r="G539" s="258">
        <v>175000</v>
      </c>
      <c r="H539" s="258">
        <v>0</v>
      </c>
      <c r="I539" s="258">
        <v>0</v>
      </c>
      <c r="J539" s="258">
        <v>0</v>
      </c>
      <c r="K539" s="259">
        <v>0</v>
      </c>
      <c r="L539" s="258">
        <v>0</v>
      </c>
      <c r="M539" s="258">
        <v>0</v>
      </c>
      <c r="N539" s="258">
        <v>0</v>
      </c>
      <c r="O539" s="258">
        <v>0</v>
      </c>
      <c r="P539" s="258">
        <v>0</v>
      </c>
      <c r="Q539" s="258">
        <v>0</v>
      </c>
      <c r="R539" s="258">
        <v>0</v>
      </c>
      <c r="S539" s="258">
        <v>0</v>
      </c>
      <c r="T539" s="258">
        <v>0</v>
      </c>
      <c r="U539" s="258">
        <v>0</v>
      </c>
      <c r="V539" s="258">
        <v>0</v>
      </c>
      <c r="W539" s="258">
        <v>0</v>
      </c>
      <c r="X539" s="258">
        <v>0</v>
      </c>
      <c r="Y539" s="258">
        <v>0</v>
      </c>
      <c r="Z539" s="258">
        <v>0</v>
      </c>
      <c r="AA539" s="258">
        <v>0</v>
      </c>
      <c r="AB539" s="260">
        <v>2020</v>
      </c>
    </row>
    <row r="540" spans="1:28" s="6" customFormat="1" ht="35.25" x14ac:dyDescent="0.5">
      <c r="A540" s="6">
        <v>1</v>
      </c>
      <c r="B540" s="225">
        <f>SUBTOTAL(103,$A$7:A540)</f>
        <v>516</v>
      </c>
      <c r="C540" s="254" t="s">
        <v>2235</v>
      </c>
      <c r="D540" s="255">
        <f>E540+F540+G540+H540+I540+J540+L540+M540+N540+O540+P540+Q540+R540+S540+T540+U540+V540+W540+X540+Y540+Z540+AA540</f>
        <v>311500</v>
      </c>
      <c r="E540" s="258">
        <v>0</v>
      </c>
      <c r="F540" s="258">
        <v>0</v>
      </c>
      <c r="G540" s="258">
        <v>0</v>
      </c>
      <c r="H540" s="258">
        <v>0</v>
      </c>
      <c r="I540" s="258">
        <v>0</v>
      </c>
      <c r="J540" s="258">
        <v>0</v>
      </c>
      <c r="K540" s="259">
        <v>0</v>
      </c>
      <c r="L540" s="258">
        <v>0</v>
      </c>
      <c r="M540" s="258">
        <v>0</v>
      </c>
      <c r="N540" s="258">
        <v>311500</v>
      </c>
      <c r="O540" s="258">
        <v>0</v>
      </c>
      <c r="P540" s="258">
        <v>0</v>
      </c>
      <c r="Q540" s="258">
        <v>0</v>
      </c>
      <c r="R540" s="258">
        <v>0</v>
      </c>
      <c r="S540" s="258">
        <v>0</v>
      </c>
      <c r="T540" s="258">
        <v>0</v>
      </c>
      <c r="U540" s="258">
        <v>0</v>
      </c>
      <c r="V540" s="258">
        <v>0</v>
      </c>
      <c r="W540" s="258">
        <v>0</v>
      </c>
      <c r="X540" s="258">
        <v>0</v>
      </c>
      <c r="Y540" s="258">
        <v>0</v>
      </c>
      <c r="Z540" s="258">
        <v>0</v>
      </c>
      <c r="AA540" s="258">
        <v>0</v>
      </c>
      <c r="AB540" s="260">
        <v>2020</v>
      </c>
    </row>
    <row r="541" spans="1:28" s="6" customFormat="1" ht="35.25" customHeight="1" x14ac:dyDescent="0.5">
      <c r="B541" s="253" t="s">
        <v>840</v>
      </c>
      <c r="C541" s="254"/>
      <c r="D541" s="255">
        <f>SUM(D542)</f>
        <v>356128.8</v>
      </c>
      <c r="E541" s="255">
        <f t="shared" ref="E541:AA541" si="36">SUM(E542)</f>
        <v>0</v>
      </c>
      <c r="F541" s="255">
        <f t="shared" si="36"/>
        <v>0</v>
      </c>
      <c r="G541" s="255">
        <f t="shared" si="36"/>
        <v>0</v>
      </c>
      <c r="H541" s="255">
        <f t="shared" si="36"/>
        <v>0</v>
      </c>
      <c r="I541" s="255">
        <f t="shared" si="36"/>
        <v>0</v>
      </c>
      <c r="J541" s="255">
        <f t="shared" si="36"/>
        <v>0</v>
      </c>
      <c r="K541" s="257">
        <f t="shared" si="36"/>
        <v>0</v>
      </c>
      <c r="L541" s="255">
        <f t="shared" si="36"/>
        <v>0</v>
      </c>
      <c r="M541" s="255">
        <f t="shared" si="36"/>
        <v>356128.8</v>
      </c>
      <c r="N541" s="255">
        <f t="shared" si="36"/>
        <v>0</v>
      </c>
      <c r="O541" s="255">
        <f t="shared" si="36"/>
        <v>0</v>
      </c>
      <c r="P541" s="255">
        <f t="shared" si="36"/>
        <v>0</v>
      </c>
      <c r="Q541" s="255">
        <f t="shared" si="36"/>
        <v>0</v>
      </c>
      <c r="R541" s="255">
        <f t="shared" si="36"/>
        <v>0</v>
      </c>
      <c r="S541" s="255">
        <f t="shared" si="36"/>
        <v>0</v>
      </c>
      <c r="T541" s="255">
        <f t="shared" si="36"/>
        <v>0</v>
      </c>
      <c r="U541" s="255">
        <f t="shared" si="36"/>
        <v>0</v>
      </c>
      <c r="V541" s="255">
        <f t="shared" si="36"/>
        <v>0</v>
      </c>
      <c r="W541" s="255">
        <f t="shared" si="36"/>
        <v>0</v>
      </c>
      <c r="X541" s="255">
        <f t="shared" si="36"/>
        <v>0</v>
      </c>
      <c r="Y541" s="255">
        <f t="shared" si="36"/>
        <v>0</v>
      </c>
      <c r="Z541" s="255">
        <f t="shared" si="36"/>
        <v>0</v>
      </c>
      <c r="AA541" s="255">
        <f t="shared" si="36"/>
        <v>0</v>
      </c>
      <c r="AB541" s="256" t="s">
        <v>890</v>
      </c>
    </row>
    <row r="542" spans="1:28" s="6" customFormat="1" ht="35.25" customHeight="1" x14ac:dyDescent="0.5">
      <c r="A542" s="6">
        <v>1</v>
      </c>
      <c r="B542" s="225">
        <f>SUBTOTAL(103,$A$7:A542)</f>
        <v>517</v>
      </c>
      <c r="C542" s="254" t="s">
        <v>2236</v>
      </c>
      <c r="D542" s="255">
        <f>E542+F542+G542+H542+I542+J542+L542+M542+N542+O542+P542+Q542+R542+S542+T542+U542+V542+W542+X542+Y542+Z542+AA542</f>
        <v>356128.8</v>
      </c>
      <c r="E542" s="258">
        <v>0</v>
      </c>
      <c r="F542" s="258">
        <v>0</v>
      </c>
      <c r="G542" s="258">
        <v>0</v>
      </c>
      <c r="H542" s="258">
        <v>0</v>
      </c>
      <c r="I542" s="258">
        <v>0</v>
      </c>
      <c r="J542" s="258">
        <v>0</v>
      </c>
      <c r="K542" s="259">
        <v>0</v>
      </c>
      <c r="L542" s="258">
        <v>0</v>
      </c>
      <c r="M542" s="258">
        <v>356128.8</v>
      </c>
      <c r="N542" s="258">
        <v>0</v>
      </c>
      <c r="O542" s="258">
        <v>0</v>
      </c>
      <c r="P542" s="258">
        <v>0</v>
      </c>
      <c r="Q542" s="258">
        <v>0</v>
      </c>
      <c r="R542" s="258">
        <v>0</v>
      </c>
      <c r="S542" s="258">
        <v>0</v>
      </c>
      <c r="T542" s="258">
        <v>0</v>
      </c>
      <c r="U542" s="258">
        <v>0</v>
      </c>
      <c r="V542" s="258">
        <v>0</v>
      </c>
      <c r="W542" s="258">
        <v>0</v>
      </c>
      <c r="X542" s="258">
        <v>0</v>
      </c>
      <c r="Y542" s="258">
        <v>0</v>
      </c>
      <c r="Z542" s="258">
        <v>0</v>
      </c>
      <c r="AA542" s="258">
        <v>0</v>
      </c>
      <c r="AB542" s="260">
        <v>2020</v>
      </c>
    </row>
    <row r="543" spans="1:28" s="6" customFormat="1" ht="35.25" customHeight="1" x14ac:dyDescent="0.5">
      <c r="B543" s="254" t="s">
        <v>2237</v>
      </c>
      <c r="C543" s="254"/>
      <c r="D543" s="255">
        <f>D544</f>
        <v>60000</v>
      </c>
      <c r="E543" s="255">
        <f t="shared" ref="E543:AA543" si="37">E544</f>
        <v>0</v>
      </c>
      <c r="F543" s="255">
        <f t="shared" si="37"/>
        <v>0</v>
      </c>
      <c r="G543" s="255">
        <f t="shared" si="37"/>
        <v>0</v>
      </c>
      <c r="H543" s="255">
        <f t="shared" si="37"/>
        <v>0</v>
      </c>
      <c r="I543" s="255">
        <f t="shared" si="37"/>
        <v>0</v>
      </c>
      <c r="J543" s="255">
        <f t="shared" si="37"/>
        <v>0</v>
      </c>
      <c r="K543" s="257">
        <f t="shared" si="37"/>
        <v>0</v>
      </c>
      <c r="L543" s="255">
        <f t="shared" si="37"/>
        <v>0</v>
      </c>
      <c r="M543" s="255">
        <f t="shared" si="37"/>
        <v>60000</v>
      </c>
      <c r="N543" s="255">
        <f t="shared" si="37"/>
        <v>0</v>
      </c>
      <c r="O543" s="255">
        <f t="shared" si="37"/>
        <v>0</v>
      </c>
      <c r="P543" s="255">
        <f t="shared" si="37"/>
        <v>0</v>
      </c>
      <c r="Q543" s="255">
        <f t="shared" si="37"/>
        <v>0</v>
      </c>
      <c r="R543" s="255">
        <f t="shared" si="37"/>
        <v>0</v>
      </c>
      <c r="S543" s="255">
        <f t="shared" si="37"/>
        <v>0</v>
      </c>
      <c r="T543" s="255">
        <f t="shared" si="37"/>
        <v>0</v>
      </c>
      <c r="U543" s="255">
        <f t="shared" si="37"/>
        <v>0</v>
      </c>
      <c r="V543" s="255">
        <f t="shared" si="37"/>
        <v>0</v>
      </c>
      <c r="W543" s="255">
        <f t="shared" si="37"/>
        <v>0</v>
      </c>
      <c r="X543" s="255">
        <f t="shared" si="37"/>
        <v>0</v>
      </c>
      <c r="Y543" s="255">
        <f t="shared" si="37"/>
        <v>0</v>
      </c>
      <c r="Z543" s="255">
        <f t="shared" si="37"/>
        <v>0</v>
      </c>
      <c r="AA543" s="255">
        <f t="shared" si="37"/>
        <v>0</v>
      </c>
      <c r="AB543" s="256" t="s">
        <v>890</v>
      </c>
    </row>
    <row r="544" spans="1:28" s="6" customFormat="1" ht="35.25" customHeight="1" x14ac:dyDescent="0.5">
      <c r="A544" s="6">
        <v>1</v>
      </c>
      <c r="B544" s="225">
        <f>SUBTOTAL(103,$A$7:A544)</f>
        <v>518</v>
      </c>
      <c r="C544" s="254" t="s">
        <v>2238</v>
      </c>
      <c r="D544" s="255">
        <f>E544+F544+G544+H544+I544+J544+L544+M544+N544+O544+P544+Q544+R544+S544+T544+U544+V544+W544+X544+Y544+Z544+AA544</f>
        <v>60000</v>
      </c>
      <c r="E544" s="258">
        <v>0</v>
      </c>
      <c r="F544" s="258">
        <v>0</v>
      </c>
      <c r="G544" s="258">
        <v>0</v>
      </c>
      <c r="H544" s="258">
        <v>0</v>
      </c>
      <c r="I544" s="258">
        <v>0</v>
      </c>
      <c r="J544" s="258">
        <v>0</v>
      </c>
      <c r="K544" s="259">
        <v>0</v>
      </c>
      <c r="L544" s="258">
        <v>0</v>
      </c>
      <c r="M544" s="258">
        <v>60000</v>
      </c>
      <c r="N544" s="258">
        <v>0</v>
      </c>
      <c r="O544" s="258">
        <v>0</v>
      </c>
      <c r="P544" s="258">
        <v>0</v>
      </c>
      <c r="Q544" s="258">
        <v>0</v>
      </c>
      <c r="R544" s="258">
        <v>0</v>
      </c>
      <c r="S544" s="258">
        <v>0</v>
      </c>
      <c r="T544" s="258">
        <v>0</v>
      </c>
      <c r="U544" s="258">
        <v>0</v>
      </c>
      <c r="V544" s="258">
        <v>0</v>
      </c>
      <c r="W544" s="258">
        <v>0</v>
      </c>
      <c r="X544" s="258">
        <v>0</v>
      </c>
      <c r="Y544" s="258">
        <v>0</v>
      </c>
      <c r="Z544" s="258">
        <v>0</v>
      </c>
      <c r="AA544" s="258">
        <v>0</v>
      </c>
      <c r="AB544" s="260">
        <v>2020</v>
      </c>
    </row>
    <row r="545" spans="1:28" s="6" customFormat="1" ht="35.25" customHeight="1" x14ac:dyDescent="0.5">
      <c r="B545" s="253" t="s">
        <v>843</v>
      </c>
      <c r="C545" s="254"/>
      <c r="D545" s="255">
        <f>SUM(D546:D548)</f>
        <v>2368604.86</v>
      </c>
      <c r="E545" s="255">
        <f t="shared" ref="E545:AA545" si="38">SUM(E546:E548)</f>
        <v>0</v>
      </c>
      <c r="F545" s="255">
        <f t="shared" si="38"/>
        <v>439256.62</v>
      </c>
      <c r="G545" s="255">
        <f t="shared" si="38"/>
        <v>0</v>
      </c>
      <c r="H545" s="255">
        <f t="shared" si="38"/>
        <v>0</v>
      </c>
      <c r="I545" s="255">
        <f t="shared" si="38"/>
        <v>0</v>
      </c>
      <c r="J545" s="255">
        <f t="shared" si="38"/>
        <v>0</v>
      </c>
      <c r="K545" s="257">
        <f t="shared" si="38"/>
        <v>0</v>
      </c>
      <c r="L545" s="255">
        <f t="shared" si="38"/>
        <v>0</v>
      </c>
      <c r="M545" s="255">
        <f t="shared" si="38"/>
        <v>1375551.24</v>
      </c>
      <c r="N545" s="255">
        <f t="shared" si="38"/>
        <v>0</v>
      </c>
      <c r="O545" s="255">
        <f t="shared" si="38"/>
        <v>553797</v>
      </c>
      <c r="P545" s="255">
        <f t="shared" si="38"/>
        <v>0</v>
      </c>
      <c r="Q545" s="255">
        <f t="shared" si="38"/>
        <v>0</v>
      </c>
      <c r="R545" s="255">
        <f t="shared" si="38"/>
        <v>0</v>
      </c>
      <c r="S545" s="255">
        <f t="shared" si="38"/>
        <v>0</v>
      </c>
      <c r="T545" s="255">
        <f t="shared" si="38"/>
        <v>0</v>
      </c>
      <c r="U545" s="255">
        <f t="shared" si="38"/>
        <v>0</v>
      </c>
      <c r="V545" s="255">
        <f t="shared" si="38"/>
        <v>0</v>
      </c>
      <c r="W545" s="255">
        <f t="shared" si="38"/>
        <v>0</v>
      </c>
      <c r="X545" s="255">
        <f t="shared" si="38"/>
        <v>0</v>
      </c>
      <c r="Y545" s="255">
        <f t="shared" si="38"/>
        <v>0</v>
      </c>
      <c r="Z545" s="255">
        <f t="shared" si="38"/>
        <v>0</v>
      </c>
      <c r="AA545" s="255">
        <f t="shared" si="38"/>
        <v>0</v>
      </c>
      <c r="AB545" s="256" t="s">
        <v>890</v>
      </c>
    </row>
    <row r="546" spans="1:28" s="6" customFormat="1" ht="35.25" customHeight="1" x14ac:dyDescent="0.5">
      <c r="A546" s="6">
        <v>1</v>
      </c>
      <c r="B546" s="225">
        <f>SUBTOTAL(103,$A$7:A546)</f>
        <v>519</v>
      </c>
      <c r="C546" s="254" t="s">
        <v>2239</v>
      </c>
      <c r="D546" s="255">
        <f>E546+F546+G546+H546+I546+J546+L546+M546+N546+O546+P546+Q546+R546+S546+T546+U546+V546+W546+X546+Y546+Z546+AA546</f>
        <v>1375551.24</v>
      </c>
      <c r="E546" s="258">
        <v>0</v>
      </c>
      <c r="F546" s="258">
        <v>0</v>
      </c>
      <c r="G546" s="258">
        <v>0</v>
      </c>
      <c r="H546" s="258">
        <v>0</v>
      </c>
      <c r="I546" s="258">
        <v>0</v>
      </c>
      <c r="J546" s="258">
        <v>0</v>
      </c>
      <c r="K546" s="259">
        <v>0</v>
      </c>
      <c r="L546" s="258">
        <v>0</v>
      </c>
      <c r="M546" s="258">
        <v>1375551.24</v>
      </c>
      <c r="N546" s="258">
        <v>0</v>
      </c>
      <c r="O546" s="258">
        <v>0</v>
      </c>
      <c r="P546" s="258">
        <v>0</v>
      </c>
      <c r="Q546" s="258">
        <v>0</v>
      </c>
      <c r="R546" s="258">
        <v>0</v>
      </c>
      <c r="S546" s="258">
        <v>0</v>
      </c>
      <c r="T546" s="258">
        <v>0</v>
      </c>
      <c r="U546" s="258">
        <v>0</v>
      </c>
      <c r="V546" s="258">
        <v>0</v>
      </c>
      <c r="W546" s="258">
        <v>0</v>
      </c>
      <c r="X546" s="258">
        <v>0</v>
      </c>
      <c r="Y546" s="258">
        <v>0</v>
      </c>
      <c r="Z546" s="258">
        <v>0</v>
      </c>
      <c r="AA546" s="258">
        <v>0</v>
      </c>
      <c r="AB546" s="260">
        <v>2020</v>
      </c>
    </row>
    <row r="547" spans="1:28" s="6" customFormat="1" ht="35.25" customHeight="1" x14ac:dyDescent="0.5">
      <c r="A547" s="6">
        <v>1</v>
      </c>
      <c r="B547" s="225">
        <f>SUBTOTAL(103,$A$7:A547)</f>
        <v>520</v>
      </c>
      <c r="C547" s="254" t="s">
        <v>2240</v>
      </c>
      <c r="D547" s="255">
        <f>E547+F547+G547+H547+I547+J547+L547+M547+N547+O547+P547+Q547+R547+S547+T547+U547+V547+W547+X547+Y547+Z547+AA547</f>
        <v>439256.62</v>
      </c>
      <c r="E547" s="258">
        <v>0</v>
      </c>
      <c r="F547" s="258">
        <v>439256.62</v>
      </c>
      <c r="G547" s="258">
        <v>0</v>
      </c>
      <c r="H547" s="258">
        <v>0</v>
      </c>
      <c r="I547" s="258">
        <v>0</v>
      </c>
      <c r="J547" s="258">
        <v>0</v>
      </c>
      <c r="K547" s="259">
        <v>0</v>
      </c>
      <c r="L547" s="258">
        <v>0</v>
      </c>
      <c r="M547" s="258">
        <v>0</v>
      </c>
      <c r="N547" s="258">
        <v>0</v>
      </c>
      <c r="O547" s="258">
        <v>0</v>
      </c>
      <c r="P547" s="258">
        <v>0</v>
      </c>
      <c r="Q547" s="258">
        <v>0</v>
      </c>
      <c r="R547" s="258">
        <v>0</v>
      </c>
      <c r="S547" s="258">
        <v>0</v>
      </c>
      <c r="T547" s="258">
        <v>0</v>
      </c>
      <c r="U547" s="258">
        <v>0</v>
      </c>
      <c r="V547" s="258">
        <v>0</v>
      </c>
      <c r="W547" s="258">
        <v>0</v>
      </c>
      <c r="X547" s="258">
        <v>0</v>
      </c>
      <c r="Y547" s="258">
        <v>0</v>
      </c>
      <c r="Z547" s="258">
        <v>0</v>
      </c>
      <c r="AA547" s="258">
        <v>0</v>
      </c>
      <c r="AB547" s="260">
        <v>2020</v>
      </c>
    </row>
    <row r="548" spans="1:28" s="6" customFormat="1" ht="35.25" customHeight="1" x14ac:dyDescent="0.5">
      <c r="A548" s="6">
        <v>1</v>
      </c>
      <c r="B548" s="225">
        <f>SUBTOTAL(103,$A$7:A548)</f>
        <v>521</v>
      </c>
      <c r="C548" s="254" t="s">
        <v>2241</v>
      </c>
      <c r="D548" s="255">
        <f>E548+F548+G548+H548+I548+J548+L548+M548+N548+O548+P548+Q548+R548+S548+T548+U548+V548+W548+X548+Y548+Z548+AA548</f>
        <v>553797</v>
      </c>
      <c r="E548" s="258">
        <v>0</v>
      </c>
      <c r="F548" s="258">
        <v>0</v>
      </c>
      <c r="G548" s="258">
        <v>0</v>
      </c>
      <c r="H548" s="258">
        <v>0</v>
      </c>
      <c r="I548" s="258">
        <v>0</v>
      </c>
      <c r="J548" s="258">
        <v>0</v>
      </c>
      <c r="K548" s="259">
        <v>0</v>
      </c>
      <c r="L548" s="258">
        <v>0</v>
      </c>
      <c r="M548" s="258">
        <v>0</v>
      </c>
      <c r="N548" s="258">
        <v>0</v>
      </c>
      <c r="O548" s="258">
        <v>553797</v>
      </c>
      <c r="P548" s="258">
        <v>0</v>
      </c>
      <c r="Q548" s="258">
        <v>0</v>
      </c>
      <c r="R548" s="258">
        <v>0</v>
      </c>
      <c r="S548" s="258">
        <v>0</v>
      </c>
      <c r="T548" s="258">
        <v>0</v>
      </c>
      <c r="U548" s="258">
        <v>0</v>
      </c>
      <c r="V548" s="258">
        <v>0</v>
      </c>
      <c r="W548" s="258">
        <v>0</v>
      </c>
      <c r="X548" s="258">
        <v>0</v>
      </c>
      <c r="Y548" s="258">
        <v>0</v>
      </c>
      <c r="Z548" s="258">
        <v>0</v>
      </c>
      <c r="AA548" s="258">
        <v>0</v>
      </c>
      <c r="AB548" s="260">
        <v>2020</v>
      </c>
    </row>
    <row r="549" spans="1:28" s="6" customFormat="1" ht="35.25" customHeight="1" x14ac:dyDescent="0.5">
      <c r="B549" s="253" t="s">
        <v>853</v>
      </c>
      <c r="C549" s="254"/>
      <c r="D549" s="255">
        <f>SUM(D550:D557)</f>
        <v>6936248.79</v>
      </c>
      <c r="E549" s="255">
        <f t="shared" ref="E549:AA549" si="39">SUM(E550:E557)</f>
        <v>117654</v>
      </c>
      <c r="F549" s="255">
        <f t="shared" si="39"/>
        <v>0</v>
      </c>
      <c r="G549" s="255">
        <f t="shared" si="39"/>
        <v>979023</v>
      </c>
      <c r="H549" s="255">
        <f t="shared" si="39"/>
        <v>0</v>
      </c>
      <c r="I549" s="255">
        <f t="shared" si="39"/>
        <v>368317</v>
      </c>
      <c r="J549" s="255">
        <f t="shared" si="39"/>
        <v>0</v>
      </c>
      <c r="K549" s="257">
        <f t="shared" si="39"/>
        <v>0</v>
      </c>
      <c r="L549" s="255">
        <f t="shared" si="39"/>
        <v>0</v>
      </c>
      <c r="M549" s="255">
        <f t="shared" si="39"/>
        <v>1531213</v>
      </c>
      <c r="N549" s="255">
        <f t="shared" si="39"/>
        <v>0</v>
      </c>
      <c r="O549" s="255">
        <f t="shared" si="39"/>
        <v>3940041.79</v>
      </c>
      <c r="P549" s="255">
        <f t="shared" si="39"/>
        <v>0</v>
      </c>
      <c r="Q549" s="255">
        <f t="shared" si="39"/>
        <v>0</v>
      </c>
      <c r="R549" s="255">
        <f t="shared" si="39"/>
        <v>0</v>
      </c>
      <c r="S549" s="255">
        <f t="shared" si="39"/>
        <v>0</v>
      </c>
      <c r="T549" s="255">
        <f t="shared" si="39"/>
        <v>0</v>
      </c>
      <c r="U549" s="255">
        <f t="shared" si="39"/>
        <v>0</v>
      </c>
      <c r="V549" s="255">
        <f t="shared" si="39"/>
        <v>0</v>
      </c>
      <c r="W549" s="255">
        <f t="shared" si="39"/>
        <v>0</v>
      </c>
      <c r="X549" s="255">
        <f t="shared" si="39"/>
        <v>0</v>
      </c>
      <c r="Y549" s="255">
        <f t="shared" si="39"/>
        <v>0</v>
      </c>
      <c r="Z549" s="255">
        <f t="shared" si="39"/>
        <v>0</v>
      </c>
      <c r="AA549" s="255">
        <f t="shared" si="39"/>
        <v>0</v>
      </c>
      <c r="AB549" s="256" t="s">
        <v>890</v>
      </c>
    </row>
    <row r="550" spans="1:28" s="6" customFormat="1" ht="35.25" customHeight="1" x14ac:dyDescent="0.5">
      <c r="A550" s="6">
        <v>1</v>
      </c>
      <c r="B550" s="225">
        <f>SUBTOTAL(103,$A$7:A550)</f>
        <v>522</v>
      </c>
      <c r="C550" s="254" t="s">
        <v>2242</v>
      </c>
      <c r="D550" s="255">
        <f t="shared" ref="D550:D556" si="40">E550+F550+G550+H550+I550+J550+L550+M550+N550+O550+P550+Q550+R550+S550+T550+U550+V550+W550+X550+Y550+Z550+AA550</f>
        <v>824183</v>
      </c>
      <c r="E550" s="258">
        <v>0</v>
      </c>
      <c r="F550" s="258">
        <v>0</v>
      </c>
      <c r="G550" s="258">
        <v>0</v>
      </c>
      <c r="H550" s="258">
        <v>0</v>
      </c>
      <c r="I550" s="258">
        <v>0</v>
      </c>
      <c r="J550" s="258">
        <v>0</v>
      </c>
      <c r="K550" s="259">
        <v>0</v>
      </c>
      <c r="L550" s="258">
        <v>0</v>
      </c>
      <c r="M550" s="258">
        <v>0</v>
      </c>
      <c r="N550" s="258">
        <v>0</v>
      </c>
      <c r="O550" s="258">
        <v>824183</v>
      </c>
      <c r="P550" s="258">
        <v>0</v>
      </c>
      <c r="Q550" s="258">
        <v>0</v>
      </c>
      <c r="R550" s="258">
        <v>0</v>
      </c>
      <c r="S550" s="258">
        <v>0</v>
      </c>
      <c r="T550" s="258">
        <v>0</v>
      </c>
      <c r="U550" s="258">
        <v>0</v>
      </c>
      <c r="V550" s="258">
        <v>0</v>
      </c>
      <c r="W550" s="258">
        <v>0</v>
      </c>
      <c r="X550" s="258">
        <v>0</v>
      </c>
      <c r="Y550" s="258">
        <v>0</v>
      </c>
      <c r="Z550" s="258">
        <v>0</v>
      </c>
      <c r="AA550" s="258">
        <v>0</v>
      </c>
      <c r="AB550" s="260">
        <v>2020</v>
      </c>
    </row>
    <row r="551" spans="1:28" s="6" customFormat="1" ht="35.25" customHeight="1" x14ac:dyDescent="0.5">
      <c r="A551" s="6">
        <v>1</v>
      </c>
      <c r="B551" s="225">
        <f>SUBTOTAL(103,$A$7:A551)</f>
        <v>523</v>
      </c>
      <c r="C551" s="254" t="s">
        <v>2243</v>
      </c>
      <c r="D551" s="255">
        <f t="shared" si="40"/>
        <v>851863.79</v>
      </c>
      <c r="E551" s="258">
        <v>0</v>
      </c>
      <c r="F551" s="258">
        <v>0</v>
      </c>
      <c r="G551" s="258">
        <v>0</v>
      </c>
      <c r="H551" s="258">
        <v>0</v>
      </c>
      <c r="I551" s="258">
        <v>0</v>
      </c>
      <c r="J551" s="258">
        <v>0</v>
      </c>
      <c r="K551" s="259">
        <v>0</v>
      </c>
      <c r="L551" s="258">
        <v>0</v>
      </c>
      <c r="M551" s="258">
        <v>0</v>
      </c>
      <c r="N551" s="258">
        <v>0</v>
      </c>
      <c r="O551" s="258">
        <v>851863.79</v>
      </c>
      <c r="P551" s="258">
        <v>0</v>
      </c>
      <c r="Q551" s="258">
        <v>0</v>
      </c>
      <c r="R551" s="258">
        <v>0</v>
      </c>
      <c r="S551" s="258">
        <v>0</v>
      </c>
      <c r="T551" s="258">
        <v>0</v>
      </c>
      <c r="U551" s="258">
        <v>0</v>
      </c>
      <c r="V551" s="258">
        <v>0</v>
      </c>
      <c r="W551" s="258">
        <v>0</v>
      </c>
      <c r="X551" s="258">
        <v>0</v>
      </c>
      <c r="Y551" s="258">
        <v>0</v>
      </c>
      <c r="Z551" s="258">
        <v>0</v>
      </c>
      <c r="AA551" s="258">
        <v>0</v>
      </c>
      <c r="AB551" s="260">
        <v>2020</v>
      </c>
    </row>
    <row r="552" spans="1:28" s="6" customFormat="1" ht="35.25" customHeight="1" x14ac:dyDescent="0.5">
      <c r="A552" s="6">
        <v>1</v>
      </c>
      <c r="B552" s="225">
        <f>SUBTOTAL(103,$A$7:A552)</f>
        <v>524</v>
      </c>
      <c r="C552" s="254" t="s">
        <v>2244</v>
      </c>
      <c r="D552" s="255">
        <f t="shared" si="40"/>
        <v>979023</v>
      </c>
      <c r="E552" s="258">
        <v>0</v>
      </c>
      <c r="F552" s="258">
        <v>0</v>
      </c>
      <c r="G552" s="258">
        <v>979023</v>
      </c>
      <c r="H552" s="258">
        <v>0</v>
      </c>
      <c r="I552" s="258">
        <v>0</v>
      </c>
      <c r="J552" s="258">
        <v>0</v>
      </c>
      <c r="K552" s="259">
        <v>0</v>
      </c>
      <c r="L552" s="258">
        <v>0</v>
      </c>
      <c r="M552" s="258">
        <v>0</v>
      </c>
      <c r="N552" s="258">
        <v>0</v>
      </c>
      <c r="O552" s="258">
        <v>0</v>
      </c>
      <c r="P552" s="258">
        <v>0</v>
      </c>
      <c r="Q552" s="258">
        <v>0</v>
      </c>
      <c r="R552" s="258">
        <v>0</v>
      </c>
      <c r="S552" s="258">
        <v>0</v>
      </c>
      <c r="T552" s="258">
        <v>0</v>
      </c>
      <c r="U552" s="258">
        <v>0</v>
      </c>
      <c r="V552" s="258">
        <v>0</v>
      </c>
      <c r="W552" s="258">
        <v>0</v>
      </c>
      <c r="X552" s="258">
        <v>0</v>
      </c>
      <c r="Y552" s="258">
        <v>0</v>
      </c>
      <c r="Z552" s="258">
        <v>0</v>
      </c>
      <c r="AA552" s="258">
        <v>0</v>
      </c>
      <c r="AB552" s="260">
        <v>2020</v>
      </c>
    </row>
    <row r="553" spans="1:28" s="6" customFormat="1" ht="35.25" customHeight="1" x14ac:dyDescent="0.5">
      <c r="A553" s="6">
        <v>1</v>
      </c>
      <c r="B553" s="225">
        <f>SUBTOTAL(103,$A$7:A553)</f>
        <v>525</v>
      </c>
      <c r="C553" s="254" t="s">
        <v>2245</v>
      </c>
      <c r="D553" s="255">
        <f t="shared" si="40"/>
        <v>798318</v>
      </c>
      <c r="E553" s="258">
        <v>0</v>
      </c>
      <c r="F553" s="258">
        <v>0</v>
      </c>
      <c r="G553" s="258">
        <v>0</v>
      </c>
      <c r="H553" s="258">
        <v>0</v>
      </c>
      <c r="I553" s="258">
        <v>0</v>
      </c>
      <c r="J553" s="258">
        <v>0</v>
      </c>
      <c r="K553" s="259">
        <v>0</v>
      </c>
      <c r="L553" s="258">
        <v>0</v>
      </c>
      <c r="M553" s="258">
        <v>0</v>
      </c>
      <c r="N553" s="258">
        <v>0</v>
      </c>
      <c r="O553" s="258">
        <v>798318</v>
      </c>
      <c r="P553" s="258">
        <v>0</v>
      </c>
      <c r="Q553" s="258">
        <v>0</v>
      </c>
      <c r="R553" s="258">
        <v>0</v>
      </c>
      <c r="S553" s="258">
        <v>0</v>
      </c>
      <c r="T553" s="258">
        <v>0</v>
      </c>
      <c r="U553" s="258">
        <v>0</v>
      </c>
      <c r="V553" s="258">
        <v>0</v>
      </c>
      <c r="W553" s="258">
        <v>0</v>
      </c>
      <c r="X553" s="258">
        <v>0</v>
      </c>
      <c r="Y553" s="258">
        <v>0</v>
      </c>
      <c r="Z553" s="258">
        <v>0</v>
      </c>
      <c r="AA553" s="258">
        <v>0</v>
      </c>
      <c r="AB553" s="260">
        <v>2020</v>
      </c>
    </row>
    <row r="554" spans="1:28" s="6" customFormat="1" ht="35.25" customHeight="1" x14ac:dyDescent="0.5">
      <c r="A554" s="6">
        <v>1</v>
      </c>
      <c r="B554" s="225">
        <f>SUBTOTAL(103,$A$7:A554)</f>
        <v>526</v>
      </c>
      <c r="C554" s="254" t="s">
        <v>1864</v>
      </c>
      <c r="D554" s="255">
        <f t="shared" si="40"/>
        <v>61000</v>
      </c>
      <c r="E554" s="258">
        <v>0</v>
      </c>
      <c r="F554" s="258">
        <v>0</v>
      </c>
      <c r="G554" s="258">
        <v>0</v>
      </c>
      <c r="H554" s="258">
        <v>0</v>
      </c>
      <c r="I554" s="258">
        <v>0</v>
      </c>
      <c r="J554" s="258">
        <v>0</v>
      </c>
      <c r="K554" s="259">
        <v>0</v>
      </c>
      <c r="L554" s="258">
        <v>0</v>
      </c>
      <c r="M554" s="258">
        <v>0</v>
      </c>
      <c r="N554" s="258">
        <v>0</v>
      </c>
      <c r="O554" s="258">
        <v>61000</v>
      </c>
      <c r="P554" s="258">
        <v>0</v>
      </c>
      <c r="Q554" s="258">
        <v>0</v>
      </c>
      <c r="R554" s="258">
        <v>0</v>
      </c>
      <c r="S554" s="258">
        <v>0</v>
      </c>
      <c r="T554" s="258">
        <v>0</v>
      </c>
      <c r="U554" s="258">
        <v>0</v>
      </c>
      <c r="V554" s="258">
        <v>0</v>
      </c>
      <c r="W554" s="258">
        <v>0</v>
      </c>
      <c r="X554" s="258">
        <v>0</v>
      </c>
      <c r="Y554" s="258">
        <v>0</v>
      </c>
      <c r="Z554" s="258">
        <v>0</v>
      </c>
      <c r="AA554" s="258">
        <v>0</v>
      </c>
      <c r="AB554" s="260">
        <v>2020</v>
      </c>
    </row>
    <row r="555" spans="1:28" s="6" customFormat="1" ht="35.25" customHeight="1" x14ac:dyDescent="0.5">
      <c r="A555" s="6">
        <v>1</v>
      </c>
      <c r="B555" s="225">
        <f>SUBTOTAL(103,$A$7:A555)</f>
        <v>527</v>
      </c>
      <c r="C555" s="254" t="s">
        <v>1865</v>
      </c>
      <c r="D555" s="255">
        <f t="shared" si="40"/>
        <v>44000</v>
      </c>
      <c r="E555" s="258">
        <v>0</v>
      </c>
      <c r="F555" s="258">
        <v>0</v>
      </c>
      <c r="G555" s="258">
        <v>0</v>
      </c>
      <c r="H555" s="258">
        <v>0</v>
      </c>
      <c r="I555" s="258">
        <v>0</v>
      </c>
      <c r="J555" s="258">
        <v>0</v>
      </c>
      <c r="K555" s="259">
        <v>0</v>
      </c>
      <c r="L555" s="258">
        <v>0</v>
      </c>
      <c r="M555" s="258">
        <v>0</v>
      </c>
      <c r="N555" s="258">
        <v>0</v>
      </c>
      <c r="O555" s="258">
        <v>44000</v>
      </c>
      <c r="P555" s="258">
        <v>0</v>
      </c>
      <c r="Q555" s="258">
        <v>0</v>
      </c>
      <c r="R555" s="258">
        <v>0</v>
      </c>
      <c r="S555" s="258">
        <v>0</v>
      </c>
      <c r="T555" s="258">
        <v>0</v>
      </c>
      <c r="U555" s="258">
        <v>0</v>
      </c>
      <c r="V555" s="258">
        <v>0</v>
      </c>
      <c r="W555" s="258">
        <v>0</v>
      </c>
      <c r="X555" s="258">
        <v>0</v>
      </c>
      <c r="Y555" s="258">
        <v>0</v>
      </c>
      <c r="Z555" s="258">
        <v>0</v>
      </c>
      <c r="AA555" s="258">
        <v>0</v>
      </c>
      <c r="AB555" s="260">
        <v>2020</v>
      </c>
    </row>
    <row r="556" spans="1:28" s="6" customFormat="1" ht="35.25" customHeight="1" x14ac:dyDescent="0.5">
      <c r="A556" s="6">
        <v>1</v>
      </c>
      <c r="B556" s="225">
        <f>SUBTOTAL(103,$A$7:A556)</f>
        <v>528</v>
      </c>
      <c r="C556" s="254" t="s">
        <v>2246</v>
      </c>
      <c r="D556" s="255">
        <f t="shared" si="40"/>
        <v>678326</v>
      </c>
      <c r="E556" s="258">
        <v>117654</v>
      </c>
      <c r="F556" s="258">
        <v>0</v>
      </c>
      <c r="G556" s="258">
        <v>0</v>
      </c>
      <c r="H556" s="258">
        <v>0</v>
      </c>
      <c r="I556" s="258">
        <v>0</v>
      </c>
      <c r="J556" s="258">
        <v>0</v>
      </c>
      <c r="K556" s="259">
        <v>0</v>
      </c>
      <c r="L556" s="258">
        <v>0</v>
      </c>
      <c r="M556" s="258">
        <v>0</v>
      </c>
      <c r="N556" s="258">
        <v>0</v>
      </c>
      <c r="O556" s="258">
        <v>560672</v>
      </c>
      <c r="P556" s="258">
        <v>0</v>
      </c>
      <c r="Q556" s="258">
        <v>0</v>
      </c>
      <c r="R556" s="258">
        <v>0</v>
      </c>
      <c r="S556" s="258">
        <v>0</v>
      </c>
      <c r="T556" s="258">
        <v>0</v>
      </c>
      <c r="U556" s="258">
        <v>0</v>
      </c>
      <c r="V556" s="258">
        <v>0</v>
      </c>
      <c r="W556" s="258">
        <v>0</v>
      </c>
      <c r="X556" s="258">
        <v>0</v>
      </c>
      <c r="Y556" s="258">
        <v>0</v>
      </c>
      <c r="Z556" s="258">
        <v>0</v>
      </c>
      <c r="AA556" s="258">
        <v>0</v>
      </c>
      <c r="AB556" s="260">
        <v>2020</v>
      </c>
    </row>
    <row r="557" spans="1:28" s="6" customFormat="1" ht="35.25" customHeight="1" x14ac:dyDescent="0.5">
      <c r="B557" s="253" t="s">
        <v>852</v>
      </c>
      <c r="C557" s="254"/>
      <c r="D557" s="255">
        <f>SUM(D558:D560)</f>
        <v>2699535</v>
      </c>
      <c r="E557" s="255">
        <f t="shared" ref="E557:AA557" si="41">SUM(E558:E560)</f>
        <v>0</v>
      </c>
      <c r="F557" s="255">
        <f t="shared" si="41"/>
        <v>0</v>
      </c>
      <c r="G557" s="255">
        <f t="shared" si="41"/>
        <v>0</v>
      </c>
      <c r="H557" s="255">
        <f t="shared" si="41"/>
        <v>0</v>
      </c>
      <c r="I557" s="255">
        <f t="shared" si="41"/>
        <v>368317</v>
      </c>
      <c r="J557" s="255">
        <f t="shared" si="41"/>
        <v>0</v>
      </c>
      <c r="K557" s="257">
        <f t="shared" si="41"/>
        <v>0</v>
      </c>
      <c r="L557" s="255">
        <f t="shared" si="41"/>
        <v>0</v>
      </c>
      <c r="M557" s="255">
        <f t="shared" si="41"/>
        <v>1531213</v>
      </c>
      <c r="N557" s="255">
        <f t="shared" si="41"/>
        <v>0</v>
      </c>
      <c r="O557" s="255">
        <f t="shared" si="41"/>
        <v>800005</v>
      </c>
      <c r="P557" s="255">
        <f t="shared" si="41"/>
        <v>0</v>
      </c>
      <c r="Q557" s="255">
        <f t="shared" si="41"/>
        <v>0</v>
      </c>
      <c r="R557" s="255">
        <f t="shared" si="41"/>
        <v>0</v>
      </c>
      <c r="S557" s="255">
        <f t="shared" si="41"/>
        <v>0</v>
      </c>
      <c r="T557" s="255">
        <f t="shared" si="41"/>
        <v>0</v>
      </c>
      <c r="U557" s="255">
        <f t="shared" si="41"/>
        <v>0</v>
      </c>
      <c r="V557" s="255">
        <f t="shared" si="41"/>
        <v>0</v>
      </c>
      <c r="W557" s="255">
        <f t="shared" si="41"/>
        <v>0</v>
      </c>
      <c r="X557" s="255">
        <f t="shared" si="41"/>
        <v>0</v>
      </c>
      <c r="Y557" s="255">
        <f t="shared" si="41"/>
        <v>0</v>
      </c>
      <c r="Z557" s="255">
        <f t="shared" si="41"/>
        <v>0</v>
      </c>
      <c r="AA557" s="255">
        <f t="shared" si="41"/>
        <v>0</v>
      </c>
      <c r="AB557" s="256" t="s">
        <v>890</v>
      </c>
    </row>
    <row r="558" spans="1:28" s="6" customFormat="1" ht="35.25" customHeight="1" x14ac:dyDescent="0.5">
      <c r="A558" s="6">
        <v>1</v>
      </c>
      <c r="B558" s="225">
        <f>SUBTOTAL(103,$A$7:A558)</f>
        <v>529</v>
      </c>
      <c r="C558" s="254" t="s">
        <v>2247</v>
      </c>
      <c r="D558" s="255">
        <f>E558+F558+G558+H558+I558+J558+L558+M558+N558+O558+P558+Q558+R558+S558+T558+U558+V558+W558+X558+Y558+Z558+AA558</f>
        <v>1531213</v>
      </c>
      <c r="E558" s="258">
        <v>0</v>
      </c>
      <c r="F558" s="258">
        <v>0</v>
      </c>
      <c r="G558" s="258">
        <v>0</v>
      </c>
      <c r="H558" s="258">
        <v>0</v>
      </c>
      <c r="I558" s="258">
        <v>0</v>
      </c>
      <c r="J558" s="258">
        <v>0</v>
      </c>
      <c r="K558" s="259">
        <v>0</v>
      </c>
      <c r="L558" s="258">
        <v>0</v>
      </c>
      <c r="M558" s="258">
        <v>1531213</v>
      </c>
      <c r="N558" s="258">
        <v>0</v>
      </c>
      <c r="O558" s="258">
        <v>0</v>
      </c>
      <c r="P558" s="258">
        <v>0</v>
      </c>
      <c r="Q558" s="258">
        <v>0</v>
      </c>
      <c r="R558" s="258">
        <v>0</v>
      </c>
      <c r="S558" s="258">
        <v>0</v>
      </c>
      <c r="T558" s="258">
        <v>0</v>
      </c>
      <c r="U558" s="258">
        <v>0</v>
      </c>
      <c r="V558" s="258">
        <v>0</v>
      </c>
      <c r="W558" s="258">
        <v>0</v>
      </c>
      <c r="X558" s="258">
        <v>0</v>
      </c>
      <c r="Y558" s="258">
        <v>0</v>
      </c>
      <c r="Z558" s="258">
        <v>0</v>
      </c>
      <c r="AA558" s="258">
        <v>0</v>
      </c>
      <c r="AB558" s="260">
        <v>2020</v>
      </c>
    </row>
    <row r="559" spans="1:28" s="6" customFormat="1" ht="35.25" customHeight="1" x14ac:dyDescent="0.5">
      <c r="A559" s="6">
        <v>1</v>
      </c>
      <c r="B559" s="225">
        <f>SUBTOTAL(103,$A$7:A559)</f>
        <v>530</v>
      </c>
      <c r="C559" s="254" t="s">
        <v>2248</v>
      </c>
      <c r="D559" s="255">
        <f>E559+F559+G559+H559+I559+J559+L559+M559+N559+O559+P559+Q559+R559+S559+T559+U559+V559+W559+X559+Y559+Z559+AA559</f>
        <v>800005</v>
      </c>
      <c r="E559" s="258">
        <v>0</v>
      </c>
      <c r="F559" s="258">
        <v>0</v>
      </c>
      <c r="G559" s="258">
        <v>0</v>
      </c>
      <c r="H559" s="258">
        <v>0</v>
      </c>
      <c r="I559" s="258">
        <v>0</v>
      </c>
      <c r="J559" s="258">
        <v>0</v>
      </c>
      <c r="K559" s="259">
        <v>0</v>
      </c>
      <c r="L559" s="258">
        <v>0</v>
      </c>
      <c r="M559" s="258">
        <v>0</v>
      </c>
      <c r="N559" s="258">
        <v>0</v>
      </c>
      <c r="O559" s="258">
        <v>800005</v>
      </c>
      <c r="P559" s="258">
        <v>0</v>
      </c>
      <c r="Q559" s="258">
        <v>0</v>
      </c>
      <c r="R559" s="258">
        <v>0</v>
      </c>
      <c r="S559" s="258">
        <v>0</v>
      </c>
      <c r="T559" s="258">
        <v>0</v>
      </c>
      <c r="U559" s="258">
        <v>0</v>
      </c>
      <c r="V559" s="258">
        <v>0</v>
      </c>
      <c r="W559" s="258">
        <v>0</v>
      </c>
      <c r="X559" s="258">
        <v>0</v>
      </c>
      <c r="Y559" s="258">
        <v>0</v>
      </c>
      <c r="Z559" s="258">
        <v>0</v>
      </c>
      <c r="AA559" s="258">
        <v>0</v>
      </c>
      <c r="AB559" s="260">
        <v>2020</v>
      </c>
    </row>
    <row r="560" spans="1:28" s="6" customFormat="1" ht="35.25" customHeight="1" x14ac:dyDescent="0.5">
      <c r="A560" s="6">
        <v>1</v>
      </c>
      <c r="B560" s="225">
        <f>SUBTOTAL(103,$A$7:A560)</f>
        <v>531</v>
      </c>
      <c r="C560" s="254" t="s">
        <v>2249</v>
      </c>
      <c r="D560" s="255">
        <f>E560+F560+G560+H560+I560+J560+L560+M560+N560+O560+P560+Q560+R560+S560+T560+U560+V560+W560+X560+Y560+Z560+AA560</f>
        <v>368317</v>
      </c>
      <c r="E560" s="258">
        <v>0</v>
      </c>
      <c r="F560" s="258">
        <v>0</v>
      </c>
      <c r="G560" s="258">
        <v>0</v>
      </c>
      <c r="H560" s="258">
        <v>0</v>
      </c>
      <c r="I560" s="258">
        <v>368317</v>
      </c>
      <c r="J560" s="258">
        <v>0</v>
      </c>
      <c r="K560" s="259">
        <v>0</v>
      </c>
      <c r="L560" s="258">
        <v>0</v>
      </c>
      <c r="M560" s="258">
        <v>0</v>
      </c>
      <c r="N560" s="258">
        <v>0</v>
      </c>
      <c r="O560" s="258">
        <v>0</v>
      </c>
      <c r="P560" s="258">
        <v>0</v>
      </c>
      <c r="Q560" s="258">
        <v>0</v>
      </c>
      <c r="R560" s="258">
        <v>0</v>
      </c>
      <c r="S560" s="258">
        <v>0</v>
      </c>
      <c r="T560" s="258">
        <v>0</v>
      </c>
      <c r="U560" s="258">
        <v>0</v>
      </c>
      <c r="V560" s="258">
        <v>0</v>
      </c>
      <c r="W560" s="258">
        <v>0</v>
      </c>
      <c r="X560" s="258">
        <v>0</v>
      </c>
      <c r="Y560" s="258">
        <v>0</v>
      </c>
      <c r="Z560" s="258">
        <v>0</v>
      </c>
      <c r="AA560" s="258">
        <v>0</v>
      </c>
      <c r="AB560" s="260">
        <v>2020</v>
      </c>
    </row>
    <row r="561" spans="1:28" s="6" customFormat="1" ht="35.25" customHeight="1" x14ac:dyDescent="0.5">
      <c r="B561" s="253" t="s">
        <v>851</v>
      </c>
      <c r="C561" s="254"/>
      <c r="D561" s="255">
        <f>SUM(D562:D565)</f>
        <v>4565291.7300000004</v>
      </c>
      <c r="E561" s="255">
        <f t="shared" ref="E561:AA561" si="42">SUM(E562:E565)</f>
        <v>0</v>
      </c>
      <c r="F561" s="255">
        <f t="shared" si="42"/>
        <v>0</v>
      </c>
      <c r="G561" s="255">
        <f t="shared" si="42"/>
        <v>0</v>
      </c>
      <c r="H561" s="255">
        <f t="shared" si="42"/>
        <v>0</v>
      </c>
      <c r="I561" s="255">
        <f t="shared" si="42"/>
        <v>0</v>
      </c>
      <c r="J561" s="255">
        <f t="shared" si="42"/>
        <v>0</v>
      </c>
      <c r="K561" s="257">
        <f t="shared" si="42"/>
        <v>0</v>
      </c>
      <c r="L561" s="255">
        <f t="shared" si="42"/>
        <v>0</v>
      </c>
      <c r="M561" s="255">
        <f t="shared" si="42"/>
        <v>3672797.36</v>
      </c>
      <c r="N561" s="255">
        <f t="shared" si="42"/>
        <v>0</v>
      </c>
      <c r="O561" s="255">
        <f t="shared" si="42"/>
        <v>663650</v>
      </c>
      <c r="P561" s="255">
        <f t="shared" si="42"/>
        <v>228844.37</v>
      </c>
      <c r="Q561" s="255">
        <f t="shared" si="42"/>
        <v>0</v>
      </c>
      <c r="R561" s="255">
        <f t="shared" si="42"/>
        <v>0</v>
      </c>
      <c r="S561" s="255">
        <f t="shared" si="42"/>
        <v>0</v>
      </c>
      <c r="T561" s="255">
        <f t="shared" si="42"/>
        <v>0</v>
      </c>
      <c r="U561" s="255">
        <f t="shared" si="42"/>
        <v>0</v>
      </c>
      <c r="V561" s="255">
        <f t="shared" si="42"/>
        <v>0</v>
      </c>
      <c r="W561" s="255">
        <f t="shared" si="42"/>
        <v>0</v>
      </c>
      <c r="X561" s="255">
        <f t="shared" si="42"/>
        <v>0</v>
      </c>
      <c r="Y561" s="255">
        <f t="shared" si="42"/>
        <v>0</v>
      </c>
      <c r="Z561" s="255">
        <f t="shared" si="42"/>
        <v>0</v>
      </c>
      <c r="AA561" s="255">
        <f t="shared" si="42"/>
        <v>0</v>
      </c>
      <c r="AB561" s="256" t="s">
        <v>890</v>
      </c>
    </row>
    <row r="562" spans="1:28" s="6" customFormat="1" ht="35.25" customHeight="1" x14ac:dyDescent="0.5">
      <c r="A562" s="6">
        <v>1</v>
      </c>
      <c r="B562" s="225">
        <f>SUBTOTAL(103,$A$7:A562)</f>
        <v>532</v>
      </c>
      <c r="C562" s="254" t="s">
        <v>2250</v>
      </c>
      <c r="D562" s="255">
        <f>E562+F562+G562+H562+I562+J562+L562+M562+N562+O562+P562+Q562+R562+S562+T562+U562+V562+W562+X562+Y562+Z562+AA562</f>
        <v>598629.73</v>
      </c>
      <c r="E562" s="258">
        <v>0</v>
      </c>
      <c r="F562" s="258">
        <v>0</v>
      </c>
      <c r="G562" s="258">
        <v>0</v>
      </c>
      <c r="H562" s="258">
        <v>0</v>
      </c>
      <c r="I562" s="258">
        <v>0</v>
      </c>
      <c r="J562" s="258">
        <v>0</v>
      </c>
      <c r="K562" s="259">
        <v>0</v>
      </c>
      <c r="L562" s="258">
        <v>0</v>
      </c>
      <c r="M562" s="258">
        <v>369785.36</v>
      </c>
      <c r="N562" s="258">
        <v>0</v>
      </c>
      <c r="O562" s="258">
        <v>0</v>
      </c>
      <c r="P562" s="258">
        <v>228844.37</v>
      </c>
      <c r="Q562" s="258">
        <v>0</v>
      </c>
      <c r="R562" s="258">
        <v>0</v>
      </c>
      <c r="S562" s="258">
        <v>0</v>
      </c>
      <c r="T562" s="258">
        <v>0</v>
      </c>
      <c r="U562" s="258">
        <v>0</v>
      </c>
      <c r="V562" s="258">
        <v>0</v>
      </c>
      <c r="W562" s="258">
        <v>0</v>
      </c>
      <c r="X562" s="258">
        <v>0</v>
      </c>
      <c r="Y562" s="258">
        <v>0</v>
      </c>
      <c r="Z562" s="258">
        <v>0</v>
      </c>
      <c r="AA562" s="258">
        <v>0</v>
      </c>
      <c r="AB562" s="260">
        <v>2020</v>
      </c>
    </row>
    <row r="563" spans="1:28" s="6" customFormat="1" ht="35.25" customHeight="1" x14ac:dyDescent="0.5">
      <c r="A563" s="6">
        <v>1</v>
      </c>
      <c r="B563" s="225">
        <f>SUBTOTAL(103,$A$7:A563)</f>
        <v>533</v>
      </c>
      <c r="C563" s="254" t="s">
        <v>2251</v>
      </c>
      <c r="D563" s="255">
        <f>E563+F563+G563+H563+I563+J563+L563+M563+N563+O563+P563+Q563+R563+S563+T563+U563+V563+W563+X563+Y563+Z563+AA563</f>
        <v>1940000</v>
      </c>
      <c r="E563" s="258">
        <v>0</v>
      </c>
      <c r="F563" s="258">
        <v>0</v>
      </c>
      <c r="G563" s="258">
        <v>0</v>
      </c>
      <c r="H563" s="258">
        <v>0</v>
      </c>
      <c r="I563" s="258">
        <v>0</v>
      </c>
      <c r="J563" s="258">
        <v>0</v>
      </c>
      <c r="K563" s="259">
        <v>0</v>
      </c>
      <c r="L563" s="258">
        <v>0</v>
      </c>
      <c r="M563" s="258">
        <v>1940000</v>
      </c>
      <c r="N563" s="258">
        <v>0</v>
      </c>
      <c r="O563" s="258">
        <v>0</v>
      </c>
      <c r="P563" s="258">
        <v>0</v>
      </c>
      <c r="Q563" s="258">
        <v>0</v>
      </c>
      <c r="R563" s="258">
        <v>0</v>
      </c>
      <c r="S563" s="258">
        <v>0</v>
      </c>
      <c r="T563" s="258">
        <v>0</v>
      </c>
      <c r="U563" s="258">
        <v>0</v>
      </c>
      <c r="V563" s="258">
        <v>0</v>
      </c>
      <c r="W563" s="258">
        <v>0</v>
      </c>
      <c r="X563" s="258">
        <v>0</v>
      </c>
      <c r="Y563" s="258">
        <v>0</v>
      </c>
      <c r="Z563" s="258">
        <v>0</v>
      </c>
      <c r="AA563" s="258">
        <v>0</v>
      </c>
      <c r="AB563" s="260">
        <v>2020</v>
      </c>
    </row>
    <row r="564" spans="1:28" s="6" customFormat="1" ht="35.25" customHeight="1" x14ac:dyDescent="0.5">
      <c r="A564" s="6">
        <v>1</v>
      </c>
      <c r="B564" s="225">
        <f>SUBTOTAL(103,$A$7:A564)</f>
        <v>534</v>
      </c>
      <c r="C564" s="254" t="s">
        <v>2252</v>
      </c>
      <c r="D564" s="255">
        <f>E564+F564+G564+H564+I564+J564+L564+M564+N564+O564+P564+Q564+R564+S564+T564+U564+V564+W564+X564+Y564+Z564+AA564</f>
        <v>1363012</v>
      </c>
      <c r="E564" s="258">
        <v>0</v>
      </c>
      <c r="F564" s="258">
        <v>0</v>
      </c>
      <c r="G564" s="258">
        <v>0</v>
      </c>
      <c r="H564" s="258">
        <v>0</v>
      </c>
      <c r="I564" s="258">
        <v>0</v>
      </c>
      <c r="J564" s="258">
        <v>0</v>
      </c>
      <c r="K564" s="259">
        <v>0</v>
      </c>
      <c r="L564" s="258">
        <v>0</v>
      </c>
      <c r="M564" s="258">
        <v>1363012</v>
      </c>
      <c r="N564" s="258">
        <v>0</v>
      </c>
      <c r="O564" s="258">
        <v>0</v>
      </c>
      <c r="P564" s="258">
        <v>0</v>
      </c>
      <c r="Q564" s="258">
        <v>0</v>
      </c>
      <c r="R564" s="258">
        <v>0</v>
      </c>
      <c r="S564" s="258">
        <v>0</v>
      </c>
      <c r="T564" s="258">
        <v>0</v>
      </c>
      <c r="U564" s="258">
        <v>0</v>
      </c>
      <c r="V564" s="258">
        <v>0</v>
      </c>
      <c r="W564" s="258">
        <v>0</v>
      </c>
      <c r="X564" s="258">
        <v>0</v>
      </c>
      <c r="Y564" s="258">
        <v>0</v>
      </c>
      <c r="Z564" s="258">
        <v>0</v>
      </c>
      <c r="AA564" s="258">
        <v>0</v>
      </c>
      <c r="AB564" s="260">
        <v>2020</v>
      </c>
    </row>
    <row r="565" spans="1:28" s="6" customFormat="1" ht="35.25" customHeight="1" x14ac:dyDescent="0.5">
      <c r="A565" s="6">
        <v>1</v>
      </c>
      <c r="B565" s="225">
        <f>SUBTOTAL(103,$A$7:A565)</f>
        <v>535</v>
      </c>
      <c r="C565" s="254" t="s">
        <v>2253</v>
      </c>
      <c r="D565" s="255">
        <f>E565+F565+G565+H565+I565+J565+L565+M565+N565+O565+P565+Q565+R565+S565+T565+U565+V565+W565+X565+Y565+Z565+AA565</f>
        <v>663650</v>
      </c>
      <c r="E565" s="258">
        <v>0</v>
      </c>
      <c r="F565" s="258">
        <v>0</v>
      </c>
      <c r="G565" s="258">
        <v>0</v>
      </c>
      <c r="H565" s="258">
        <v>0</v>
      </c>
      <c r="I565" s="258">
        <v>0</v>
      </c>
      <c r="J565" s="258">
        <v>0</v>
      </c>
      <c r="K565" s="259">
        <v>0</v>
      </c>
      <c r="L565" s="258">
        <v>0</v>
      </c>
      <c r="M565" s="258">
        <v>0</v>
      </c>
      <c r="N565" s="258">
        <v>0</v>
      </c>
      <c r="O565" s="258">
        <v>663650</v>
      </c>
      <c r="P565" s="258">
        <v>0</v>
      </c>
      <c r="Q565" s="258">
        <v>0</v>
      </c>
      <c r="R565" s="258">
        <v>0</v>
      </c>
      <c r="S565" s="258">
        <v>0</v>
      </c>
      <c r="T565" s="258">
        <v>0</v>
      </c>
      <c r="U565" s="258">
        <v>0</v>
      </c>
      <c r="V565" s="258">
        <v>0</v>
      </c>
      <c r="W565" s="258">
        <v>0</v>
      </c>
      <c r="X565" s="258">
        <v>0</v>
      </c>
      <c r="Y565" s="258">
        <v>0</v>
      </c>
      <c r="Z565" s="258">
        <v>0</v>
      </c>
      <c r="AA565" s="258">
        <v>0</v>
      </c>
      <c r="AB565" s="260">
        <v>2020</v>
      </c>
    </row>
    <row r="566" spans="1:28" s="6" customFormat="1" ht="35.25" customHeight="1" x14ac:dyDescent="0.5">
      <c r="B566" s="253" t="s">
        <v>859</v>
      </c>
      <c r="C566" s="254"/>
      <c r="D566" s="255">
        <f>SUM(D567:D573)</f>
        <v>2301441.7599999998</v>
      </c>
      <c r="E566" s="255">
        <f t="shared" ref="E566:AA566" si="43">SUM(E567:E573)</f>
        <v>0</v>
      </c>
      <c r="F566" s="255">
        <f t="shared" si="43"/>
        <v>0</v>
      </c>
      <c r="G566" s="255">
        <f t="shared" si="43"/>
        <v>0</v>
      </c>
      <c r="H566" s="255">
        <f t="shared" si="43"/>
        <v>0</v>
      </c>
      <c r="I566" s="255">
        <f t="shared" si="43"/>
        <v>617671.73</v>
      </c>
      <c r="J566" s="255">
        <f t="shared" si="43"/>
        <v>0</v>
      </c>
      <c r="K566" s="257">
        <f t="shared" si="43"/>
        <v>0</v>
      </c>
      <c r="L566" s="255">
        <f t="shared" si="43"/>
        <v>0</v>
      </c>
      <c r="M566" s="255">
        <f t="shared" si="43"/>
        <v>0</v>
      </c>
      <c r="N566" s="255">
        <f t="shared" si="43"/>
        <v>78045.73</v>
      </c>
      <c r="O566" s="255">
        <f t="shared" si="43"/>
        <v>1441694.5</v>
      </c>
      <c r="P566" s="255">
        <f t="shared" si="43"/>
        <v>164029.79999999999</v>
      </c>
      <c r="Q566" s="255">
        <f t="shared" si="43"/>
        <v>0</v>
      </c>
      <c r="R566" s="255">
        <f t="shared" si="43"/>
        <v>0</v>
      </c>
      <c r="S566" s="255">
        <f t="shared" si="43"/>
        <v>0</v>
      </c>
      <c r="T566" s="255">
        <f t="shared" si="43"/>
        <v>0</v>
      </c>
      <c r="U566" s="255">
        <f t="shared" si="43"/>
        <v>0</v>
      </c>
      <c r="V566" s="255">
        <f t="shared" si="43"/>
        <v>0</v>
      </c>
      <c r="W566" s="255">
        <f t="shared" si="43"/>
        <v>0</v>
      </c>
      <c r="X566" s="255">
        <f t="shared" si="43"/>
        <v>0</v>
      </c>
      <c r="Y566" s="255">
        <f t="shared" si="43"/>
        <v>0</v>
      </c>
      <c r="Z566" s="255">
        <f t="shared" si="43"/>
        <v>0</v>
      </c>
      <c r="AA566" s="255">
        <f t="shared" si="43"/>
        <v>0</v>
      </c>
      <c r="AB566" s="256" t="s">
        <v>890</v>
      </c>
    </row>
    <row r="567" spans="1:28" s="6" customFormat="1" ht="35.25" customHeight="1" x14ac:dyDescent="0.5">
      <c r="A567" s="6">
        <v>1</v>
      </c>
      <c r="B567" s="225">
        <f>SUBTOTAL(103,$A$7:A567)</f>
        <v>536</v>
      </c>
      <c r="C567" s="254" t="s">
        <v>2254</v>
      </c>
      <c r="D567" s="255">
        <f t="shared" ref="D567:D573" si="44">E567+F567+G567+H567+I567+J567+L567+M567+N567+O567+P567+Q567+R567+S567+T567+U567+V567+W567+X567+Y567+Z567+AA567</f>
        <v>190801.84</v>
      </c>
      <c r="E567" s="258">
        <v>0</v>
      </c>
      <c r="F567" s="258">
        <v>0</v>
      </c>
      <c r="G567" s="258">
        <v>0</v>
      </c>
      <c r="H567" s="258">
        <v>0</v>
      </c>
      <c r="I567" s="258">
        <v>0</v>
      </c>
      <c r="J567" s="258">
        <v>0</v>
      </c>
      <c r="K567" s="259">
        <v>0</v>
      </c>
      <c r="L567" s="258">
        <v>0</v>
      </c>
      <c r="M567" s="258">
        <v>0</v>
      </c>
      <c r="N567" s="258">
        <v>0</v>
      </c>
      <c r="O567" s="258">
        <v>190801.84</v>
      </c>
      <c r="P567" s="258">
        <v>0</v>
      </c>
      <c r="Q567" s="258">
        <v>0</v>
      </c>
      <c r="R567" s="258">
        <v>0</v>
      </c>
      <c r="S567" s="258">
        <v>0</v>
      </c>
      <c r="T567" s="258">
        <v>0</v>
      </c>
      <c r="U567" s="258">
        <v>0</v>
      </c>
      <c r="V567" s="258">
        <v>0</v>
      </c>
      <c r="W567" s="258">
        <v>0</v>
      </c>
      <c r="X567" s="258">
        <v>0</v>
      </c>
      <c r="Y567" s="258">
        <v>0</v>
      </c>
      <c r="Z567" s="258">
        <v>0</v>
      </c>
      <c r="AA567" s="258">
        <v>0</v>
      </c>
      <c r="AB567" s="260">
        <v>2020</v>
      </c>
    </row>
    <row r="568" spans="1:28" s="6" customFormat="1" ht="35.25" customHeight="1" x14ac:dyDescent="0.5">
      <c r="A568" s="6">
        <v>1</v>
      </c>
      <c r="B568" s="225">
        <f>SUBTOTAL(103,$A$7:A568)</f>
        <v>537</v>
      </c>
      <c r="C568" s="254" t="s">
        <v>2255</v>
      </c>
      <c r="D568" s="255">
        <f t="shared" si="44"/>
        <v>78045.73</v>
      </c>
      <c r="E568" s="258">
        <v>0</v>
      </c>
      <c r="F568" s="258">
        <v>0</v>
      </c>
      <c r="G568" s="258">
        <v>0</v>
      </c>
      <c r="H568" s="258">
        <v>0</v>
      </c>
      <c r="I568" s="258">
        <v>0</v>
      </c>
      <c r="J568" s="258">
        <v>0</v>
      </c>
      <c r="K568" s="259">
        <v>0</v>
      </c>
      <c r="L568" s="258">
        <v>0</v>
      </c>
      <c r="M568" s="258">
        <v>0</v>
      </c>
      <c r="N568" s="258">
        <v>78045.73</v>
      </c>
      <c r="O568" s="258">
        <v>0</v>
      </c>
      <c r="P568" s="258">
        <v>0</v>
      </c>
      <c r="Q568" s="258">
        <v>0</v>
      </c>
      <c r="R568" s="258">
        <v>0</v>
      </c>
      <c r="S568" s="258">
        <v>0</v>
      </c>
      <c r="T568" s="258">
        <v>0</v>
      </c>
      <c r="U568" s="258">
        <v>0</v>
      </c>
      <c r="V568" s="258">
        <v>0</v>
      </c>
      <c r="W568" s="258">
        <v>0</v>
      </c>
      <c r="X568" s="258">
        <v>0</v>
      </c>
      <c r="Y568" s="258">
        <v>0</v>
      </c>
      <c r="Z568" s="258">
        <v>0</v>
      </c>
      <c r="AA568" s="258">
        <v>0</v>
      </c>
      <c r="AB568" s="260">
        <v>2020</v>
      </c>
    </row>
    <row r="569" spans="1:28" s="6" customFormat="1" ht="35.25" customHeight="1" x14ac:dyDescent="0.5">
      <c r="A569" s="6">
        <v>1</v>
      </c>
      <c r="B569" s="225">
        <f>SUBTOTAL(103,$A$7:A569)</f>
        <v>538</v>
      </c>
      <c r="C569" s="254" t="s">
        <v>2256</v>
      </c>
      <c r="D569" s="255">
        <f t="shared" si="44"/>
        <v>282509.7</v>
      </c>
      <c r="E569" s="258">
        <v>0</v>
      </c>
      <c r="F569" s="258">
        <v>0</v>
      </c>
      <c r="G569" s="258">
        <v>0</v>
      </c>
      <c r="H569" s="258">
        <v>0</v>
      </c>
      <c r="I569" s="258">
        <v>0</v>
      </c>
      <c r="J569" s="258">
        <v>0</v>
      </c>
      <c r="K569" s="259">
        <v>0</v>
      </c>
      <c r="L569" s="258">
        <v>0</v>
      </c>
      <c r="M569" s="258">
        <v>0</v>
      </c>
      <c r="N569" s="258">
        <v>0</v>
      </c>
      <c r="O569" s="258">
        <v>282509.7</v>
      </c>
      <c r="P569" s="258">
        <v>0</v>
      </c>
      <c r="Q569" s="258">
        <v>0</v>
      </c>
      <c r="R569" s="258">
        <v>0</v>
      </c>
      <c r="S569" s="258">
        <v>0</v>
      </c>
      <c r="T569" s="258">
        <v>0</v>
      </c>
      <c r="U569" s="258">
        <v>0</v>
      </c>
      <c r="V569" s="258">
        <v>0</v>
      </c>
      <c r="W569" s="258">
        <v>0</v>
      </c>
      <c r="X569" s="258">
        <v>0</v>
      </c>
      <c r="Y569" s="258">
        <v>0</v>
      </c>
      <c r="Z569" s="258">
        <v>0</v>
      </c>
      <c r="AA569" s="258">
        <v>0</v>
      </c>
      <c r="AB569" s="260">
        <v>2020</v>
      </c>
    </row>
    <row r="570" spans="1:28" s="6" customFormat="1" ht="35.25" customHeight="1" x14ac:dyDescent="0.5">
      <c r="A570" s="6">
        <v>1</v>
      </c>
      <c r="B570" s="225">
        <f>SUBTOTAL(103,$A$7:A570)</f>
        <v>539</v>
      </c>
      <c r="C570" s="254" t="s">
        <v>2257</v>
      </c>
      <c r="D570" s="255">
        <f t="shared" si="44"/>
        <v>711071</v>
      </c>
      <c r="E570" s="258">
        <v>0</v>
      </c>
      <c r="F570" s="258">
        <v>0</v>
      </c>
      <c r="G570" s="258">
        <v>0</v>
      </c>
      <c r="H570" s="258">
        <v>0</v>
      </c>
      <c r="I570" s="258">
        <v>400852</v>
      </c>
      <c r="J570" s="258">
        <v>0</v>
      </c>
      <c r="K570" s="259">
        <v>0</v>
      </c>
      <c r="L570" s="258">
        <v>0</v>
      </c>
      <c r="M570" s="258">
        <v>0</v>
      </c>
      <c r="N570" s="258">
        <v>0</v>
      </c>
      <c r="O570" s="258">
        <v>310219</v>
      </c>
      <c r="P570" s="258">
        <v>0</v>
      </c>
      <c r="Q570" s="258">
        <v>0</v>
      </c>
      <c r="R570" s="258">
        <v>0</v>
      </c>
      <c r="S570" s="258">
        <v>0</v>
      </c>
      <c r="T570" s="258">
        <v>0</v>
      </c>
      <c r="U570" s="258">
        <v>0</v>
      </c>
      <c r="V570" s="258">
        <v>0</v>
      </c>
      <c r="W570" s="258">
        <v>0</v>
      </c>
      <c r="X570" s="258">
        <v>0</v>
      </c>
      <c r="Y570" s="258">
        <v>0</v>
      </c>
      <c r="Z570" s="258">
        <v>0</v>
      </c>
      <c r="AA570" s="258">
        <v>0</v>
      </c>
      <c r="AB570" s="260">
        <v>2020</v>
      </c>
    </row>
    <row r="571" spans="1:28" s="6" customFormat="1" ht="35.25" customHeight="1" x14ac:dyDescent="0.5">
      <c r="A571" s="6">
        <v>1</v>
      </c>
      <c r="B571" s="225">
        <f>SUBTOTAL(103,$A$7:A571)</f>
        <v>540</v>
      </c>
      <c r="C571" s="254" t="s">
        <v>2258</v>
      </c>
      <c r="D571" s="255">
        <f t="shared" si="44"/>
        <v>658163.96</v>
      </c>
      <c r="E571" s="258">
        <v>0</v>
      </c>
      <c r="F571" s="258">
        <v>0</v>
      </c>
      <c r="G571" s="258">
        <v>0</v>
      </c>
      <c r="H571" s="258">
        <v>0</v>
      </c>
      <c r="I571" s="258">
        <v>0</v>
      </c>
      <c r="J571" s="258">
        <v>0</v>
      </c>
      <c r="K571" s="259">
        <v>0</v>
      </c>
      <c r="L571" s="258">
        <v>0</v>
      </c>
      <c r="M571" s="258">
        <v>0</v>
      </c>
      <c r="N571" s="258">
        <v>0</v>
      </c>
      <c r="O571" s="258">
        <v>658163.96</v>
      </c>
      <c r="P571" s="258">
        <v>0</v>
      </c>
      <c r="Q571" s="258">
        <v>0</v>
      </c>
      <c r="R571" s="258">
        <v>0</v>
      </c>
      <c r="S571" s="258">
        <v>0</v>
      </c>
      <c r="T571" s="258">
        <v>0</v>
      </c>
      <c r="U571" s="258">
        <v>0</v>
      </c>
      <c r="V571" s="258">
        <v>0</v>
      </c>
      <c r="W571" s="258">
        <v>0</v>
      </c>
      <c r="X571" s="258">
        <v>0</v>
      </c>
      <c r="Y571" s="258">
        <v>0</v>
      </c>
      <c r="Z571" s="258">
        <v>0</v>
      </c>
      <c r="AA571" s="258">
        <v>0</v>
      </c>
      <c r="AB571" s="260">
        <v>2020</v>
      </c>
    </row>
    <row r="572" spans="1:28" s="6" customFormat="1" ht="35.25" customHeight="1" x14ac:dyDescent="0.5">
      <c r="A572" s="6">
        <v>1</v>
      </c>
      <c r="B572" s="225">
        <f>SUBTOTAL(103,$A$7:A572)</f>
        <v>541</v>
      </c>
      <c r="C572" s="254" t="s">
        <v>2422</v>
      </c>
      <c r="D572" s="255">
        <v>216819.73</v>
      </c>
      <c r="E572" s="258">
        <v>0</v>
      </c>
      <c r="F572" s="258">
        <v>0</v>
      </c>
      <c r="G572" s="258">
        <v>0</v>
      </c>
      <c r="H572" s="258">
        <v>0</v>
      </c>
      <c r="I572" s="258">
        <v>216819.73</v>
      </c>
      <c r="J572" s="258">
        <v>0</v>
      </c>
      <c r="K572" s="259">
        <v>0</v>
      </c>
      <c r="L572" s="258">
        <v>0</v>
      </c>
      <c r="M572" s="258">
        <v>0</v>
      </c>
      <c r="N572" s="258">
        <v>0</v>
      </c>
      <c r="O572" s="258">
        <v>0</v>
      </c>
      <c r="P572" s="258">
        <v>0</v>
      </c>
      <c r="Q572" s="258">
        <v>0</v>
      </c>
      <c r="R572" s="258">
        <v>0</v>
      </c>
      <c r="S572" s="258">
        <v>0</v>
      </c>
      <c r="T572" s="258">
        <v>0</v>
      </c>
      <c r="U572" s="258">
        <v>0</v>
      </c>
      <c r="V572" s="258">
        <v>0</v>
      </c>
      <c r="W572" s="258">
        <v>0</v>
      </c>
      <c r="X572" s="258">
        <v>0</v>
      </c>
      <c r="Y572" s="258">
        <v>0</v>
      </c>
      <c r="Z572" s="258">
        <v>0</v>
      </c>
      <c r="AA572" s="258">
        <v>0</v>
      </c>
      <c r="AB572" s="260">
        <v>2020</v>
      </c>
    </row>
    <row r="573" spans="1:28" s="6" customFormat="1" ht="35.25" customHeight="1" x14ac:dyDescent="0.5">
      <c r="A573" s="6">
        <v>1</v>
      </c>
      <c r="B573" s="225">
        <f>SUBTOTAL(103,$A$7:A573)</f>
        <v>542</v>
      </c>
      <c r="C573" s="254" t="s">
        <v>2259</v>
      </c>
      <c r="D573" s="255">
        <f t="shared" si="44"/>
        <v>164029.79999999999</v>
      </c>
      <c r="E573" s="258">
        <v>0</v>
      </c>
      <c r="F573" s="258">
        <v>0</v>
      </c>
      <c r="G573" s="258">
        <v>0</v>
      </c>
      <c r="H573" s="258">
        <v>0</v>
      </c>
      <c r="I573" s="258">
        <v>0</v>
      </c>
      <c r="J573" s="258">
        <v>0</v>
      </c>
      <c r="K573" s="259">
        <v>0</v>
      </c>
      <c r="L573" s="258">
        <v>0</v>
      </c>
      <c r="M573" s="258">
        <v>0</v>
      </c>
      <c r="N573" s="258">
        <v>0</v>
      </c>
      <c r="O573" s="258">
        <v>0</v>
      </c>
      <c r="P573" s="258">
        <v>164029.79999999999</v>
      </c>
      <c r="Q573" s="258">
        <v>0</v>
      </c>
      <c r="R573" s="258">
        <v>0</v>
      </c>
      <c r="S573" s="258">
        <v>0</v>
      </c>
      <c r="T573" s="258">
        <v>0</v>
      </c>
      <c r="U573" s="258">
        <v>0</v>
      </c>
      <c r="V573" s="258">
        <v>0</v>
      </c>
      <c r="W573" s="258">
        <v>0</v>
      </c>
      <c r="X573" s="258">
        <v>0</v>
      </c>
      <c r="Y573" s="258">
        <v>0</v>
      </c>
      <c r="Z573" s="258">
        <v>0</v>
      </c>
      <c r="AA573" s="258">
        <v>0</v>
      </c>
      <c r="AB573" s="260">
        <v>2020</v>
      </c>
    </row>
    <row r="574" spans="1:28" s="6" customFormat="1" ht="35.25" customHeight="1" x14ac:dyDescent="0.5">
      <c r="B574" s="253" t="s">
        <v>2260</v>
      </c>
      <c r="C574" s="254"/>
      <c r="D574" s="255">
        <f t="shared" ref="D574:AA574" si="45">SUM(D575:D577)</f>
        <v>731071.47</v>
      </c>
      <c r="E574" s="255">
        <f t="shared" si="45"/>
        <v>0</v>
      </c>
      <c r="F574" s="255">
        <f t="shared" si="45"/>
        <v>0</v>
      </c>
      <c r="G574" s="255">
        <f t="shared" si="45"/>
        <v>526489.5</v>
      </c>
      <c r="H574" s="255">
        <f t="shared" si="45"/>
        <v>0</v>
      </c>
      <c r="I574" s="255">
        <f t="shared" si="45"/>
        <v>0</v>
      </c>
      <c r="J574" s="255">
        <f t="shared" si="45"/>
        <v>0</v>
      </c>
      <c r="K574" s="257">
        <f t="shared" si="45"/>
        <v>0</v>
      </c>
      <c r="L574" s="255">
        <f t="shared" si="45"/>
        <v>0</v>
      </c>
      <c r="M574" s="255">
        <f t="shared" si="45"/>
        <v>0</v>
      </c>
      <c r="N574" s="255">
        <f t="shared" si="45"/>
        <v>0</v>
      </c>
      <c r="O574" s="255">
        <f t="shared" si="45"/>
        <v>204581.97</v>
      </c>
      <c r="P574" s="255">
        <f t="shared" si="45"/>
        <v>0</v>
      </c>
      <c r="Q574" s="255">
        <f t="shared" si="45"/>
        <v>0</v>
      </c>
      <c r="R574" s="255">
        <f t="shared" si="45"/>
        <v>0</v>
      </c>
      <c r="S574" s="255">
        <f t="shared" si="45"/>
        <v>0</v>
      </c>
      <c r="T574" s="255">
        <f t="shared" si="45"/>
        <v>0</v>
      </c>
      <c r="U574" s="255">
        <f t="shared" si="45"/>
        <v>0</v>
      </c>
      <c r="V574" s="255">
        <f t="shared" si="45"/>
        <v>0</v>
      </c>
      <c r="W574" s="255">
        <f t="shared" si="45"/>
        <v>0</v>
      </c>
      <c r="X574" s="255">
        <f t="shared" si="45"/>
        <v>0</v>
      </c>
      <c r="Y574" s="255">
        <f t="shared" si="45"/>
        <v>0</v>
      </c>
      <c r="Z574" s="255">
        <f t="shared" si="45"/>
        <v>0</v>
      </c>
      <c r="AA574" s="255">
        <f t="shared" si="45"/>
        <v>0</v>
      </c>
      <c r="AB574" s="256" t="s">
        <v>890</v>
      </c>
    </row>
    <row r="575" spans="1:28" s="6" customFormat="1" ht="35.25" customHeight="1" x14ac:dyDescent="0.5">
      <c r="A575" s="6">
        <v>1</v>
      </c>
      <c r="B575" s="225">
        <f>SUBTOTAL(103,$A$7:A575)</f>
        <v>543</v>
      </c>
      <c r="C575" s="254" t="s">
        <v>2261</v>
      </c>
      <c r="D575" s="255">
        <f>E575+F575+G575+H575+I575+J575+L575+M575+N575+O575+P575+Q575+R575+S575+T575+U575+V575+W575+X575+Y575+Z575+AA575</f>
        <v>230565</v>
      </c>
      <c r="E575" s="258">
        <v>0</v>
      </c>
      <c r="F575" s="258">
        <v>0</v>
      </c>
      <c r="G575" s="258">
        <v>230565</v>
      </c>
      <c r="H575" s="258">
        <v>0</v>
      </c>
      <c r="I575" s="258">
        <v>0</v>
      </c>
      <c r="J575" s="258">
        <v>0</v>
      </c>
      <c r="K575" s="259">
        <v>0</v>
      </c>
      <c r="L575" s="258">
        <v>0</v>
      </c>
      <c r="M575" s="258">
        <v>0</v>
      </c>
      <c r="N575" s="258">
        <v>0</v>
      </c>
      <c r="O575" s="258">
        <v>0</v>
      </c>
      <c r="P575" s="258">
        <v>0</v>
      </c>
      <c r="Q575" s="258">
        <v>0</v>
      </c>
      <c r="R575" s="258">
        <v>0</v>
      </c>
      <c r="S575" s="258">
        <v>0</v>
      </c>
      <c r="T575" s="258">
        <v>0</v>
      </c>
      <c r="U575" s="258">
        <v>0</v>
      </c>
      <c r="V575" s="258">
        <v>0</v>
      </c>
      <c r="W575" s="258">
        <v>0</v>
      </c>
      <c r="X575" s="258">
        <v>0</v>
      </c>
      <c r="Y575" s="258">
        <v>0</v>
      </c>
      <c r="Z575" s="258">
        <v>0</v>
      </c>
      <c r="AA575" s="258">
        <v>0</v>
      </c>
      <c r="AB575" s="260">
        <v>2020</v>
      </c>
    </row>
    <row r="576" spans="1:28" s="6" customFormat="1" ht="35.25" customHeight="1" x14ac:dyDescent="0.5">
      <c r="A576" s="6">
        <v>1</v>
      </c>
      <c r="B576" s="225">
        <f>SUBTOTAL(103,$A$7:A576)</f>
        <v>544</v>
      </c>
      <c r="C576" s="254" t="s">
        <v>2423</v>
      </c>
      <c r="D576" s="255">
        <f>E576+F576+G576+H576+I576+J576+L576+M576+N576+O576+P576+Q576+R576+S576+T576+U576+V576+W576+X576+Y576+Z576+AA576</f>
        <v>204581.97</v>
      </c>
      <c r="E576" s="258">
        <v>0</v>
      </c>
      <c r="F576" s="258">
        <v>0</v>
      </c>
      <c r="G576" s="258">
        <v>0</v>
      </c>
      <c r="H576" s="258">
        <v>0</v>
      </c>
      <c r="I576" s="258">
        <v>0</v>
      </c>
      <c r="J576" s="258">
        <v>0</v>
      </c>
      <c r="K576" s="259">
        <v>0</v>
      </c>
      <c r="L576" s="258">
        <v>0</v>
      </c>
      <c r="M576" s="258">
        <v>0</v>
      </c>
      <c r="N576" s="258">
        <v>0</v>
      </c>
      <c r="O576" s="258">
        <v>204581.97</v>
      </c>
      <c r="P576" s="258">
        <v>0</v>
      </c>
      <c r="Q576" s="258">
        <v>0</v>
      </c>
      <c r="R576" s="258">
        <v>0</v>
      </c>
      <c r="S576" s="258">
        <v>0</v>
      </c>
      <c r="T576" s="258">
        <v>0</v>
      </c>
      <c r="U576" s="258">
        <v>0</v>
      </c>
      <c r="V576" s="258">
        <v>0</v>
      </c>
      <c r="W576" s="258">
        <v>0</v>
      </c>
      <c r="X576" s="258">
        <v>0</v>
      </c>
      <c r="Y576" s="258">
        <v>0</v>
      </c>
      <c r="Z576" s="258">
        <v>0</v>
      </c>
      <c r="AA576" s="258">
        <v>0</v>
      </c>
      <c r="AB576" s="260">
        <v>2020</v>
      </c>
    </row>
    <row r="577" spans="1:28" s="6" customFormat="1" ht="35.25" customHeight="1" x14ac:dyDescent="0.5">
      <c r="A577" s="6">
        <v>1</v>
      </c>
      <c r="B577" s="225">
        <f>SUBTOTAL(103,$A$7:A577)</f>
        <v>545</v>
      </c>
      <c r="C577" s="254" t="s">
        <v>2262</v>
      </c>
      <c r="D577" s="255">
        <f>E577+F577+G577+H577+I577+J577+L577+M577+N577+O577+P577+Q577+R577+S577+T577+U577+V577+W577+X577+Y577+Z577+AA577</f>
        <v>295924.5</v>
      </c>
      <c r="E577" s="258">
        <v>0</v>
      </c>
      <c r="F577" s="258">
        <v>0</v>
      </c>
      <c r="G577" s="258">
        <v>295924.5</v>
      </c>
      <c r="H577" s="258">
        <v>0</v>
      </c>
      <c r="I577" s="258">
        <v>0</v>
      </c>
      <c r="J577" s="258">
        <v>0</v>
      </c>
      <c r="K577" s="259">
        <v>0</v>
      </c>
      <c r="L577" s="258">
        <v>0</v>
      </c>
      <c r="M577" s="258">
        <v>0</v>
      </c>
      <c r="N577" s="258">
        <v>0</v>
      </c>
      <c r="O577" s="258">
        <v>0</v>
      </c>
      <c r="P577" s="258">
        <v>0</v>
      </c>
      <c r="Q577" s="258">
        <v>0</v>
      </c>
      <c r="R577" s="258">
        <v>0</v>
      </c>
      <c r="S577" s="258">
        <v>0</v>
      </c>
      <c r="T577" s="258">
        <v>0</v>
      </c>
      <c r="U577" s="258">
        <v>0</v>
      </c>
      <c r="V577" s="258">
        <v>0</v>
      </c>
      <c r="W577" s="258">
        <v>0</v>
      </c>
      <c r="X577" s="258">
        <v>0</v>
      </c>
      <c r="Y577" s="258">
        <v>0</v>
      </c>
      <c r="Z577" s="258">
        <v>0</v>
      </c>
      <c r="AA577" s="258">
        <v>0</v>
      </c>
      <c r="AB577" s="260">
        <v>2020</v>
      </c>
    </row>
    <row r="578" spans="1:28" s="6" customFormat="1" ht="35.25" customHeight="1" x14ac:dyDescent="0.5">
      <c r="B578" s="254" t="s">
        <v>880</v>
      </c>
      <c r="C578" s="254"/>
      <c r="D578" s="255">
        <f>SUM(D579:D581)</f>
        <v>999257.32</v>
      </c>
      <c r="E578" s="255">
        <f t="shared" ref="E578:AA578" si="46">SUM(E579:E581)</f>
        <v>0</v>
      </c>
      <c r="F578" s="255">
        <f t="shared" si="46"/>
        <v>161860.35</v>
      </c>
      <c r="G578" s="255">
        <f t="shared" si="46"/>
        <v>460384.97</v>
      </c>
      <c r="H578" s="255">
        <f t="shared" si="46"/>
        <v>0</v>
      </c>
      <c r="I578" s="255">
        <f t="shared" si="46"/>
        <v>0</v>
      </c>
      <c r="J578" s="255">
        <f t="shared" si="46"/>
        <v>0</v>
      </c>
      <c r="K578" s="257">
        <f t="shared" si="46"/>
        <v>0</v>
      </c>
      <c r="L578" s="255">
        <f t="shared" si="46"/>
        <v>0</v>
      </c>
      <c r="M578" s="255">
        <f t="shared" si="46"/>
        <v>0</v>
      </c>
      <c r="N578" s="255">
        <f t="shared" si="46"/>
        <v>0</v>
      </c>
      <c r="O578" s="255">
        <f t="shared" si="46"/>
        <v>0</v>
      </c>
      <c r="P578" s="255">
        <f t="shared" si="46"/>
        <v>377012</v>
      </c>
      <c r="Q578" s="255">
        <f t="shared" si="46"/>
        <v>0</v>
      </c>
      <c r="R578" s="255">
        <f t="shared" si="46"/>
        <v>0</v>
      </c>
      <c r="S578" s="255">
        <f t="shared" si="46"/>
        <v>0</v>
      </c>
      <c r="T578" s="255">
        <f t="shared" si="46"/>
        <v>0</v>
      </c>
      <c r="U578" s="255">
        <f t="shared" si="46"/>
        <v>0</v>
      </c>
      <c r="V578" s="255">
        <f t="shared" si="46"/>
        <v>0</v>
      </c>
      <c r="W578" s="255">
        <f t="shared" si="46"/>
        <v>0</v>
      </c>
      <c r="X578" s="255">
        <f t="shared" si="46"/>
        <v>0</v>
      </c>
      <c r="Y578" s="255">
        <f t="shared" si="46"/>
        <v>0</v>
      </c>
      <c r="Z578" s="255">
        <f t="shared" si="46"/>
        <v>0</v>
      </c>
      <c r="AA578" s="255">
        <f t="shared" si="46"/>
        <v>0</v>
      </c>
      <c r="AB578" s="256" t="s">
        <v>890</v>
      </c>
    </row>
    <row r="579" spans="1:28" s="6" customFormat="1" ht="35.25" customHeight="1" x14ac:dyDescent="0.5">
      <c r="A579" s="6">
        <v>1</v>
      </c>
      <c r="B579" s="225">
        <f>SUBTOTAL(103,$A$7:A579)</f>
        <v>546</v>
      </c>
      <c r="C579" s="254" t="s">
        <v>2263</v>
      </c>
      <c r="D579" s="255">
        <f>E579+F579+G579+H579+I579+J579+L579+M579+N579+O579+P579+Q579+R579+S579+T579+U579+V579+W579+X579+Y579+Z579+AA579</f>
        <v>37496.1</v>
      </c>
      <c r="E579" s="258">
        <v>0</v>
      </c>
      <c r="F579" s="258">
        <v>0</v>
      </c>
      <c r="G579" s="258">
        <v>37496.1</v>
      </c>
      <c r="H579" s="258">
        <v>0</v>
      </c>
      <c r="I579" s="258">
        <v>0</v>
      </c>
      <c r="J579" s="258">
        <v>0</v>
      </c>
      <c r="K579" s="259">
        <v>0</v>
      </c>
      <c r="L579" s="258">
        <v>0</v>
      </c>
      <c r="M579" s="258">
        <v>0</v>
      </c>
      <c r="N579" s="258">
        <v>0</v>
      </c>
      <c r="O579" s="258">
        <v>0</v>
      </c>
      <c r="P579" s="258">
        <v>0</v>
      </c>
      <c r="Q579" s="258">
        <v>0</v>
      </c>
      <c r="R579" s="258">
        <v>0</v>
      </c>
      <c r="S579" s="258">
        <v>0</v>
      </c>
      <c r="T579" s="258">
        <v>0</v>
      </c>
      <c r="U579" s="258">
        <v>0</v>
      </c>
      <c r="V579" s="258">
        <v>0</v>
      </c>
      <c r="W579" s="258">
        <v>0</v>
      </c>
      <c r="X579" s="258">
        <v>0</v>
      </c>
      <c r="Y579" s="258">
        <v>0</v>
      </c>
      <c r="Z579" s="258">
        <v>0</v>
      </c>
      <c r="AA579" s="258">
        <v>0</v>
      </c>
      <c r="AB579" s="260">
        <v>2020</v>
      </c>
    </row>
    <row r="580" spans="1:28" s="6" customFormat="1" ht="35.25" customHeight="1" x14ac:dyDescent="0.5">
      <c r="A580" s="6">
        <v>1</v>
      </c>
      <c r="B580" s="225">
        <f>SUBTOTAL(103,$A$7:A580)</f>
        <v>547</v>
      </c>
      <c r="C580" s="254" t="s">
        <v>2424</v>
      </c>
      <c r="D580" s="255">
        <f>E580+F580+G580+H580+I580+J580+L580+M580+N580+O580+P580+Q580+R580+S580+T580+U580+V580+W580+X580+Y580+Z580+AA580</f>
        <v>584749.22</v>
      </c>
      <c r="E580" s="258">
        <v>0</v>
      </c>
      <c r="F580" s="258">
        <v>161860.35</v>
      </c>
      <c r="G580" s="258">
        <v>422888.87</v>
      </c>
      <c r="H580" s="258">
        <v>0</v>
      </c>
      <c r="I580" s="258">
        <v>0</v>
      </c>
      <c r="J580" s="258">
        <v>0</v>
      </c>
      <c r="K580" s="259">
        <v>0</v>
      </c>
      <c r="L580" s="258">
        <v>0</v>
      </c>
      <c r="M580" s="258">
        <v>0</v>
      </c>
      <c r="N580" s="258">
        <v>0</v>
      </c>
      <c r="O580" s="258">
        <v>0</v>
      </c>
      <c r="P580" s="258">
        <v>0</v>
      </c>
      <c r="Q580" s="258">
        <v>0</v>
      </c>
      <c r="R580" s="258">
        <v>0</v>
      </c>
      <c r="S580" s="258">
        <v>0</v>
      </c>
      <c r="T580" s="258">
        <v>0</v>
      </c>
      <c r="U580" s="258">
        <v>0</v>
      </c>
      <c r="V580" s="258">
        <v>0</v>
      </c>
      <c r="W580" s="258">
        <v>0</v>
      </c>
      <c r="X580" s="258">
        <v>0</v>
      </c>
      <c r="Y580" s="258">
        <v>0</v>
      </c>
      <c r="Z580" s="258">
        <v>0</v>
      </c>
      <c r="AA580" s="258">
        <v>0</v>
      </c>
      <c r="AB580" s="260">
        <v>2020</v>
      </c>
    </row>
    <row r="581" spans="1:28" s="6" customFormat="1" ht="35.25" x14ac:dyDescent="0.5">
      <c r="A581" s="6">
        <v>1</v>
      </c>
      <c r="B581" s="225">
        <f>SUBTOTAL(103,$A$7:A581)</f>
        <v>548</v>
      </c>
      <c r="C581" s="254" t="s">
        <v>2264</v>
      </c>
      <c r="D581" s="255">
        <f>E581+F581+G581+H581+I581+J581+L581+M581+N581+O581+P581+Q581+R581+S581+T581+U581+V581+W581+X581+Y581+Z581+AA581</f>
        <v>377012</v>
      </c>
      <c r="E581" s="258">
        <v>0</v>
      </c>
      <c r="F581" s="258">
        <v>0</v>
      </c>
      <c r="G581" s="258">
        <v>0</v>
      </c>
      <c r="H581" s="258">
        <v>0</v>
      </c>
      <c r="I581" s="258">
        <v>0</v>
      </c>
      <c r="J581" s="258">
        <v>0</v>
      </c>
      <c r="K581" s="259">
        <v>0</v>
      </c>
      <c r="L581" s="258">
        <v>0</v>
      </c>
      <c r="M581" s="258">
        <v>0</v>
      </c>
      <c r="N581" s="258">
        <v>0</v>
      </c>
      <c r="O581" s="258">
        <v>0</v>
      </c>
      <c r="P581" s="258">
        <v>377012</v>
      </c>
      <c r="Q581" s="258">
        <v>0</v>
      </c>
      <c r="R581" s="258">
        <v>0</v>
      </c>
      <c r="S581" s="258">
        <v>0</v>
      </c>
      <c r="T581" s="258">
        <v>0</v>
      </c>
      <c r="U581" s="258">
        <v>0</v>
      </c>
      <c r="V581" s="258">
        <v>0</v>
      </c>
      <c r="W581" s="258">
        <v>0</v>
      </c>
      <c r="X581" s="258">
        <v>0</v>
      </c>
      <c r="Y581" s="258">
        <v>0</v>
      </c>
      <c r="Z581" s="258">
        <v>0</v>
      </c>
      <c r="AA581" s="258">
        <v>0</v>
      </c>
      <c r="AB581" s="260">
        <v>2020</v>
      </c>
    </row>
    <row r="582" spans="1:28" s="6" customFormat="1" ht="35.25" x14ac:dyDescent="0.5">
      <c r="B582" s="253" t="s">
        <v>847</v>
      </c>
      <c r="C582" s="254"/>
      <c r="D582" s="255">
        <f>SUM(D583:D587)</f>
        <v>1986455</v>
      </c>
      <c r="E582" s="255">
        <f t="shared" ref="E582:AA582" si="47">SUM(E583:E587)</f>
        <v>0</v>
      </c>
      <c r="F582" s="255">
        <f t="shared" si="47"/>
        <v>0</v>
      </c>
      <c r="G582" s="255">
        <f t="shared" si="47"/>
        <v>164320</v>
      </c>
      <c r="H582" s="255">
        <f t="shared" si="47"/>
        <v>0</v>
      </c>
      <c r="I582" s="255">
        <f t="shared" si="47"/>
        <v>0</v>
      </c>
      <c r="J582" s="255">
        <f t="shared" si="47"/>
        <v>0</v>
      </c>
      <c r="K582" s="255">
        <f t="shared" si="47"/>
        <v>0</v>
      </c>
      <c r="L582" s="255">
        <f t="shared" si="47"/>
        <v>0</v>
      </c>
      <c r="M582" s="255">
        <f t="shared" si="47"/>
        <v>0</v>
      </c>
      <c r="N582" s="255">
        <f t="shared" si="47"/>
        <v>777240</v>
      </c>
      <c r="O582" s="255">
        <f t="shared" si="47"/>
        <v>1044895</v>
      </c>
      <c r="P582" s="255">
        <f t="shared" si="47"/>
        <v>0</v>
      </c>
      <c r="Q582" s="255">
        <f t="shared" si="47"/>
        <v>0</v>
      </c>
      <c r="R582" s="255">
        <f t="shared" si="47"/>
        <v>0</v>
      </c>
      <c r="S582" s="255">
        <f t="shared" si="47"/>
        <v>0</v>
      </c>
      <c r="T582" s="255">
        <f t="shared" si="47"/>
        <v>0</v>
      </c>
      <c r="U582" s="255">
        <f t="shared" si="47"/>
        <v>0</v>
      </c>
      <c r="V582" s="255">
        <f t="shared" si="47"/>
        <v>0</v>
      </c>
      <c r="W582" s="255">
        <f t="shared" si="47"/>
        <v>0</v>
      </c>
      <c r="X582" s="255">
        <f t="shared" si="47"/>
        <v>0</v>
      </c>
      <c r="Y582" s="255">
        <f t="shared" si="47"/>
        <v>0</v>
      </c>
      <c r="Z582" s="255">
        <f t="shared" si="47"/>
        <v>0</v>
      </c>
      <c r="AA582" s="255">
        <f t="shared" si="47"/>
        <v>0</v>
      </c>
      <c r="AB582" s="256" t="s">
        <v>890</v>
      </c>
    </row>
    <row r="583" spans="1:28" s="6" customFormat="1" ht="35.25" x14ac:dyDescent="0.5">
      <c r="A583" s="6">
        <v>1</v>
      </c>
      <c r="B583" s="225">
        <f>SUBTOTAL(103,$A$7:A583)</f>
        <v>549</v>
      </c>
      <c r="C583" s="254" t="s">
        <v>2425</v>
      </c>
      <c r="D583" s="255">
        <f>E583+F583+G583+H583+I583+J583+L583+M583+N583+O583+P583+Q583+R583+S583+T583+U583+V583+W583+X583+Y583+Z583+AA583</f>
        <v>164320</v>
      </c>
      <c r="E583" s="258">
        <v>0</v>
      </c>
      <c r="F583" s="258">
        <v>0</v>
      </c>
      <c r="G583" s="258">
        <v>164320</v>
      </c>
      <c r="H583" s="258">
        <v>0</v>
      </c>
      <c r="I583" s="258">
        <v>0</v>
      </c>
      <c r="J583" s="258">
        <v>0</v>
      </c>
      <c r="K583" s="259">
        <v>0</v>
      </c>
      <c r="L583" s="258">
        <v>0</v>
      </c>
      <c r="M583" s="258">
        <v>0</v>
      </c>
      <c r="N583" s="258">
        <v>0</v>
      </c>
      <c r="O583" s="258">
        <v>0</v>
      </c>
      <c r="P583" s="258">
        <v>0</v>
      </c>
      <c r="Q583" s="258">
        <v>0</v>
      </c>
      <c r="R583" s="258">
        <v>0</v>
      </c>
      <c r="S583" s="258">
        <v>0</v>
      </c>
      <c r="T583" s="258">
        <v>0</v>
      </c>
      <c r="U583" s="258">
        <v>0</v>
      </c>
      <c r="V583" s="258">
        <v>0</v>
      </c>
      <c r="W583" s="258">
        <v>0</v>
      </c>
      <c r="X583" s="258">
        <v>0</v>
      </c>
      <c r="Y583" s="258">
        <v>0</v>
      </c>
      <c r="Z583" s="258">
        <v>0</v>
      </c>
      <c r="AA583" s="258">
        <v>0</v>
      </c>
      <c r="AB583" s="260">
        <v>2020</v>
      </c>
    </row>
    <row r="584" spans="1:28" s="6" customFormat="1" ht="35.25" x14ac:dyDescent="0.5">
      <c r="A584" s="6">
        <v>1</v>
      </c>
      <c r="B584" s="225">
        <f>SUBTOTAL(103,$A$7:A584)</f>
        <v>550</v>
      </c>
      <c r="C584" s="254" t="s">
        <v>2426</v>
      </c>
      <c r="D584" s="255">
        <f>E584+F584+G584+H584+I584+J584+L584+M584+N584+O584+P584+Q584+R584+S584+T584+U584+V584+W584+X584+Y584+Z584+AA584</f>
        <v>777240</v>
      </c>
      <c r="E584" s="258">
        <v>0</v>
      </c>
      <c r="F584" s="258">
        <v>0</v>
      </c>
      <c r="G584" s="258">
        <v>0</v>
      </c>
      <c r="H584" s="258">
        <v>0</v>
      </c>
      <c r="I584" s="258">
        <v>0</v>
      </c>
      <c r="J584" s="258">
        <v>0</v>
      </c>
      <c r="K584" s="259">
        <v>0</v>
      </c>
      <c r="L584" s="258">
        <v>0</v>
      </c>
      <c r="M584" s="258">
        <v>0</v>
      </c>
      <c r="N584" s="258">
        <v>777240</v>
      </c>
      <c r="O584" s="258">
        <v>0</v>
      </c>
      <c r="P584" s="258">
        <v>0</v>
      </c>
      <c r="Q584" s="258">
        <v>0</v>
      </c>
      <c r="R584" s="258">
        <v>0</v>
      </c>
      <c r="S584" s="258">
        <v>0</v>
      </c>
      <c r="T584" s="258">
        <v>0</v>
      </c>
      <c r="U584" s="258">
        <v>0</v>
      </c>
      <c r="V584" s="258">
        <v>0</v>
      </c>
      <c r="W584" s="258">
        <v>0</v>
      </c>
      <c r="X584" s="258">
        <v>0</v>
      </c>
      <c r="Y584" s="258">
        <v>0</v>
      </c>
      <c r="Z584" s="258">
        <v>0</v>
      </c>
      <c r="AA584" s="258">
        <v>0</v>
      </c>
      <c r="AB584" s="260">
        <v>2020</v>
      </c>
    </row>
    <row r="585" spans="1:28" s="6" customFormat="1" ht="35.25" x14ac:dyDescent="0.5">
      <c r="A585" s="6">
        <v>1</v>
      </c>
      <c r="B585" s="225">
        <f>SUBTOTAL(103,$A$7:A585)</f>
        <v>551</v>
      </c>
      <c r="C585" s="254" t="s">
        <v>2427</v>
      </c>
      <c r="D585" s="255">
        <f>E585+F585+G585+H585+I585+J585+L585+M585+N585+O585+P585+Q585+R585+S585+T585+U585+V585+W585+X585+Y585+Z585+AA585</f>
        <v>334627</v>
      </c>
      <c r="E585" s="258">
        <v>0</v>
      </c>
      <c r="F585" s="258">
        <v>0</v>
      </c>
      <c r="G585" s="258">
        <v>0</v>
      </c>
      <c r="H585" s="258">
        <v>0</v>
      </c>
      <c r="I585" s="258">
        <v>0</v>
      </c>
      <c r="J585" s="258">
        <v>0</v>
      </c>
      <c r="K585" s="259">
        <v>0</v>
      </c>
      <c r="L585" s="258">
        <v>0</v>
      </c>
      <c r="M585" s="258">
        <v>0</v>
      </c>
      <c r="N585" s="258">
        <v>0</v>
      </c>
      <c r="O585" s="258">
        <v>334627</v>
      </c>
      <c r="P585" s="258">
        <v>0</v>
      </c>
      <c r="Q585" s="258">
        <v>0</v>
      </c>
      <c r="R585" s="258">
        <v>0</v>
      </c>
      <c r="S585" s="258">
        <v>0</v>
      </c>
      <c r="T585" s="258">
        <v>0</v>
      </c>
      <c r="U585" s="258">
        <v>0</v>
      </c>
      <c r="V585" s="258">
        <v>0</v>
      </c>
      <c r="W585" s="258">
        <v>0</v>
      </c>
      <c r="X585" s="258">
        <v>0</v>
      </c>
      <c r="Y585" s="258">
        <v>0</v>
      </c>
      <c r="Z585" s="258">
        <v>0</v>
      </c>
      <c r="AA585" s="258">
        <v>0</v>
      </c>
      <c r="AB585" s="260">
        <v>2020</v>
      </c>
    </row>
    <row r="586" spans="1:28" s="6" customFormat="1" ht="35.25" x14ac:dyDescent="0.5">
      <c r="A586" s="6">
        <v>1</v>
      </c>
      <c r="B586" s="225">
        <f>SUBTOTAL(103,$A$7:A586)</f>
        <v>552</v>
      </c>
      <c r="C586" s="254" t="s">
        <v>2428</v>
      </c>
      <c r="D586" s="255">
        <f>E586+F586+G586+H586+I586+J586+L586+M586+N586+O586+P586+Q586+R586+S586+T586+U586+V586+W586+X586+Y586+Z586+AA586</f>
        <v>382704</v>
      </c>
      <c r="E586" s="258">
        <v>0</v>
      </c>
      <c r="F586" s="258">
        <v>0</v>
      </c>
      <c r="G586" s="258">
        <v>0</v>
      </c>
      <c r="H586" s="258">
        <v>0</v>
      </c>
      <c r="I586" s="258">
        <v>0</v>
      </c>
      <c r="J586" s="258">
        <v>0</v>
      </c>
      <c r="K586" s="259">
        <v>0</v>
      </c>
      <c r="L586" s="258">
        <v>0</v>
      </c>
      <c r="M586" s="258">
        <v>0</v>
      </c>
      <c r="N586" s="258">
        <v>0</v>
      </c>
      <c r="O586" s="258">
        <f>195571+187133</f>
        <v>382704</v>
      </c>
      <c r="P586" s="258">
        <v>0</v>
      </c>
      <c r="Q586" s="258">
        <v>0</v>
      </c>
      <c r="R586" s="258">
        <v>0</v>
      </c>
      <c r="S586" s="258">
        <v>0</v>
      </c>
      <c r="T586" s="258">
        <v>0</v>
      </c>
      <c r="U586" s="258">
        <v>0</v>
      </c>
      <c r="V586" s="258">
        <v>0</v>
      </c>
      <c r="W586" s="258">
        <v>0</v>
      </c>
      <c r="X586" s="258">
        <v>0</v>
      </c>
      <c r="Y586" s="258">
        <v>0</v>
      </c>
      <c r="Z586" s="258">
        <v>0</v>
      </c>
      <c r="AA586" s="258">
        <v>0</v>
      </c>
      <c r="AB586" s="260">
        <v>2020</v>
      </c>
    </row>
    <row r="587" spans="1:28" s="6" customFormat="1" ht="35.25" x14ac:dyDescent="0.5">
      <c r="A587" s="6">
        <v>1</v>
      </c>
      <c r="B587" s="225">
        <f>SUBTOTAL(103,$A$7:A587)</f>
        <v>553</v>
      </c>
      <c r="C587" s="254" t="s">
        <v>2429</v>
      </c>
      <c r="D587" s="255">
        <v>327564</v>
      </c>
      <c r="E587" s="258">
        <v>0</v>
      </c>
      <c r="F587" s="258">
        <v>0</v>
      </c>
      <c r="G587" s="258">
        <v>0</v>
      </c>
      <c r="H587" s="258">
        <v>0</v>
      </c>
      <c r="I587" s="258">
        <v>0</v>
      </c>
      <c r="J587" s="258">
        <v>0</v>
      </c>
      <c r="K587" s="259">
        <v>0</v>
      </c>
      <c r="L587" s="258">
        <v>0</v>
      </c>
      <c r="M587" s="258">
        <v>0</v>
      </c>
      <c r="N587" s="258">
        <v>0</v>
      </c>
      <c r="O587" s="258">
        <v>327564</v>
      </c>
      <c r="P587" s="258">
        <v>0</v>
      </c>
      <c r="Q587" s="258">
        <v>0</v>
      </c>
      <c r="R587" s="258">
        <v>0</v>
      </c>
      <c r="S587" s="258">
        <v>0</v>
      </c>
      <c r="T587" s="258">
        <v>0</v>
      </c>
      <c r="U587" s="258">
        <v>0</v>
      </c>
      <c r="V587" s="258">
        <v>0</v>
      </c>
      <c r="W587" s="258">
        <v>0</v>
      </c>
      <c r="X587" s="258">
        <v>0</v>
      </c>
      <c r="Y587" s="258">
        <v>0</v>
      </c>
      <c r="Z587" s="258">
        <v>0</v>
      </c>
      <c r="AA587" s="258">
        <v>0</v>
      </c>
      <c r="AB587" s="260">
        <v>2020</v>
      </c>
    </row>
    <row r="588" spans="1:28" s="6" customFormat="1" ht="35.25" x14ac:dyDescent="0.5">
      <c r="B588" s="253" t="s">
        <v>879</v>
      </c>
      <c r="C588" s="254"/>
      <c r="D588" s="255">
        <f t="shared" ref="D588:AA588" si="48">D589</f>
        <v>114543.06</v>
      </c>
      <c r="E588" s="255">
        <f t="shared" si="48"/>
        <v>0</v>
      </c>
      <c r="F588" s="255">
        <f t="shared" si="48"/>
        <v>0</v>
      </c>
      <c r="G588" s="255">
        <f t="shared" si="48"/>
        <v>0</v>
      </c>
      <c r="H588" s="255">
        <f t="shared" si="48"/>
        <v>0</v>
      </c>
      <c r="I588" s="255">
        <f t="shared" si="48"/>
        <v>0</v>
      </c>
      <c r="J588" s="255">
        <f t="shared" si="48"/>
        <v>0</v>
      </c>
      <c r="K588" s="257">
        <f t="shared" si="48"/>
        <v>0</v>
      </c>
      <c r="L588" s="255">
        <f t="shared" si="48"/>
        <v>0</v>
      </c>
      <c r="M588" s="255">
        <f t="shared" si="48"/>
        <v>0</v>
      </c>
      <c r="N588" s="255">
        <f t="shared" si="48"/>
        <v>0</v>
      </c>
      <c r="O588" s="255">
        <f t="shared" si="48"/>
        <v>114543.06</v>
      </c>
      <c r="P588" s="255">
        <f t="shared" si="48"/>
        <v>0</v>
      </c>
      <c r="Q588" s="255">
        <f t="shared" si="48"/>
        <v>0</v>
      </c>
      <c r="R588" s="255">
        <f t="shared" si="48"/>
        <v>0</v>
      </c>
      <c r="S588" s="255">
        <f t="shared" si="48"/>
        <v>0</v>
      </c>
      <c r="T588" s="255">
        <f t="shared" si="48"/>
        <v>0</v>
      </c>
      <c r="U588" s="255">
        <f t="shared" si="48"/>
        <v>0</v>
      </c>
      <c r="V588" s="255">
        <f t="shared" si="48"/>
        <v>0</v>
      </c>
      <c r="W588" s="255">
        <f t="shared" si="48"/>
        <v>0</v>
      </c>
      <c r="X588" s="255">
        <f t="shared" si="48"/>
        <v>0</v>
      </c>
      <c r="Y588" s="255">
        <f t="shared" si="48"/>
        <v>0</v>
      </c>
      <c r="Z588" s="255">
        <f t="shared" si="48"/>
        <v>0</v>
      </c>
      <c r="AA588" s="255">
        <f t="shared" si="48"/>
        <v>0</v>
      </c>
      <c r="AB588" s="256" t="s">
        <v>890</v>
      </c>
    </row>
    <row r="589" spans="1:28" s="6" customFormat="1" ht="35.25" x14ac:dyDescent="0.5">
      <c r="A589" s="6">
        <v>1</v>
      </c>
      <c r="B589" s="225">
        <f>SUBTOTAL(103,$A$7:A589)</f>
        <v>554</v>
      </c>
      <c r="C589" s="254" t="s">
        <v>2430</v>
      </c>
      <c r="D589" s="255">
        <f>E589+F589+G589+H589+I589+J589+L589+M589+N589+O589+P589+Q589+R589+S589+T589+U589+V589+W589+X589+Y589+Z589+AA589</f>
        <v>114543.06</v>
      </c>
      <c r="E589" s="258">
        <v>0</v>
      </c>
      <c r="F589" s="258">
        <v>0</v>
      </c>
      <c r="G589" s="258">
        <v>0</v>
      </c>
      <c r="H589" s="258">
        <v>0</v>
      </c>
      <c r="I589" s="258">
        <v>0</v>
      </c>
      <c r="J589" s="258">
        <v>0</v>
      </c>
      <c r="K589" s="259">
        <v>0</v>
      </c>
      <c r="L589" s="258">
        <v>0</v>
      </c>
      <c r="M589" s="258">
        <v>0</v>
      </c>
      <c r="N589" s="258">
        <v>0</v>
      </c>
      <c r="O589" s="258">
        <v>114543.06</v>
      </c>
      <c r="P589" s="258">
        <v>0</v>
      </c>
      <c r="Q589" s="258">
        <v>0</v>
      </c>
      <c r="R589" s="258">
        <v>0</v>
      </c>
      <c r="S589" s="258">
        <v>0</v>
      </c>
      <c r="T589" s="258">
        <v>0</v>
      </c>
      <c r="U589" s="258">
        <v>0</v>
      </c>
      <c r="V589" s="258">
        <v>0</v>
      </c>
      <c r="W589" s="258">
        <v>0</v>
      </c>
      <c r="X589" s="258">
        <v>0</v>
      </c>
      <c r="Y589" s="258">
        <v>0</v>
      </c>
      <c r="Z589" s="258">
        <v>0</v>
      </c>
      <c r="AA589" s="258">
        <v>0</v>
      </c>
      <c r="AB589" s="260">
        <v>2020</v>
      </c>
    </row>
  </sheetData>
  <autoFilter ref="A7:AB482" xr:uid="{00000000-0009-0000-0000-000004000000}"/>
  <mergeCells count="24">
    <mergeCell ref="Z3:Z4"/>
    <mergeCell ref="AA3:AA4"/>
    <mergeCell ref="T3:T4"/>
    <mergeCell ref="U3:U4"/>
    <mergeCell ref="V3:V4"/>
    <mergeCell ref="W3:W4"/>
    <mergeCell ref="X3:X4"/>
    <mergeCell ref="Y3:Y4"/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</mergeCells>
  <conditionalFormatting sqref="C590:C65528">
    <cfRule type="duplicateValues" dxfId="26" priority="101" stopIfTrue="1"/>
  </conditionalFormatting>
  <conditionalFormatting sqref="C22">
    <cfRule type="duplicateValues" dxfId="25" priority="9" stopIfTrue="1"/>
  </conditionalFormatting>
  <conditionalFormatting sqref="C40">
    <cfRule type="duplicateValues" dxfId="24" priority="8" stopIfTrue="1"/>
  </conditionalFormatting>
  <conditionalFormatting sqref="C26">
    <cfRule type="duplicateValues" dxfId="23" priority="7" stopIfTrue="1"/>
  </conditionalFormatting>
  <conditionalFormatting sqref="C29">
    <cfRule type="duplicateValues" dxfId="22" priority="6" stopIfTrue="1"/>
  </conditionalFormatting>
  <conditionalFormatting sqref="C437:C441 C7:C8 C273 C275 C277:C285 C443:C452 C454:C505 C225:C271 C380:C384 C387:C394">
    <cfRule type="duplicateValues" dxfId="21" priority="22" stopIfTrue="1"/>
  </conditionalFormatting>
  <conditionalFormatting sqref="C395:C396">
    <cfRule type="duplicateValues" dxfId="20" priority="21" stopIfTrue="1"/>
  </conditionalFormatting>
  <conditionalFormatting sqref="C402">
    <cfRule type="duplicateValues" dxfId="19" priority="20" stopIfTrue="1"/>
  </conditionalFormatting>
  <conditionalFormatting sqref="C401">
    <cfRule type="duplicateValues" dxfId="18" priority="19" stopIfTrue="1"/>
  </conditionalFormatting>
  <conditionalFormatting sqref="C400">
    <cfRule type="duplicateValues" dxfId="17" priority="18" stopIfTrue="1"/>
  </conditionalFormatting>
  <conditionalFormatting sqref="C399">
    <cfRule type="duplicateValues" dxfId="16" priority="17" stopIfTrue="1"/>
  </conditionalFormatting>
  <conditionalFormatting sqref="C398">
    <cfRule type="duplicateValues" dxfId="15" priority="16" stopIfTrue="1"/>
  </conditionalFormatting>
  <conditionalFormatting sqref="C397">
    <cfRule type="duplicateValues" dxfId="14" priority="15" stopIfTrue="1"/>
  </conditionalFormatting>
  <conditionalFormatting sqref="C272">
    <cfRule type="duplicateValues" dxfId="13" priority="14" stopIfTrue="1"/>
  </conditionalFormatting>
  <conditionalFormatting sqref="C274">
    <cfRule type="duplicateValues" dxfId="12" priority="13" stopIfTrue="1"/>
  </conditionalFormatting>
  <conditionalFormatting sqref="C276">
    <cfRule type="duplicateValues" dxfId="11" priority="12" stopIfTrue="1"/>
  </conditionalFormatting>
  <conditionalFormatting sqref="C442">
    <cfRule type="duplicateValues" dxfId="10" priority="11" stopIfTrue="1"/>
  </conditionalFormatting>
  <conditionalFormatting sqref="C453">
    <cfRule type="duplicateValues" dxfId="9" priority="10" stopIfTrue="1"/>
  </conditionalFormatting>
  <conditionalFormatting sqref="C7:C104 C188:C321 C323:C384 C387:C403 C436:C525">
    <cfRule type="duplicateValues" dxfId="8" priority="5" stopIfTrue="1"/>
  </conditionalFormatting>
  <conditionalFormatting sqref="C322">
    <cfRule type="duplicateValues" dxfId="7" priority="4" stopIfTrue="1"/>
  </conditionalFormatting>
  <conditionalFormatting sqref="C322">
    <cfRule type="duplicateValues" dxfId="6" priority="3" stopIfTrue="1"/>
  </conditionalFormatting>
  <conditionalFormatting sqref="C385:C386">
    <cfRule type="duplicateValues" dxfId="5" priority="2" stopIfTrue="1"/>
  </conditionalFormatting>
  <conditionalFormatting sqref="C385:C386">
    <cfRule type="duplicateValues" dxfId="4" priority="1" stopIfTrue="1"/>
  </conditionalFormatting>
  <conditionalFormatting sqref="C41:C74 C23:C25 C27:C28 C30:C39 C9:C21">
    <cfRule type="duplicateValues" dxfId="3" priority="23" stopIfTrue="1"/>
  </conditionalFormatting>
  <conditionalFormatting sqref="C323:C379 C286:C321">
    <cfRule type="duplicateValues" dxfId="2" priority="24" stopIfTrue="1"/>
  </conditionalFormatting>
  <conditionalFormatting sqref="C188:C224 C75:C104">
    <cfRule type="duplicateValues" dxfId="1" priority="25" stopIfTrue="1"/>
  </conditionalFormatting>
  <conditionalFormatting sqref="C188:C224 C9:C104">
    <cfRule type="duplicateValues" dxfId="0" priority="26" stopIfTrue="1"/>
  </conditionalFormatting>
  <pageMargins left="0.25" right="0.25" top="0.45" bottom="0.27" header="0.3" footer="0.3"/>
  <pageSetup paperSize="9" scale="1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C19"/>
  <sheetViews>
    <sheetView view="pageBreakPreview" topLeftCell="C4" zoomScale="40" zoomScaleNormal="55" zoomScaleSheetLayoutView="40" workbookViewId="0">
      <selection activeCell="AB29" sqref="AB29"/>
    </sheetView>
  </sheetViews>
  <sheetFormatPr defaultRowHeight="15" x14ac:dyDescent="0.25"/>
  <cols>
    <col min="1" max="2" width="0" style="118" hidden="1" customWidth="1"/>
    <col min="3" max="3" width="15.7109375" style="118" customWidth="1"/>
    <col min="4" max="4" width="106.85546875" style="118" customWidth="1"/>
    <col min="5" max="5" width="32.28515625" style="118" customWidth="1"/>
    <col min="6" max="6" width="23.7109375" style="118" customWidth="1"/>
    <col min="7" max="7" width="26.42578125" style="118" customWidth="1"/>
    <col min="8" max="8" width="26.5703125" style="118" customWidth="1"/>
    <col min="9" max="9" width="27.85546875" style="118" customWidth="1"/>
    <col min="10" max="10" width="28.140625" style="118" customWidth="1"/>
    <col min="11" max="11" width="24.28515625" style="118" customWidth="1"/>
    <col min="12" max="12" width="13.140625" style="118" customWidth="1"/>
    <col min="13" max="13" width="19.85546875" style="118" customWidth="1"/>
    <col min="14" max="14" width="34.42578125" style="118" customWidth="1"/>
    <col min="15" max="15" width="18.140625" style="118" customWidth="1"/>
    <col min="16" max="16" width="24.7109375" style="118" customWidth="1"/>
    <col min="17" max="17" width="23.28515625" style="118" customWidth="1"/>
    <col min="18" max="18" width="18.42578125" style="118" customWidth="1"/>
    <col min="19" max="19" width="27.85546875" style="118" customWidth="1"/>
    <col min="20" max="20" width="49.42578125" style="118" customWidth="1"/>
    <col min="21" max="21" width="32.140625" style="118" customWidth="1"/>
    <col min="22" max="22" width="22.42578125" style="118" customWidth="1"/>
    <col min="23" max="23" width="33" style="118" customWidth="1"/>
    <col min="24" max="24" width="58.85546875" style="118" customWidth="1"/>
    <col min="25" max="25" width="37.85546875" style="118" customWidth="1"/>
    <col min="26" max="26" width="17.5703125" style="118" customWidth="1"/>
    <col min="27" max="27" width="16.5703125" style="118" customWidth="1"/>
    <col min="28" max="28" width="28.7109375" style="118" customWidth="1"/>
    <col min="29" max="29" width="23.85546875" style="118" customWidth="1"/>
    <col min="30" max="256" width="9.140625" style="118"/>
    <col min="257" max="258" width="0" style="118" hidden="1" customWidth="1"/>
    <col min="259" max="259" width="15.7109375" style="118" customWidth="1"/>
    <col min="260" max="260" width="93.42578125" style="118" customWidth="1"/>
    <col min="261" max="261" width="32.28515625" style="118" customWidth="1"/>
    <col min="262" max="262" width="23.7109375" style="118" customWidth="1"/>
    <col min="263" max="263" width="26.42578125" style="118" customWidth="1"/>
    <col min="264" max="264" width="26.5703125" style="118" customWidth="1"/>
    <col min="265" max="265" width="27.85546875" style="118" customWidth="1"/>
    <col min="266" max="266" width="28.140625" style="118" customWidth="1"/>
    <col min="267" max="267" width="24.28515625" style="118" customWidth="1"/>
    <col min="268" max="268" width="13.140625" style="118" customWidth="1"/>
    <col min="269" max="269" width="19.85546875" style="118" customWidth="1"/>
    <col min="270" max="270" width="34.42578125" style="118" customWidth="1"/>
    <col min="271" max="271" width="18.140625" style="118" customWidth="1"/>
    <col min="272" max="272" width="24.7109375" style="118" customWidth="1"/>
    <col min="273" max="273" width="23.28515625" style="118" customWidth="1"/>
    <col min="274" max="274" width="18.42578125" style="118" customWidth="1"/>
    <col min="275" max="275" width="27.85546875" style="118" customWidth="1"/>
    <col min="276" max="276" width="49.42578125" style="118" customWidth="1"/>
    <col min="277" max="277" width="32.140625" style="118" customWidth="1"/>
    <col min="278" max="278" width="22.42578125" style="118" customWidth="1"/>
    <col min="279" max="279" width="33" style="118" customWidth="1"/>
    <col min="280" max="280" width="58.85546875" style="118" customWidth="1"/>
    <col min="281" max="281" width="37.85546875" style="118" customWidth="1"/>
    <col min="282" max="282" width="17.5703125" style="118" customWidth="1"/>
    <col min="283" max="283" width="16.5703125" style="118" customWidth="1"/>
    <col min="284" max="284" width="28.7109375" style="118" customWidth="1"/>
    <col min="285" max="285" width="23.85546875" style="118" customWidth="1"/>
    <col min="286" max="512" width="9.140625" style="118"/>
    <col min="513" max="514" width="0" style="118" hidden="1" customWidth="1"/>
    <col min="515" max="515" width="15.7109375" style="118" customWidth="1"/>
    <col min="516" max="516" width="93.42578125" style="118" customWidth="1"/>
    <col min="517" max="517" width="32.28515625" style="118" customWidth="1"/>
    <col min="518" max="518" width="23.7109375" style="118" customWidth="1"/>
    <col min="519" max="519" width="26.42578125" style="118" customWidth="1"/>
    <col min="520" max="520" width="26.5703125" style="118" customWidth="1"/>
    <col min="521" max="521" width="27.85546875" style="118" customWidth="1"/>
    <col min="522" max="522" width="28.140625" style="118" customWidth="1"/>
    <col min="523" max="523" width="24.28515625" style="118" customWidth="1"/>
    <col min="524" max="524" width="13.140625" style="118" customWidth="1"/>
    <col min="525" max="525" width="19.85546875" style="118" customWidth="1"/>
    <col min="526" max="526" width="34.42578125" style="118" customWidth="1"/>
    <col min="527" max="527" width="18.140625" style="118" customWidth="1"/>
    <col min="528" max="528" width="24.7109375" style="118" customWidth="1"/>
    <col min="529" max="529" width="23.28515625" style="118" customWidth="1"/>
    <col min="530" max="530" width="18.42578125" style="118" customWidth="1"/>
    <col min="531" max="531" width="27.85546875" style="118" customWidth="1"/>
    <col min="532" max="532" width="49.42578125" style="118" customWidth="1"/>
    <col min="533" max="533" width="32.140625" style="118" customWidth="1"/>
    <col min="534" max="534" width="22.42578125" style="118" customWidth="1"/>
    <col min="535" max="535" width="33" style="118" customWidth="1"/>
    <col min="536" max="536" width="58.85546875" style="118" customWidth="1"/>
    <col min="537" max="537" width="37.85546875" style="118" customWidth="1"/>
    <col min="538" max="538" width="17.5703125" style="118" customWidth="1"/>
    <col min="539" max="539" width="16.5703125" style="118" customWidth="1"/>
    <col min="540" max="540" width="28.7109375" style="118" customWidth="1"/>
    <col min="541" max="541" width="23.85546875" style="118" customWidth="1"/>
    <col min="542" max="768" width="9.140625" style="118"/>
    <col min="769" max="770" width="0" style="118" hidden="1" customWidth="1"/>
    <col min="771" max="771" width="15.7109375" style="118" customWidth="1"/>
    <col min="772" max="772" width="93.42578125" style="118" customWidth="1"/>
    <col min="773" max="773" width="32.28515625" style="118" customWidth="1"/>
    <col min="774" max="774" width="23.7109375" style="118" customWidth="1"/>
    <col min="775" max="775" width="26.42578125" style="118" customWidth="1"/>
    <col min="776" max="776" width="26.5703125" style="118" customWidth="1"/>
    <col min="777" max="777" width="27.85546875" style="118" customWidth="1"/>
    <col min="778" max="778" width="28.140625" style="118" customWidth="1"/>
    <col min="779" max="779" width="24.28515625" style="118" customWidth="1"/>
    <col min="780" max="780" width="13.140625" style="118" customWidth="1"/>
    <col min="781" max="781" width="19.85546875" style="118" customWidth="1"/>
    <col min="782" max="782" width="34.42578125" style="118" customWidth="1"/>
    <col min="783" max="783" width="18.140625" style="118" customWidth="1"/>
    <col min="784" max="784" width="24.7109375" style="118" customWidth="1"/>
    <col min="785" max="785" width="23.28515625" style="118" customWidth="1"/>
    <col min="786" max="786" width="18.42578125" style="118" customWidth="1"/>
    <col min="787" max="787" width="27.85546875" style="118" customWidth="1"/>
    <col min="788" max="788" width="49.42578125" style="118" customWidth="1"/>
    <col min="789" max="789" width="32.140625" style="118" customWidth="1"/>
    <col min="790" max="790" width="22.42578125" style="118" customWidth="1"/>
    <col min="791" max="791" width="33" style="118" customWidth="1"/>
    <col min="792" max="792" width="58.85546875" style="118" customWidth="1"/>
    <col min="793" max="793" width="37.85546875" style="118" customWidth="1"/>
    <col min="794" max="794" width="17.5703125" style="118" customWidth="1"/>
    <col min="795" max="795" width="16.5703125" style="118" customWidth="1"/>
    <col min="796" max="796" width="28.7109375" style="118" customWidth="1"/>
    <col min="797" max="797" width="23.85546875" style="118" customWidth="1"/>
    <col min="798" max="1024" width="9.140625" style="118"/>
    <col min="1025" max="1026" width="0" style="118" hidden="1" customWidth="1"/>
    <col min="1027" max="1027" width="15.7109375" style="118" customWidth="1"/>
    <col min="1028" max="1028" width="93.42578125" style="118" customWidth="1"/>
    <col min="1029" max="1029" width="32.28515625" style="118" customWidth="1"/>
    <col min="1030" max="1030" width="23.7109375" style="118" customWidth="1"/>
    <col min="1031" max="1031" width="26.42578125" style="118" customWidth="1"/>
    <col min="1032" max="1032" width="26.5703125" style="118" customWidth="1"/>
    <col min="1033" max="1033" width="27.85546875" style="118" customWidth="1"/>
    <col min="1034" max="1034" width="28.140625" style="118" customWidth="1"/>
    <col min="1035" max="1035" width="24.28515625" style="118" customWidth="1"/>
    <col min="1036" max="1036" width="13.140625" style="118" customWidth="1"/>
    <col min="1037" max="1037" width="19.85546875" style="118" customWidth="1"/>
    <col min="1038" max="1038" width="34.42578125" style="118" customWidth="1"/>
    <col min="1039" max="1039" width="18.140625" style="118" customWidth="1"/>
    <col min="1040" max="1040" width="24.7109375" style="118" customWidth="1"/>
    <col min="1041" max="1041" width="23.28515625" style="118" customWidth="1"/>
    <col min="1042" max="1042" width="18.42578125" style="118" customWidth="1"/>
    <col min="1043" max="1043" width="27.85546875" style="118" customWidth="1"/>
    <col min="1044" max="1044" width="49.42578125" style="118" customWidth="1"/>
    <col min="1045" max="1045" width="32.140625" style="118" customWidth="1"/>
    <col min="1046" max="1046" width="22.42578125" style="118" customWidth="1"/>
    <col min="1047" max="1047" width="33" style="118" customWidth="1"/>
    <col min="1048" max="1048" width="58.85546875" style="118" customWidth="1"/>
    <col min="1049" max="1049" width="37.85546875" style="118" customWidth="1"/>
    <col min="1050" max="1050" width="17.5703125" style="118" customWidth="1"/>
    <col min="1051" max="1051" width="16.5703125" style="118" customWidth="1"/>
    <col min="1052" max="1052" width="28.7109375" style="118" customWidth="1"/>
    <col min="1053" max="1053" width="23.85546875" style="118" customWidth="1"/>
    <col min="1054" max="1280" width="9.140625" style="118"/>
    <col min="1281" max="1282" width="0" style="118" hidden="1" customWidth="1"/>
    <col min="1283" max="1283" width="15.7109375" style="118" customWidth="1"/>
    <col min="1284" max="1284" width="93.42578125" style="118" customWidth="1"/>
    <col min="1285" max="1285" width="32.28515625" style="118" customWidth="1"/>
    <col min="1286" max="1286" width="23.7109375" style="118" customWidth="1"/>
    <col min="1287" max="1287" width="26.42578125" style="118" customWidth="1"/>
    <col min="1288" max="1288" width="26.5703125" style="118" customWidth="1"/>
    <col min="1289" max="1289" width="27.85546875" style="118" customWidth="1"/>
    <col min="1290" max="1290" width="28.140625" style="118" customWidth="1"/>
    <col min="1291" max="1291" width="24.28515625" style="118" customWidth="1"/>
    <col min="1292" max="1292" width="13.140625" style="118" customWidth="1"/>
    <col min="1293" max="1293" width="19.85546875" style="118" customWidth="1"/>
    <col min="1294" max="1294" width="34.42578125" style="118" customWidth="1"/>
    <col min="1295" max="1295" width="18.140625" style="118" customWidth="1"/>
    <col min="1296" max="1296" width="24.7109375" style="118" customWidth="1"/>
    <col min="1297" max="1297" width="23.28515625" style="118" customWidth="1"/>
    <col min="1298" max="1298" width="18.42578125" style="118" customWidth="1"/>
    <col min="1299" max="1299" width="27.85546875" style="118" customWidth="1"/>
    <col min="1300" max="1300" width="49.42578125" style="118" customWidth="1"/>
    <col min="1301" max="1301" width="32.140625" style="118" customWidth="1"/>
    <col min="1302" max="1302" width="22.42578125" style="118" customWidth="1"/>
    <col min="1303" max="1303" width="33" style="118" customWidth="1"/>
    <col min="1304" max="1304" width="58.85546875" style="118" customWidth="1"/>
    <col min="1305" max="1305" width="37.85546875" style="118" customWidth="1"/>
    <col min="1306" max="1306" width="17.5703125" style="118" customWidth="1"/>
    <col min="1307" max="1307" width="16.5703125" style="118" customWidth="1"/>
    <col min="1308" max="1308" width="28.7109375" style="118" customWidth="1"/>
    <col min="1309" max="1309" width="23.85546875" style="118" customWidth="1"/>
    <col min="1310" max="1536" width="9.140625" style="118"/>
    <col min="1537" max="1538" width="0" style="118" hidden="1" customWidth="1"/>
    <col min="1539" max="1539" width="15.7109375" style="118" customWidth="1"/>
    <col min="1540" max="1540" width="93.42578125" style="118" customWidth="1"/>
    <col min="1541" max="1541" width="32.28515625" style="118" customWidth="1"/>
    <col min="1542" max="1542" width="23.7109375" style="118" customWidth="1"/>
    <col min="1543" max="1543" width="26.42578125" style="118" customWidth="1"/>
    <col min="1544" max="1544" width="26.5703125" style="118" customWidth="1"/>
    <col min="1545" max="1545" width="27.85546875" style="118" customWidth="1"/>
    <col min="1546" max="1546" width="28.140625" style="118" customWidth="1"/>
    <col min="1547" max="1547" width="24.28515625" style="118" customWidth="1"/>
    <col min="1548" max="1548" width="13.140625" style="118" customWidth="1"/>
    <col min="1549" max="1549" width="19.85546875" style="118" customWidth="1"/>
    <col min="1550" max="1550" width="34.42578125" style="118" customWidth="1"/>
    <col min="1551" max="1551" width="18.140625" style="118" customWidth="1"/>
    <col min="1552" max="1552" width="24.7109375" style="118" customWidth="1"/>
    <col min="1553" max="1553" width="23.28515625" style="118" customWidth="1"/>
    <col min="1554" max="1554" width="18.42578125" style="118" customWidth="1"/>
    <col min="1555" max="1555" width="27.85546875" style="118" customWidth="1"/>
    <col min="1556" max="1556" width="49.42578125" style="118" customWidth="1"/>
    <col min="1557" max="1557" width="32.140625" style="118" customWidth="1"/>
    <col min="1558" max="1558" width="22.42578125" style="118" customWidth="1"/>
    <col min="1559" max="1559" width="33" style="118" customWidth="1"/>
    <col min="1560" max="1560" width="58.85546875" style="118" customWidth="1"/>
    <col min="1561" max="1561" width="37.85546875" style="118" customWidth="1"/>
    <col min="1562" max="1562" width="17.5703125" style="118" customWidth="1"/>
    <col min="1563" max="1563" width="16.5703125" style="118" customWidth="1"/>
    <col min="1564" max="1564" width="28.7109375" style="118" customWidth="1"/>
    <col min="1565" max="1565" width="23.85546875" style="118" customWidth="1"/>
    <col min="1566" max="1792" width="9.140625" style="118"/>
    <col min="1793" max="1794" width="0" style="118" hidden="1" customWidth="1"/>
    <col min="1795" max="1795" width="15.7109375" style="118" customWidth="1"/>
    <col min="1796" max="1796" width="93.42578125" style="118" customWidth="1"/>
    <col min="1797" max="1797" width="32.28515625" style="118" customWidth="1"/>
    <col min="1798" max="1798" width="23.7109375" style="118" customWidth="1"/>
    <col min="1799" max="1799" width="26.42578125" style="118" customWidth="1"/>
    <col min="1800" max="1800" width="26.5703125" style="118" customWidth="1"/>
    <col min="1801" max="1801" width="27.85546875" style="118" customWidth="1"/>
    <col min="1802" max="1802" width="28.140625" style="118" customWidth="1"/>
    <col min="1803" max="1803" width="24.28515625" style="118" customWidth="1"/>
    <col min="1804" max="1804" width="13.140625" style="118" customWidth="1"/>
    <col min="1805" max="1805" width="19.85546875" style="118" customWidth="1"/>
    <col min="1806" max="1806" width="34.42578125" style="118" customWidth="1"/>
    <col min="1807" max="1807" width="18.140625" style="118" customWidth="1"/>
    <col min="1808" max="1808" width="24.7109375" style="118" customWidth="1"/>
    <col min="1809" max="1809" width="23.28515625" style="118" customWidth="1"/>
    <col min="1810" max="1810" width="18.42578125" style="118" customWidth="1"/>
    <col min="1811" max="1811" width="27.85546875" style="118" customWidth="1"/>
    <col min="1812" max="1812" width="49.42578125" style="118" customWidth="1"/>
    <col min="1813" max="1813" width="32.140625" style="118" customWidth="1"/>
    <col min="1814" max="1814" width="22.42578125" style="118" customWidth="1"/>
    <col min="1815" max="1815" width="33" style="118" customWidth="1"/>
    <col min="1816" max="1816" width="58.85546875" style="118" customWidth="1"/>
    <col min="1817" max="1817" width="37.85546875" style="118" customWidth="1"/>
    <col min="1818" max="1818" width="17.5703125" style="118" customWidth="1"/>
    <col min="1819" max="1819" width="16.5703125" style="118" customWidth="1"/>
    <col min="1820" max="1820" width="28.7109375" style="118" customWidth="1"/>
    <col min="1821" max="1821" width="23.85546875" style="118" customWidth="1"/>
    <col min="1822" max="2048" width="9.140625" style="118"/>
    <col min="2049" max="2050" width="0" style="118" hidden="1" customWidth="1"/>
    <col min="2051" max="2051" width="15.7109375" style="118" customWidth="1"/>
    <col min="2052" max="2052" width="93.42578125" style="118" customWidth="1"/>
    <col min="2053" max="2053" width="32.28515625" style="118" customWidth="1"/>
    <col min="2054" max="2054" width="23.7109375" style="118" customWidth="1"/>
    <col min="2055" max="2055" width="26.42578125" style="118" customWidth="1"/>
    <col min="2056" max="2056" width="26.5703125" style="118" customWidth="1"/>
    <col min="2057" max="2057" width="27.85546875" style="118" customWidth="1"/>
    <col min="2058" max="2058" width="28.140625" style="118" customWidth="1"/>
    <col min="2059" max="2059" width="24.28515625" style="118" customWidth="1"/>
    <col min="2060" max="2060" width="13.140625" style="118" customWidth="1"/>
    <col min="2061" max="2061" width="19.85546875" style="118" customWidth="1"/>
    <col min="2062" max="2062" width="34.42578125" style="118" customWidth="1"/>
    <col min="2063" max="2063" width="18.140625" style="118" customWidth="1"/>
    <col min="2064" max="2064" width="24.7109375" style="118" customWidth="1"/>
    <col min="2065" max="2065" width="23.28515625" style="118" customWidth="1"/>
    <col min="2066" max="2066" width="18.42578125" style="118" customWidth="1"/>
    <col min="2067" max="2067" width="27.85546875" style="118" customWidth="1"/>
    <col min="2068" max="2068" width="49.42578125" style="118" customWidth="1"/>
    <col min="2069" max="2069" width="32.140625" style="118" customWidth="1"/>
    <col min="2070" max="2070" width="22.42578125" style="118" customWidth="1"/>
    <col min="2071" max="2071" width="33" style="118" customWidth="1"/>
    <col min="2072" max="2072" width="58.85546875" style="118" customWidth="1"/>
    <col min="2073" max="2073" width="37.85546875" style="118" customWidth="1"/>
    <col min="2074" max="2074" width="17.5703125" style="118" customWidth="1"/>
    <col min="2075" max="2075" width="16.5703125" style="118" customWidth="1"/>
    <col min="2076" max="2076" width="28.7109375" style="118" customWidth="1"/>
    <col min="2077" max="2077" width="23.85546875" style="118" customWidth="1"/>
    <col min="2078" max="2304" width="9.140625" style="118"/>
    <col min="2305" max="2306" width="0" style="118" hidden="1" customWidth="1"/>
    <col min="2307" max="2307" width="15.7109375" style="118" customWidth="1"/>
    <col min="2308" max="2308" width="93.42578125" style="118" customWidth="1"/>
    <col min="2309" max="2309" width="32.28515625" style="118" customWidth="1"/>
    <col min="2310" max="2310" width="23.7109375" style="118" customWidth="1"/>
    <col min="2311" max="2311" width="26.42578125" style="118" customWidth="1"/>
    <col min="2312" max="2312" width="26.5703125" style="118" customWidth="1"/>
    <col min="2313" max="2313" width="27.85546875" style="118" customWidth="1"/>
    <col min="2314" max="2314" width="28.140625" style="118" customWidth="1"/>
    <col min="2315" max="2315" width="24.28515625" style="118" customWidth="1"/>
    <col min="2316" max="2316" width="13.140625" style="118" customWidth="1"/>
    <col min="2317" max="2317" width="19.85546875" style="118" customWidth="1"/>
    <col min="2318" max="2318" width="34.42578125" style="118" customWidth="1"/>
    <col min="2319" max="2319" width="18.140625" style="118" customWidth="1"/>
    <col min="2320" max="2320" width="24.7109375" style="118" customWidth="1"/>
    <col min="2321" max="2321" width="23.28515625" style="118" customWidth="1"/>
    <col min="2322" max="2322" width="18.42578125" style="118" customWidth="1"/>
    <col min="2323" max="2323" width="27.85546875" style="118" customWidth="1"/>
    <col min="2324" max="2324" width="49.42578125" style="118" customWidth="1"/>
    <col min="2325" max="2325" width="32.140625" style="118" customWidth="1"/>
    <col min="2326" max="2326" width="22.42578125" style="118" customWidth="1"/>
    <col min="2327" max="2327" width="33" style="118" customWidth="1"/>
    <col min="2328" max="2328" width="58.85546875" style="118" customWidth="1"/>
    <col min="2329" max="2329" width="37.85546875" style="118" customWidth="1"/>
    <col min="2330" max="2330" width="17.5703125" style="118" customWidth="1"/>
    <col min="2331" max="2331" width="16.5703125" style="118" customWidth="1"/>
    <col min="2332" max="2332" width="28.7109375" style="118" customWidth="1"/>
    <col min="2333" max="2333" width="23.85546875" style="118" customWidth="1"/>
    <col min="2334" max="2560" width="9.140625" style="118"/>
    <col min="2561" max="2562" width="0" style="118" hidden="1" customWidth="1"/>
    <col min="2563" max="2563" width="15.7109375" style="118" customWidth="1"/>
    <col min="2564" max="2564" width="93.42578125" style="118" customWidth="1"/>
    <col min="2565" max="2565" width="32.28515625" style="118" customWidth="1"/>
    <col min="2566" max="2566" width="23.7109375" style="118" customWidth="1"/>
    <col min="2567" max="2567" width="26.42578125" style="118" customWidth="1"/>
    <col min="2568" max="2568" width="26.5703125" style="118" customWidth="1"/>
    <col min="2569" max="2569" width="27.85546875" style="118" customWidth="1"/>
    <col min="2570" max="2570" width="28.140625" style="118" customWidth="1"/>
    <col min="2571" max="2571" width="24.28515625" style="118" customWidth="1"/>
    <col min="2572" max="2572" width="13.140625" style="118" customWidth="1"/>
    <col min="2573" max="2573" width="19.85546875" style="118" customWidth="1"/>
    <col min="2574" max="2574" width="34.42578125" style="118" customWidth="1"/>
    <col min="2575" max="2575" width="18.140625" style="118" customWidth="1"/>
    <col min="2576" max="2576" width="24.7109375" style="118" customWidth="1"/>
    <col min="2577" max="2577" width="23.28515625" style="118" customWidth="1"/>
    <col min="2578" max="2578" width="18.42578125" style="118" customWidth="1"/>
    <col min="2579" max="2579" width="27.85546875" style="118" customWidth="1"/>
    <col min="2580" max="2580" width="49.42578125" style="118" customWidth="1"/>
    <col min="2581" max="2581" width="32.140625" style="118" customWidth="1"/>
    <col min="2582" max="2582" width="22.42578125" style="118" customWidth="1"/>
    <col min="2583" max="2583" width="33" style="118" customWidth="1"/>
    <col min="2584" max="2584" width="58.85546875" style="118" customWidth="1"/>
    <col min="2585" max="2585" width="37.85546875" style="118" customWidth="1"/>
    <col min="2586" max="2586" width="17.5703125" style="118" customWidth="1"/>
    <col min="2587" max="2587" width="16.5703125" style="118" customWidth="1"/>
    <col min="2588" max="2588" width="28.7109375" style="118" customWidth="1"/>
    <col min="2589" max="2589" width="23.85546875" style="118" customWidth="1"/>
    <col min="2590" max="2816" width="9.140625" style="118"/>
    <col min="2817" max="2818" width="0" style="118" hidden="1" customWidth="1"/>
    <col min="2819" max="2819" width="15.7109375" style="118" customWidth="1"/>
    <col min="2820" max="2820" width="93.42578125" style="118" customWidth="1"/>
    <col min="2821" max="2821" width="32.28515625" style="118" customWidth="1"/>
    <col min="2822" max="2822" width="23.7109375" style="118" customWidth="1"/>
    <col min="2823" max="2823" width="26.42578125" style="118" customWidth="1"/>
    <col min="2824" max="2824" width="26.5703125" style="118" customWidth="1"/>
    <col min="2825" max="2825" width="27.85546875" style="118" customWidth="1"/>
    <col min="2826" max="2826" width="28.140625" style="118" customWidth="1"/>
    <col min="2827" max="2827" width="24.28515625" style="118" customWidth="1"/>
    <col min="2828" max="2828" width="13.140625" style="118" customWidth="1"/>
    <col min="2829" max="2829" width="19.85546875" style="118" customWidth="1"/>
    <col min="2830" max="2830" width="34.42578125" style="118" customWidth="1"/>
    <col min="2831" max="2831" width="18.140625" style="118" customWidth="1"/>
    <col min="2832" max="2832" width="24.7109375" style="118" customWidth="1"/>
    <col min="2833" max="2833" width="23.28515625" style="118" customWidth="1"/>
    <col min="2834" max="2834" width="18.42578125" style="118" customWidth="1"/>
    <col min="2835" max="2835" width="27.85546875" style="118" customWidth="1"/>
    <col min="2836" max="2836" width="49.42578125" style="118" customWidth="1"/>
    <col min="2837" max="2837" width="32.140625" style="118" customWidth="1"/>
    <col min="2838" max="2838" width="22.42578125" style="118" customWidth="1"/>
    <col min="2839" max="2839" width="33" style="118" customWidth="1"/>
    <col min="2840" max="2840" width="58.85546875" style="118" customWidth="1"/>
    <col min="2841" max="2841" width="37.85546875" style="118" customWidth="1"/>
    <col min="2842" max="2842" width="17.5703125" style="118" customWidth="1"/>
    <col min="2843" max="2843" width="16.5703125" style="118" customWidth="1"/>
    <col min="2844" max="2844" width="28.7109375" style="118" customWidth="1"/>
    <col min="2845" max="2845" width="23.85546875" style="118" customWidth="1"/>
    <col min="2846" max="3072" width="9.140625" style="118"/>
    <col min="3073" max="3074" width="0" style="118" hidden="1" customWidth="1"/>
    <col min="3075" max="3075" width="15.7109375" style="118" customWidth="1"/>
    <col min="3076" max="3076" width="93.42578125" style="118" customWidth="1"/>
    <col min="3077" max="3077" width="32.28515625" style="118" customWidth="1"/>
    <col min="3078" max="3078" width="23.7109375" style="118" customWidth="1"/>
    <col min="3079" max="3079" width="26.42578125" style="118" customWidth="1"/>
    <col min="3080" max="3080" width="26.5703125" style="118" customWidth="1"/>
    <col min="3081" max="3081" width="27.85546875" style="118" customWidth="1"/>
    <col min="3082" max="3082" width="28.140625" style="118" customWidth="1"/>
    <col min="3083" max="3083" width="24.28515625" style="118" customWidth="1"/>
    <col min="3084" max="3084" width="13.140625" style="118" customWidth="1"/>
    <col min="3085" max="3085" width="19.85546875" style="118" customWidth="1"/>
    <col min="3086" max="3086" width="34.42578125" style="118" customWidth="1"/>
    <col min="3087" max="3087" width="18.140625" style="118" customWidth="1"/>
    <col min="3088" max="3088" width="24.7109375" style="118" customWidth="1"/>
    <col min="3089" max="3089" width="23.28515625" style="118" customWidth="1"/>
    <col min="3090" max="3090" width="18.42578125" style="118" customWidth="1"/>
    <col min="3091" max="3091" width="27.85546875" style="118" customWidth="1"/>
    <col min="3092" max="3092" width="49.42578125" style="118" customWidth="1"/>
    <col min="3093" max="3093" width="32.140625" style="118" customWidth="1"/>
    <col min="3094" max="3094" width="22.42578125" style="118" customWidth="1"/>
    <col min="3095" max="3095" width="33" style="118" customWidth="1"/>
    <col min="3096" max="3096" width="58.85546875" style="118" customWidth="1"/>
    <col min="3097" max="3097" width="37.85546875" style="118" customWidth="1"/>
    <col min="3098" max="3098" width="17.5703125" style="118" customWidth="1"/>
    <col min="3099" max="3099" width="16.5703125" style="118" customWidth="1"/>
    <col min="3100" max="3100" width="28.7109375" style="118" customWidth="1"/>
    <col min="3101" max="3101" width="23.85546875" style="118" customWidth="1"/>
    <col min="3102" max="3328" width="9.140625" style="118"/>
    <col min="3329" max="3330" width="0" style="118" hidden="1" customWidth="1"/>
    <col min="3331" max="3331" width="15.7109375" style="118" customWidth="1"/>
    <col min="3332" max="3332" width="93.42578125" style="118" customWidth="1"/>
    <col min="3333" max="3333" width="32.28515625" style="118" customWidth="1"/>
    <col min="3334" max="3334" width="23.7109375" style="118" customWidth="1"/>
    <col min="3335" max="3335" width="26.42578125" style="118" customWidth="1"/>
    <col min="3336" max="3336" width="26.5703125" style="118" customWidth="1"/>
    <col min="3337" max="3337" width="27.85546875" style="118" customWidth="1"/>
    <col min="3338" max="3338" width="28.140625" style="118" customWidth="1"/>
    <col min="3339" max="3339" width="24.28515625" style="118" customWidth="1"/>
    <col min="3340" max="3340" width="13.140625" style="118" customWidth="1"/>
    <col min="3341" max="3341" width="19.85546875" style="118" customWidth="1"/>
    <col min="3342" max="3342" width="34.42578125" style="118" customWidth="1"/>
    <col min="3343" max="3343" width="18.140625" style="118" customWidth="1"/>
    <col min="3344" max="3344" width="24.7109375" style="118" customWidth="1"/>
    <col min="3345" max="3345" width="23.28515625" style="118" customWidth="1"/>
    <col min="3346" max="3346" width="18.42578125" style="118" customWidth="1"/>
    <col min="3347" max="3347" width="27.85546875" style="118" customWidth="1"/>
    <col min="3348" max="3348" width="49.42578125" style="118" customWidth="1"/>
    <col min="3349" max="3349" width="32.140625" style="118" customWidth="1"/>
    <col min="3350" max="3350" width="22.42578125" style="118" customWidth="1"/>
    <col min="3351" max="3351" width="33" style="118" customWidth="1"/>
    <col min="3352" max="3352" width="58.85546875" style="118" customWidth="1"/>
    <col min="3353" max="3353" width="37.85546875" style="118" customWidth="1"/>
    <col min="3354" max="3354" width="17.5703125" style="118" customWidth="1"/>
    <col min="3355" max="3355" width="16.5703125" style="118" customWidth="1"/>
    <col min="3356" max="3356" width="28.7109375" style="118" customWidth="1"/>
    <col min="3357" max="3357" width="23.85546875" style="118" customWidth="1"/>
    <col min="3358" max="3584" width="9.140625" style="118"/>
    <col min="3585" max="3586" width="0" style="118" hidden="1" customWidth="1"/>
    <col min="3587" max="3587" width="15.7109375" style="118" customWidth="1"/>
    <col min="3588" max="3588" width="93.42578125" style="118" customWidth="1"/>
    <col min="3589" max="3589" width="32.28515625" style="118" customWidth="1"/>
    <col min="3590" max="3590" width="23.7109375" style="118" customWidth="1"/>
    <col min="3591" max="3591" width="26.42578125" style="118" customWidth="1"/>
    <col min="3592" max="3592" width="26.5703125" style="118" customWidth="1"/>
    <col min="3593" max="3593" width="27.85546875" style="118" customWidth="1"/>
    <col min="3594" max="3594" width="28.140625" style="118" customWidth="1"/>
    <col min="3595" max="3595" width="24.28515625" style="118" customWidth="1"/>
    <col min="3596" max="3596" width="13.140625" style="118" customWidth="1"/>
    <col min="3597" max="3597" width="19.85546875" style="118" customWidth="1"/>
    <col min="3598" max="3598" width="34.42578125" style="118" customWidth="1"/>
    <col min="3599" max="3599" width="18.140625" style="118" customWidth="1"/>
    <col min="3600" max="3600" width="24.7109375" style="118" customWidth="1"/>
    <col min="3601" max="3601" width="23.28515625" style="118" customWidth="1"/>
    <col min="3602" max="3602" width="18.42578125" style="118" customWidth="1"/>
    <col min="3603" max="3603" width="27.85546875" style="118" customWidth="1"/>
    <col min="3604" max="3604" width="49.42578125" style="118" customWidth="1"/>
    <col min="3605" max="3605" width="32.140625" style="118" customWidth="1"/>
    <col min="3606" max="3606" width="22.42578125" style="118" customWidth="1"/>
    <col min="3607" max="3607" width="33" style="118" customWidth="1"/>
    <col min="3608" max="3608" width="58.85546875" style="118" customWidth="1"/>
    <col min="3609" max="3609" width="37.85546875" style="118" customWidth="1"/>
    <col min="3610" max="3610" width="17.5703125" style="118" customWidth="1"/>
    <col min="3611" max="3611" width="16.5703125" style="118" customWidth="1"/>
    <col min="3612" max="3612" width="28.7109375" style="118" customWidth="1"/>
    <col min="3613" max="3613" width="23.85546875" style="118" customWidth="1"/>
    <col min="3614" max="3840" width="9.140625" style="118"/>
    <col min="3841" max="3842" width="0" style="118" hidden="1" customWidth="1"/>
    <col min="3843" max="3843" width="15.7109375" style="118" customWidth="1"/>
    <col min="3844" max="3844" width="93.42578125" style="118" customWidth="1"/>
    <col min="3845" max="3845" width="32.28515625" style="118" customWidth="1"/>
    <col min="3846" max="3846" width="23.7109375" style="118" customWidth="1"/>
    <col min="3847" max="3847" width="26.42578125" style="118" customWidth="1"/>
    <col min="3848" max="3848" width="26.5703125" style="118" customWidth="1"/>
    <col min="3849" max="3849" width="27.85546875" style="118" customWidth="1"/>
    <col min="3850" max="3850" width="28.140625" style="118" customWidth="1"/>
    <col min="3851" max="3851" width="24.28515625" style="118" customWidth="1"/>
    <col min="3852" max="3852" width="13.140625" style="118" customWidth="1"/>
    <col min="3853" max="3853" width="19.85546875" style="118" customWidth="1"/>
    <col min="3854" max="3854" width="34.42578125" style="118" customWidth="1"/>
    <col min="3855" max="3855" width="18.140625" style="118" customWidth="1"/>
    <col min="3856" max="3856" width="24.7109375" style="118" customWidth="1"/>
    <col min="3857" max="3857" width="23.28515625" style="118" customWidth="1"/>
    <col min="3858" max="3858" width="18.42578125" style="118" customWidth="1"/>
    <col min="3859" max="3859" width="27.85546875" style="118" customWidth="1"/>
    <col min="3860" max="3860" width="49.42578125" style="118" customWidth="1"/>
    <col min="3861" max="3861" width="32.140625" style="118" customWidth="1"/>
    <col min="3862" max="3862" width="22.42578125" style="118" customWidth="1"/>
    <col min="3863" max="3863" width="33" style="118" customWidth="1"/>
    <col min="3864" max="3864" width="58.85546875" style="118" customWidth="1"/>
    <col min="3865" max="3865" width="37.85546875" style="118" customWidth="1"/>
    <col min="3866" max="3866" width="17.5703125" style="118" customWidth="1"/>
    <col min="3867" max="3867" width="16.5703125" style="118" customWidth="1"/>
    <col min="3868" max="3868" width="28.7109375" style="118" customWidth="1"/>
    <col min="3869" max="3869" width="23.85546875" style="118" customWidth="1"/>
    <col min="3870" max="4096" width="9.140625" style="118"/>
    <col min="4097" max="4098" width="0" style="118" hidden="1" customWidth="1"/>
    <col min="4099" max="4099" width="15.7109375" style="118" customWidth="1"/>
    <col min="4100" max="4100" width="93.42578125" style="118" customWidth="1"/>
    <col min="4101" max="4101" width="32.28515625" style="118" customWidth="1"/>
    <col min="4102" max="4102" width="23.7109375" style="118" customWidth="1"/>
    <col min="4103" max="4103" width="26.42578125" style="118" customWidth="1"/>
    <col min="4104" max="4104" width="26.5703125" style="118" customWidth="1"/>
    <col min="4105" max="4105" width="27.85546875" style="118" customWidth="1"/>
    <col min="4106" max="4106" width="28.140625" style="118" customWidth="1"/>
    <col min="4107" max="4107" width="24.28515625" style="118" customWidth="1"/>
    <col min="4108" max="4108" width="13.140625" style="118" customWidth="1"/>
    <col min="4109" max="4109" width="19.85546875" style="118" customWidth="1"/>
    <col min="4110" max="4110" width="34.42578125" style="118" customWidth="1"/>
    <col min="4111" max="4111" width="18.140625" style="118" customWidth="1"/>
    <col min="4112" max="4112" width="24.7109375" style="118" customWidth="1"/>
    <col min="4113" max="4113" width="23.28515625" style="118" customWidth="1"/>
    <col min="4114" max="4114" width="18.42578125" style="118" customWidth="1"/>
    <col min="4115" max="4115" width="27.85546875" style="118" customWidth="1"/>
    <col min="4116" max="4116" width="49.42578125" style="118" customWidth="1"/>
    <col min="4117" max="4117" width="32.140625" style="118" customWidth="1"/>
    <col min="4118" max="4118" width="22.42578125" style="118" customWidth="1"/>
    <col min="4119" max="4119" width="33" style="118" customWidth="1"/>
    <col min="4120" max="4120" width="58.85546875" style="118" customWidth="1"/>
    <col min="4121" max="4121" width="37.85546875" style="118" customWidth="1"/>
    <col min="4122" max="4122" width="17.5703125" style="118" customWidth="1"/>
    <col min="4123" max="4123" width="16.5703125" style="118" customWidth="1"/>
    <col min="4124" max="4124" width="28.7109375" style="118" customWidth="1"/>
    <col min="4125" max="4125" width="23.85546875" style="118" customWidth="1"/>
    <col min="4126" max="4352" width="9.140625" style="118"/>
    <col min="4353" max="4354" width="0" style="118" hidden="1" customWidth="1"/>
    <col min="4355" max="4355" width="15.7109375" style="118" customWidth="1"/>
    <col min="4356" max="4356" width="93.42578125" style="118" customWidth="1"/>
    <col min="4357" max="4357" width="32.28515625" style="118" customWidth="1"/>
    <col min="4358" max="4358" width="23.7109375" style="118" customWidth="1"/>
    <col min="4359" max="4359" width="26.42578125" style="118" customWidth="1"/>
    <col min="4360" max="4360" width="26.5703125" style="118" customWidth="1"/>
    <col min="4361" max="4361" width="27.85546875" style="118" customWidth="1"/>
    <col min="4362" max="4362" width="28.140625" style="118" customWidth="1"/>
    <col min="4363" max="4363" width="24.28515625" style="118" customWidth="1"/>
    <col min="4364" max="4364" width="13.140625" style="118" customWidth="1"/>
    <col min="4365" max="4365" width="19.85546875" style="118" customWidth="1"/>
    <col min="4366" max="4366" width="34.42578125" style="118" customWidth="1"/>
    <col min="4367" max="4367" width="18.140625" style="118" customWidth="1"/>
    <col min="4368" max="4368" width="24.7109375" style="118" customWidth="1"/>
    <col min="4369" max="4369" width="23.28515625" style="118" customWidth="1"/>
    <col min="4370" max="4370" width="18.42578125" style="118" customWidth="1"/>
    <col min="4371" max="4371" width="27.85546875" style="118" customWidth="1"/>
    <col min="4372" max="4372" width="49.42578125" style="118" customWidth="1"/>
    <col min="4373" max="4373" width="32.140625" style="118" customWidth="1"/>
    <col min="4374" max="4374" width="22.42578125" style="118" customWidth="1"/>
    <col min="4375" max="4375" width="33" style="118" customWidth="1"/>
    <col min="4376" max="4376" width="58.85546875" style="118" customWidth="1"/>
    <col min="4377" max="4377" width="37.85546875" style="118" customWidth="1"/>
    <col min="4378" max="4378" width="17.5703125" style="118" customWidth="1"/>
    <col min="4379" max="4379" width="16.5703125" style="118" customWidth="1"/>
    <col min="4380" max="4380" width="28.7109375" style="118" customWidth="1"/>
    <col min="4381" max="4381" width="23.85546875" style="118" customWidth="1"/>
    <col min="4382" max="4608" width="9.140625" style="118"/>
    <col min="4609" max="4610" width="0" style="118" hidden="1" customWidth="1"/>
    <col min="4611" max="4611" width="15.7109375" style="118" customWidth="1"/>
    <col min="4612" max="4612" width="93.42578125" style="118" customWidth="1"/>
    <col min="4613" max="4613" width="32.28515625" style="118" customWidth="1"/>
    <col min="4614" max="4614" width="23.7109375" style="118" customWidth="1"/>
    <col min="4615" max="4615" width="26.42578125" style="118" customWidth="1"/>
    <col min="4616" max="4616" width="26.5703125" style="118" customWidth="1"/>
    <col min="4617" max="4617" width="27.85546875" style="118" customWidth="1"/>
    <col min="4618" max="4618" width="28.140625" style="118" customWidth="1"/>
    <col min="4619" max="4619" width="24.28515625" style="118" customWidth="1"/>
    <col min="4620" max="4620" width="13.140625" style="118" customWidth="1"/>
    <col min="4621" max="4621" width="19.85546875" style="118" customWidth="1"/>
    <col min="4622" max="4622" width="34.42578125" style="118" customWidth="1"/>
    <col min="4623" max="4623" width="18.140625" style="118" customWidth="1"/>
    <col min="4624" max="4624" width="24.7109375" style="118" customWidth="1"/>
    <col min="4625" max="4625" width="23.28515625" style="118" customWidth="1"/>
    <col min="4626" max="4626" width="18.42578125" style="118" customWidth="1"/>
    <col min="4627" max="4627" width="27.85546875" style="118" customWidth="1"/>
    <col min="4628" max="4628" width="49.42578125" style="118" customWidth="1"/>
    <col min="4629" max="4629" width="32.140625" style="118" customWidth="1"/>
    <col min="4630" max="4630" width="22.42578125" style="118" customWidth="1"/>
    <col min="4631" max="4631" width="33" style="118" customWidth="1"/>
    <col min="4632" max="4632" width="58.85546875" style="118" customWidth="1"/>
    <col min="4633" max="4633" width="37.85546875" style="118" customWidth="1"/>
    <col min="4634" max="4634" width="17.5703125" style="118" customWidth="1"/>
    <col min="4635" max="4635" width="16.5703125" style="118" customWidth="1"/>
    <col min="4636" max="4636" width="28.7109375" style="118" customWidth="1"/>
    <col min="4637" max="4637" width="23.85546875" style="118" customWidth="1"/>
    <col min="4638" max="4864" width="9.140625" style="118"/>
    <col min="4865" max="4866" width="0" style="118" hidden="1" customWidth="1"/>
    <col min="4867" max="4867" width="15.7109375" style="118" customWidth="1"/>
    <col min="4868" max="4868" width="93.42578125" style="118" customWidth="1"/>
    <col min="4869" max="4869" width="32.28515625" style="118" customWidth="1"/>
    <col min="4870" max="4870" width="23.7109375" style="118" customWidth="1"/>
    <col min="4871" max="4871" width="26.42578125" style="118" customWidth="1"/>
    <col min="4872" max="4872" width="26.5703125" style="118" customWidth="1"/>
    <col min="4873" max="4873" width="27.85546875" style="118" customWidth="1"/>
    <col min="4874" max="4874" width="28.140625" style="118" customWidth="1"/>
    <col min="4875" max="4875" width="24.28515625" style="118" customWidth="1"/>
    <col min="4876" max="4876" width="13.140625" style="118" customWidth="1"/>
    <col min="4877" max="4877" width="19.85546875" style="118" customWidth="1"/>
    <col min="4878" max="4878" width="34.42578125" style="118" customWidth="1"/>
    <col min="4879" max="4879" width="18.140625" style="118" customWidth="1"/>
    <col min="4880" max="4880" width="24.7109375" style="118" customWidth="1"/>
    <col min="4881" max="4881" width="23.28515625" style="118" customWidth="1"/>
    <col min="4882" max="4882" width="18.42578125" style="118" customWidth="1"/>
    <col min="4883" max="4883" width="27.85546875" style="118" customWidth="1"/>
    <col min="4884" max="4884" width="49.42578125" style="118" customWidth="1"/>
    <col min="4885" max="4885" width="32.140625" style="118" customWidth="1"/>
    <col min="4886" max="4886" width="22.42578125" style="118" customWidth="1"/>
    <col min="4887" max="4887" width="33" style="118" customWidth="1"/>
    <col min="4888" max="4888" width="58.85546875" style="118" customWidth="1"/>
    <col min="4889" max="4889" width="37.85546875" style="118" customWidth="1"/>
    <col min="4890" max="4890" width="17.5703125" style="118" customWidth="1"/>
    <col min="4891" max="4891" width="16.5703125" style="118" customWidth="1"/>
    <col min="4892" max="4892" width="28.7109375" style="118" customWidth="1"/>
    <col min="4893" max="4893" width="23.85546875" style="118" customWidth="1"/>
    <col min="4894" max="5120" width="9.140625" style="118"/>
    <col min="5121" max="5122" width="0" style="118" hidden="1" customWidth="1"/>
    <col min="5123" max="5123" width="15.7109375" style="118" customWidth="1"/>
    <col min="5124" max="5124" width="93.42578125" style="118" customWidth="1"/>
    <col min="5125" max="5125" width="32.28515625" style="118" customWidth="1"/>
    <col min="5126" max="5126" width="23.7109375" style="118" customWidth="1"/>
    <col min="5127" max="5127" width="26.42578125" style="118" customWidth="1"/>
    <col min="5128" max="5128" width="26.5703125" style="118" customWidth="1"/>
    <col min="5129" max="5129" width="27.85546875" style="118" customWidth="1"/>
    <col min="5130" max="5130" width="28.140625" style="118" customWidth="1"/>
    <col min="5131" max="5131" width="24.28515625" style="118" customWidth="1"/>
    <col min="5132" max="5132" width="13.140625" style="118" customWidth="1"/>
    <col min="5133" max="5133" width="19.85546875" style="118" customWidth="1"/>
    <col min="5134" max="5134" width="34.42578125" style="118" customWidth="1"/>
    <col min="5135" max="5135" width="18.140625" style="118" customWidth="1"/>
    <col min="5136" max="5136" width="24.7109375" style="118" customWidth="1"/>
    <col min="5137" max="5137" width="23.28515625" style="118" customWidth="1"/>
    <col min="5138" max="5138" width="18.42578125" style="118" customWidth="1"/>
    <col min="5139" max="5139" width="27.85546875" style="118" customWidth="1"/>
    <col min="5140" max="5140" width="49.42578125" style="118" customWidth="1"/>
    <col min="5141" max="5141" width="32.140625" style="118" customWidth="1"/>
    <col min="5142" max="5142" width="22.42578125" style="118" customWidth="1"/>
    <col min="5143" max="5143" width="33" style="118" customWidth="1"/>
    <col min="5144" max="5144" width="58.85546875" style="118" customWidth="1"/>
    <col min="5145" max="5145" width="37.85546875" style="118" customWidth="1"/>
    <col min="5146" max="5146" width="17.5703125" style="118" customWidth="1"/>
    <col min="5147" max="5147" width="16.5703125" style="118" customWidth="1"/>
    <col min="5148" max="5148" width="28.7109375" style="118" customWidth="1"/>
    <col min="5149" max="5149" width="23.85546875" style="118" customWidth="1"/>
    <col min="5150" max="5376" width="9.140625" style="118"/>
    <col min="5377" max="5378" width="0" style="118" hidden="1" customWidth="1"/>
    <col min="5379" max="5379" width="15.7109375" style="118" customWidth="1"/>
    <col min="5380" max="5380" width="93.42578125" style="118" customWidth="1"/>
    <col min="5381" max="5381" width="32.28515625" style="118" customWidth="1"/>
    <col min="5382" max="5382" width="23.7109375" style="118" customWidth="1"/>
    <col min="5383" max="5383" width="26.42578125" style="118" customWidth="1"/>
    <col min="5384" max="5384" width="26.5703125" style="118" customWidth="1"/>
    <col min="5385" max="5385" width="27.85546875" style="118" customWidth="1"/>
    <col min="5386" max="5386" width="28.140625" style="118" customWidth="1"/>
    <col min="5387" max="5387" width="24.28515625" style="118" customWidth="1"/>
    <col min="5388" max="5388" width="13.140625" style="118" customWidth="1"/>
    <col min="5389" max="5389" width="19.85546875" style="118" customWidth="1"/>
    <col min="5390" max="5390" width="34.42578125" style="118" customWidth="1"/>
    <col min="5391" max="5391" width="18.140625" style="118" customWidth="1"/>
    <col min="5392" max="5392" width="24.7109375" style="118" customWidth="1"/>
    <col min="5393" max="5393" width="23.28515625" style="118" customWidth="1"/>
    <col min="5394" max="5394" width="18.42578125" style="118" customWidth="1"/>
    <col min="5395" max="5395" width="27.85546875" style="118" customWidth="1"/>
    <col min="5396" max="5396" width="49.42578125" style="118" customWidth="1"/>
    <col min="5397" max="5397" width="32.140625" style="118" customWidth="1"/>
    <col min="5398" max="5398" width="22.42578125" style="118" customWidth="1"/>
    <col min="5399" max="5399" width="33" style="118" customWidth="1"/>
    <col min="5400" max="5400" width="58.85546875" style="118" customWidth="1"/>
    <col min="5401" max="5401" width="37.85546875" style="118" customWidth="1"/>
    <col min="5402" max="5402" width="17.5703125" style="118" customWidth="1"/>
    <col min="5403" max="5403" width="16.5703125" style="118" customWidth="1"/>
    <col min="5404" max="5404" width="28.7109375" style="118" customWidth="1"/>
    <col min="5405" max="5405" width="23.85546875" style="118" customWidth="1"/>
    <col min="5406" max="5632" width="9.140625" style="118"/>
    <col min="5633" max="5634" width="0" style="118" hidden="1" customWidth="1"/>
    <col min="5635" max="5635" width="15.7109375" style="118" customWidth="1"/>
    <col min="5636" max="5636" width="93.42578125" style="118" customWidth="1"/>
    <col min="5637" max="5637" width="32.28515625" style="118" customWidth="1"/>
    <col min="5638" max="5638" width="23.7109375" style="118" customWidth="1"/>
    <col min="5639" max="5639" width="26.42578125" style="118" customWidth="1"/>
    <col min="5640" max="5640" width="26.5703125" style="118" customWidth="1"/>
    <col min="5641" max="5641" width="27.85546875" style="118" customWidth="1"/>
    <col min="5642" max="5642" width="28.140625" style="118" customWidth="1"/>
    <col min="5643" max="5643" width="24.28515625" style="118" customWidth="1"/>
    <col min="5644" max="5644" width="13.140625" style="118" customWidth="1"/>
    <col min="5645" max="5645" width="19.85546875" style="118" customWidth="1"/>
    <col min="5646" max="5646" width="34.42578125" style="118" customWidth="1"/>
    <col min="5647" max="5647" width="18.140625" style="118" customWidth="1"/>
    <col min="5648" max="5648" width="24.7109375" style="118" customWidth="1"/>
    <col min="5649" max="5649" width="23.28515625" style="118" customWidth="1"/>
    <col min="5650" max="5650" width="18.42578125" style="118" customWidth="1"/>
    <col min="5651" max="5651" width="27.85546875" style="118" customWidth="1"/>
    <col min="5652" max="5652" width="49.42578125" style="118" customWidth="1"/>
    <col min="5653" max="5653" width="32.140625" style="118" customWidth="1"/>
    <col min="5654" max="5654" width="22.42578125" style="118" customWidth="1"/>
    <col min="5655" max="5655" width="33" style="118" customWidth="1"/>
    <col min="5656" max="5656" width="58.85546875" style="118" customWidth="1"/>
    <col min="5657" max="5657" width="37.85546875" style="118" customWidth="1"/>
    <col min="5658" max="5658" width="17.5703125" style="118" customWidth="1"/>
    <col min="5659" max="5659" width="16.5703125" style="118" customWidth="1"/>
    <col min="5660" max="5660" width="28.7109375" style="118" customWidth="1"/>
    <col min="5661" max="5661" width="23.85546875" style="118" customWidth="1"/>
    <col min="5662" max="5888" width="9.140625" style="118"/>
    <col min="5889" max="5890" width="0" style="118" hidden="1" customWidth="1"/>
    <col min="5891" max="5891" width="15.7109375" style="118" customWidth="1"/>
    <col min="5892" max="5892" width="93.42578125" style="118" customWidth="1"/>
    <col min="5893" max="5893" width="32.28515625" style="118" customWidth="1"/>
    <col min="5894" max="5894" width="23.7109375" style="118" customWidth="1"/>
    <col min="5895" max="5895" width="26.42578125" style="118" customWidth="1"/>
    <col min="5896" max="5896" width="26.5703125" style="118" customWidth="1"/>
    <col min="5897" max="5897" width="27.85546875" style="118" customWidth="1"/>
    <col min="5898" max="5898" width="28.140625" style="118" customWidth="1"/>
    <col min="5899" max="5899" width="24.28515625" style="118" customWidth="1"/>
    <col min="5900" max="5900" width="13.140625" style="118" customWidth="1"/>
    <col min="5901" max="5901" width="19.85546875" style="118" customWidth="1"/>
    <col min="5902" max="5902" width="34.42578125" style="118" customWidth="1"/>
    <col min="5903" max="5903" width="18.140625" style="118" customWidth="1"/>
    <col min="5904" max="5904" width="24.7109375" style="118" customWidth="1"/>
    <col min="5905" max="5905" width="23.28515625" style="118" customWidth="1"/>
    <col min="5906" max="5906" width="18.42578125" style="118" customWidth="1"/>
    <col min="5907" max="5907" width="27.85546875" style="118" customWidth="1"/>
    <col min="5908" max="5908" width="49.42578125" style="118" customWidth="1"/>
    <col min="5909" max="5909" width="32.140625" style="118" customWidth="1"/>
    <col min="5910" max="5910" width="22.42578125" style="118" customWidth="1"/>
    <col min="5911" max="5911" width="33" style="118" customWidth="1"/>
    <col min="5912" max="5912" width="58.85546875" style="118" customWidth="1"/>
    <col min="5913" max="5913" width="37.85546875" style="118" customWidth="1"/>
    <col min="5914" max="5914" width="17.5703125" style="118" customWidth="1"/>
    <col min="5915" max="5915" width="16.5703125" style="118" customWidth="1"/>
    <col min="5916" max="5916" width="28.7109375" style="118" customWidth="1"/>
    <col min="5917" max="5917" width="23.85546875" style="118" customWidth="1"/>
    <col min="5918" max="6144" width="9.140625" style="118"/>
    <col min="6145" max="6146" width="0" style="118" hidden="1" customWidth="1"/>
    <col min="6147" max="6147" width="15.7109375" style="118" customWidth="1"/>
    <col min="6148" max="6148" width="93.42578125" style="118" customWidth="1"/>
    <col min="6149" max="6149" width="32.28515625" style="118" customWidth="1"/>
    <col min="6150" max="6150" width="23.7109375" style="118" customWidth="1"/>
    <col min="6151" max="6151" width="26.42578125" style="118" customWidth="1"/>
    <col min="6152" max="6152" width="26.5703125" style="118" customWidth="1"/>
    <col min="6153" max="6153" width="27.85546875" style="118" customWidth="1"/>
    <col min="6154" max="6154" width="28.140625" style="118" customWidth="1"/>
    <col min="6155" max="6155" width="24.28515625" style="118" customWidth="1"/>
    <col min="6156" max="6156" width="13.140625" style="118" customWidth="1"/>
    <col min="6157" max="6157" width="19.85546875" style="118" customWidth="1"/>
    <col min="6158" max="6158" width="34.42578125" style="118" customWidth="1"/>
    <col min="6159" max="6159" width="18.140625" style="118" customWidth="1"/>
    <col min="6160" max="6160" width="24.7109375" style="118" customWidth="1"/>
    <col min="6161" max="6161" width="23.28515625" style="118" customWidth="1"/>
    <col min="6162" max="6162" width="18.42578125" style="118" customWidth="1"/>
    <col min="6163" max="6163" width="27.85546875" style="118" customWidth="1"/>
    <col min="6164" max="6164" width="49.42578125" style="118" customWidth="1"/>
    <col min="6165" max="6165" width="32.140625" style="118" customWidth="1"/>
    <col min="6166" max="6166" width="22.42578125" style="118" customWidth="1"/>
    <col min="6167" max="6167" width="33" style="118" customWidth="1"/>
    <col min="6168" max="6168" width="58.85546875" style="118" customWidth="1"/>
    <col min="6169" max="6169" width="37.85546875" style="118" customWidth="1"/>
    <col min="6170" max="6170" width="17.5703125" style="118" customWidth="1"/>
    <col min="6171" max="6171" width="16.5703125" style="118" customWidth="1"/>
    <col min="6172" max="6172" width="28.7109375" style="118" customWidth="1"/>
    <col min="6173" max="6173" width="23.85546875" style="118" customWidth="1"/>
    <col min="6174" max="6400" width="9.140625" style="118"/>
    <col min="6401" max="6402" width="0" style="118" hidden="1" customWidth="1"/>
    <col min="6403" max="6403" width="15.7109375" style="118" customWidth="1"/>
    <col min="6404" max="6404" width="93.42578125" style="118" customWidth="1"/>
    <col min="6405" max="6405" width="32.28515625" style="118" customWidth="1"/>
    <col min="6406" max="6406" width="23.7109375" style="118" customWidth="1"/>
    <col min="6407" max="6407" width="26.42578125" style="118" customWidth="1"/>
    <col min="6408" max="6408" width="26.5703125" style="118" customWidth="1"/>
    <col min="6409" max="6409" width="27.85546875" style="118" customWidth="1"/>
    <col min="6410" max="6410" width="28.140625" style="118" customWidth="1"/>
    <col min="6411" max="6411" width="24.28515625" style="118" customWidth="1"/>
    <col min="6412" max="6412" width="13.140625" style="118" customWidth="1"/>
    <col min="6413" max="6413" width="19.85546875" style="118" customWidth="1"/>
    <col min="6414" max="6414" width="34.42578125" style="118" customWidth="1"/>
    <col min="6415" max="6415" width="18.140625" style="118" customWidth="1"/>
    <col min="6416" max="6416" width="24.7109375" style="118" customWidth="1"/>
    <col min="6417" max="6417" width="23.28515625" style="118" customWidth="1"/>
    <col min="6418" max="6418" width="18.42578125" style="118" customWidth="1"/>
    <col min="6419" max="6419" width="27.85546875" style="118" customWidth="1"/>
    <col min="6420" max="6420" width="49.42578125" style="118" customWidth="1"/>
    <col min="6421" max="6421" width="32.140625" style="118" customWidth="1"/>
    <col min="6422" max="6422" width="22.42578125" style="118" customWidth="1"/>
    <col min="6423" max="6423" width="33" style="118" customWidth="1"/>
    <col min="6424" max="6424" width="58.85546875" style="118" customWidth="1"/>
    <col min="6425" max="6425" width="37.85546875" style="118" customWidth="1"/>
    <col min="6426" max="6426" width="17.5703125" style="118" customWidth="1"/>
    <col min="6427" max="6427" width="16.5703125" style="118" customWidth="1"/>
    <col min="6428" max="6428" width="28.7109375" style="118" customWidth="1"/>
    <col min="6429" max="6429" width="23.85546875" style="118" customWidth="1"/>
    <col min="6430" max="6656" width="9.140625" style="118"/>
    <col min="6657" max="6658" width="0" style="118" hidden="1" customWidth="1"/>
    <col min="6659" max="6659" width="15.7109375" style="118" customWidth="1"/>
    <col min="6660" max="6660" width="93.42578125" style="118" customWidth="1"/>
    <col min="6661" max="6661" width="32.28515625" style="118" customWidth="1"/>
    <col min="6662" max="6662" width="23.7109375" style="118" customWidth="1"/>
    <col min="6663" max="6663" width="26.42578125" style="118" customWidth="1"/>
    <col min="6664" max="6664" width="26.5703125" style="118" customWidth="1"/>
    <col min="6665" max="6665" width="27.85546875" style="118" customWidth="1"/>
    <col min="6666" max="6666" width="28.140625" style="118" customWidth="1"/>
    <col min="6667" max="6667" width="24.28515625" style="118" customWidth="1"/>
    <col min="6668" max="6668" width="13.140625" style="118" customWidth="1"/>
    <col min="6669" max="6669" width="19.85546875" style="118" customWidth="1"/>
    <col min="6670" max="6670" width="34.42578125" style="118" customWidth="1"/>
    <col min="6671" max="6671" width="18.140625" style="118" customWidth="1"/>
    <col min="6672" max="6672" width="24.7109375" style="118" customWidth="1"/>
    <col min="6673" max="6673" width="23.28515625" style="118" customWidth="1"/>
    <col min="6674" max="6674" width="18.42578125" style="118" customWidth="1"/>
    <col min="6675" max="6675" width="27.85546875" style="118" customWidth="1"/>
    <col min="6676" max="6676" width="49.42578125" style="118" customWidth="1"/>
    <col min="6677" max="6677" width="32.140625" style="118" customWidth="1"/>
    <col min="6678" max="6678" width="22.42578125" style="118" customWidth="1"/>
    <col min="6679" max="6679" width="33" style="118" customWidth="1"/>
    <col min="6680" max="6680" width="58.85546875" style="118" customWidth="1"/>
    <col min="6681" max="6681" width="37.85546875" style="118" customWidth="1"/>
    <col min="6682" max="6682" width="17.5703125" style="118" customWidth="1"/>
    <col min="6683" max="6683" width="16.5703125" style="118" customWidth="1"/>
    <col min="6684" max="6684" width="28.7109375" style="118" customWidth="1"/>
    <col min="6685" max="6685" width="23.85546875" style="118" customWidth="1"/>
    <col min="6686" max="6912" width="9.140625" style="118"/>
    <col min="6913" max="6914" width="0" style="118" hidden="1" customWidth="1"/>
    <col min="6915" max="6915" width="15.7109375" style="118" customWidth="1"/>
    <col min="6916" max="6916" width="93.42578125" style="118" customWidth="1"/>
    <col min="6917" max="6917" width="32.28515625" style="118" customWidth="1"/>
    <col min="6918" max="6918" width="23.7109375" style="118" customWidth="1"/>
    <col min="6919" max="6919" width="26.42578125" style="118" customWidth="1"/>
    <col min="6920" max="6920" width="26.5703125" style="118" customWidth="1"/>
    <col min="6921" max="6921" width="27.85546875" style="118" customWidth="1"/>
    <col min="6922" max="6922" width="28.140625" style="118" customWidth="1"/>
    <col min="6923" max="6923" width="24.28515625" style="118" customWidth="1"/>
    <col min="6924" max="6924" width="13.140625" style="118" customWidth="1"/>
    <col min="6925" max="6925" width="19.85546875" style="118" customWidth="1"/>
    <col min="6926" max="6926" width="34.42578125" style="118" customWidth="1"/>
    <col min="6927" max="6927" width="18.140625" style="118" customWidth="1"/>
    <col min="6928" max="6928" width="24.7109375" style="118" customWidth="1"/>
    <col min="6929" max="6929" width="23.28515625" style="118" customWidth="1"/>
    <col min="6930" max="6930" width="18.42578125" style="118" customWidth="1"/>
    <col min="6931" max="6931" width="27.85546875" style="118" customWidth="1"/>
    <col min="6932" max="6932" width="49.42578125" style="118" customWidth="1"/>
    <col min="6933" max="6933" width="32.140625" style="118" customWidth="1"/>
    <col min="6934" max="6934" width="22.42578125" style="118" customWidth="1"/>
    <col min="6935" max="6935" width="33" style="118" customWidth="1"/>
    <col min="6936" max="6936" width="58.85546875" style="118" customWidth="1"/>
    <col min="6937" max="6937" width="37.85546875" style="118" customWidth="1"/>
    <col min="6938" max="6938" width="17.5703125" style="118" customWidth="1"/>
    <col min="6939" max="6939" width="16.5703125" style="118" customWidth="1"/>
    <col min="6940" max="6940" width="28.7109375" style="118" customWidth="1"/>
    <col min="6941" max="6941" width="23.85546875" style="118" customWidth="1"/>
    <col min="6942" max="7168" width="9.140625" style="118"/>
    <col min="7169" max="7170" width="0" style="118" hidden="1" customWidth="1"/>
    <col min="7171" max="7171" width="15.7109375" style="118" customWidth="1"/>
    <col min="7172" max="7172" width="93.42578125" style="118" customWidth="1"/>
    <col min="7173" max="7173" width="32.28515625" style="118" customWidth="1"/>
    <col min="7174" max="7174" width="23.7109375" style="118" customWidth="1"/>
    <col min="7175" max="7175" width="26.42578125" style="118" customWidth="1"/>
    <col min="7176" max="7176" width="26.5703125" style="118" customWidth="1"/>
    <col min="7177" max="7177" width="27.85546875" style="118" customWidth="1"/>
    <col min="7178" max="7178" width="28.140625" style="118" customWidth="1"/>
    <col min="7179" max="7179" width="24.28515625" style="118" customWidth="1"/>
    <col min="7180" max="7180" width="13.140625" style="118" customWidth="1"/>
    <col min="7181" max="7181" width="19.85546875" style="118" customWidth="1"/>
    <col min="7182" max="7182" width="34.42578125" style="118" customWidth="1"/>
    <col min="7183" max="7183" width="18.140625" style="118" customWidth="1"/>
    <col min="7184" max="7184" width="24.7109375" style="118" customWidth="1"/>
    <col min="7185" max="7185" width="23.28515625" style="118" customWidth="1"/>
    <col min="7186" max="7186" width="18.42578125" style="118" customWidth="1"/>
    <col min="7187" max="7187" width="27.85546875" style="118" customWidth="1"/>
    <col min="7188" max="7188" width="49.42578125" style="118" customWidth="1"/>
    <col min="7189" max="7189" width="32.140625" style="118" customWidth="1"/>
    <col min="7190" max="7190" width="22.42578125" style="118" customWidth="1"/>
    <col min="7191" max="7191" width="33" style="118" customWidth="1"/>
    <col min="7192" max="7192" width="58.85546875" style="118" customWidth="1"/>
    <col min="7193" max="7193" width="37.85546875" style="118" customWidth="1"/>
    <col min="7194" max="7194" width="17.5703125" style="118" customWidth="1"/>
    <col min="7195" max="7195" width="16.5703125" style="118" customWidth="1"/>
    <col min="7196" max="7196" width="28.7109375" style="118" customWidth="1"/>
    <col min="7197" max="7197" width="23.85546875" style="118" customWidth="1"/>
    <col min="7198" max="7424" width="9.140625" style="118"/>
    <col min="7425" max="7426" width="0" style="118" hidden="1" customWidth="1"/>
    <col min="7427" max="7427" width="15.7109375" style="118" customWidth="1"/>
    <col min="7428" max="7428" width="93.42578125" style="118" customWidth="1"/>
    <col min="7429" max="7429" width="32.28515625" style="118" customWidth="1"/>
    <col min="7430" max="7430" width="23.7109375" style="118" customWidth="1"/>
    <col min="7431" max="7431" width="26.42578125" style="118" customWidth="1"/>
    <col min="7432" max="7432" width="26.5703125" style="118" customWidth="1"/>
    <col min="7433" max="7433" width="27.85546875" style="118" customWidth="1"/>
    <col min="7434" max="7434" width="28.140625" style="118" customWidth="1"/>
    <col min="7435" max="7435" width="24.28515625" style="118" customWidth="1"/>
    <col min="7436" max="7436" width="13.140625" style="118" customWidth="1"/>
    <col min="7437" max="7437" width="19.85546875" style="118" customWidth="1"/>
    <col min="7438" max="7438" width="34.42578125" style="118" customWidth="1"/>
    <col min="7439" max="7439" width="18.140625" style="118" customWidth="1"/>
    <col min="7440" max="7440" width="24.7109375" style="118" customWidth="1"/>
    <col min="7441" max="7441" width="23.28515625" style="118" customWidth="1"/>
    <col min="7442" max="7442" width="18.42578125" style="118" customWidth="1"/>
    <col min="7443" max="7443" width="27.85546875" style="118" customWidth="1"/>
    <col min="7444" max="7444" width="49.42578125" style="118" customWidth="1"/>
    <col min="7445" max="7445" width="32.140625" style="118" customWidth="1"/>
    <col min="7446" max="7446" width="22.42578125" style="118" customWidth="1"/>
    <col min="7447" max="7447" width="33" style="118" customWidth="1"/>
    <col min="7448" max="7448" width="58.85546875" style="118" customWidth="1"/>
    <col min="7449" max="7449" width="37.85546875" style="118" customWidth="1"/>
    <col min="7450" max="7450" width="17.5703125" style="118" customWidth="1"/>
    <col min="7451" max="7451" width="16.5703125" style="118" customWidth="1"/>
    <col min="7452" max="7452" width="28.7109375" style="118" customWidth="1"/>
    <col min="7453" max="7453" width="23.85546875" style="118" customWidth="1"/>
    <col min="7454" max="7680" width="9.140625" style="118"/>
    <col min="7681" max="7682" width="0" style="118" hidden="1" customWidth="1"/>
    <col min="7683" max="7683" width="15.7109375" style="118" customWidth="1"/>
    <col min="7684" max="7684" width="93.42578125" style="118" customWidth="1"/>
    <col min="7685" max="7685" width="32.28515625" style="118" customWidth="1"/>
    <col min="7686" max="7686" width="23.7109375" style="118" customWidth="1"/>
    <col min="7687" max="7687" width="26.42578125" style="118" customWidth="1"/>
    <col min="7688" max="7688" width="26.5703125" style="118" customWidth="1"/>
    <col min="7689" max="7689" width="27.85546875" style="118" customWidth="1"/>
    <col min="7690" max="7690" width="28.140625" style="118" customWidth="1"/>
    <col min="7691" max="7691" width="24.28515625" style="118" customWidth="1"/>
    <col min="7692" max="7692" width="13.140625" style="118" customWidth="1"/>
    <col min="7693" max="7693" width="19.85546875" style="118" customWidth="1"/>
    <col min="7694" max="7694" width="34.42578125" style="118" customWidth="1"/>
    <col min="7695" max="7695" width="18.140625" style="118" customWidth="1"/>
    <col min="7696" max="7696" width="24.7109375" style="118" customWidth="1"/>
    <col min="7697" max="7697" width="23.28515625" style="118" customWidth="1"/>
    <col min="7698" max="7698" width="18.42578125" style="118" customWidth="1"/>
    <col min="7699" max="7699" width="27.85546875" style="118" customWidth="1"/>
    <col min="7700" max="7700" width="49.42578125" style="118" customWidth="1"/>
    <col min="7701" max="7701" width="32.140625" style="118" customWidth="1"/>
    <col min="7702" max="7702" width="22.42578125" style="118" customWidth="1"/>
    <col min="7703" max="7703" width="33" style="118" customWidth="1"/>
    <col min="7704" max="7704" width="58.85546875" style="118" customWidth="1"/>
    <col min="7705" max="7705" width="37.85546875" style="118" customWidth="1"/>
    <col min="7706" max="7706" width="17.5703125" style="118" customWidth="1"/>
    <col min="7707" max="7707" width="16.5703125" style="118" customWidth="1"/>
    <col min="7708" max="7708" width="28.7109375" style="118" customWidth="1"/>
    <col min="7709" max="7709" width="23.85546875" style="118" customWidth="1"/>
    <col min="7710" max="7936" width="9.140625" style="118"/>
    <col min="7937" max="7938" width="0" style="118" hidden="1" customWidth="1"/>
    <col min="7939" max="7939" width="15.7109375" style="118" customWidth="1"/>
    <col min="7940" max="7940" width="93.42578125" style="118" customWidth="1"/>
    <col min="7941" max="7941" width="32.28515625" style="118" customWidth="1"/>
    <col min="7942" max="7942" width="23.7109375" style="118" customWidth="1"/>
    <col min="7943" max="7943" width="26.42578125" style="118" customWidth="1"/>
    <col min="7944" max="7944" width="26.5703125" style="118" customWidth="1"/>
    <col min="7945" max="7945" width="27.85546875" style="118" customWidth="1"/>
    <col min="7946" max="7946" width="28.140625" style="118" customWidth="1"/>
    <col min="7947" max="7947" width="24.28515625" style="118" customWidth="1"/>
    <col min="7948" max="7948" width="13.140625" style="118" customWidth="1"/>
    <col min="7949" max="7949" width="19.85546875" style="118" customWidth="1"/>
    <col min="7950" max="7950" width="34.42578125" style="118" customWidth="1"/>
    <col min="7951" max="7951" width="18.140625" style="118" customWidth="1"/>
    <col min="7952" max="7952" width="24.7109375" style="118" customWidth="1"/>
    <col min="7953" max="7953" width="23.28515625" style="118" customWidth="1"/>
    <col min="7954" max="7954" width="18.42578125" style="118" customWidth="1"/>
    <col min="7955" max="7955" width="27.85546875" style="118" customWidth="1"/>
    <col min="7956" max="7956" width="49.42578125" style="118" customWidth="1"/>
    <col min="7957" max="7957" width="32.140625" style="118" customWidth="1"/>
    <col min="7958" max="7958" width="22.42578125" style="118" customWidth="1"/>
    <col min="7959" max="7959" width="33" style="118" customWidth="1"/>
    <col min="7960" max="7960" width="58.85546875" style="118" customWidth="1"/>
    <col min="7961" max="7961" width="37.85546875" style="118" customWidth="1"/>
    <col min="7962" max="7962" width="17.5703125" style="118" customWidth="1"/>
    <col min="7963" max="7963" width="16.5703125" style="118" customWidth="1"/>
    <col min="7964" max="7964" width="28.7109375" style="118" customWidth="1"/>
    <col min="7965" max="7965" width="23.85546875" style="118" customWidth="1"/>
    <col min="7966" max="8192" width="9.140625" style="118"/>
    <col min="8193" max="8194" width="0" style="118" hidden="1" customWidth="1"/>
    <col min="8195" max="8195" width="15.7109375" style="118" customWidth="1"/>
    <col min="8196" max="8196" width="93.42578125" style="118" customWidth="1"/>
    <col min="8197" max="8197" width="32.28515625" style="118" customWidth="1"/>
    <col min="8198" max="8198" width="23.7109375" style="118" customWidth="1"/>
    <col min="8199" max="8199" width="26.42578125" style="118" customWidth="1"/>
    <col min="8200" max="8200" width="26.5703125" style="118" customWidth="1"/>
    <col min="8201" max="8201" width="27.85546875" style="118" customWidth="1"/>
    <col min="8202" max="8202" width="28.140625" style="118" customWidth="1"/>
    <col min="8203" max="8203" width="24.28515625" style="118" customWidth="1"/>
    <col min="8204" max="8204" width="13.140625" style="118" customWidth="1"/>
    <col min="8205" max="8205" width="19.85546875" style="118" customWidth="1"/>
    <col min="8206" max="8206" width="34.42578125" style="118" customWidth="1"/>
    <col min="8207" max="8207" width="18.140625" style="118" customWidth="1"/>
    <col min="8208" max="8208" width="24.7109375" style="118" customWidth="1"/>
    <col min="8209" max="8209" width="23.28515625" style="118" customWidth="1"/>
    <col min="8210" max="8210" width="18.42578125" style="118" customWidth="1"/>
    <col min="8211" max="8211" width="27.85546875" style="118" customWidth="1"/>
    <col min="8212" max="8212" width="49.42578125" style="118" customWidth="1"/>
    <col min="8213" max="8213" width="32.140625" style="118" customWidth="1"/>
    <col min="8214" max="8214" width="22.42578125" style="118" customWidth="1"/>
    <col min="8215" max="8215" width="33" style="118" customWidth="1"/>
    <col min="8216" max="8216" width="58.85546875" style="118" customWidth="1"/>
    <col min="8217" max="8217" width="37.85546875" style="118" customWidth="1"/>
    <col min="8218" max="8218" width="17.5703125" style="118" customWidth="1"/>
    <col min="8219" max="8219" width="16.5703125" style="118" customWidth="1"/>
    <col min="8220" max="8220" width="28.7109375" style="118" customWidth="1"/>
    <col min="8221" max="8221" width="23.85546875" style="118" customWidth="1"/>
    <col min="8222" max="8448" width="9.140625" style="118"/>
    <col min="8449" max="8450" width="0" style="118" hidden="1" customWidth="1"/>
    <col min="8451" max="8451" width="15.7109375" style="118" customWidth="1"/>
    <col min="8452" max="8452" width="93.42578125" style="118" customWidth="1"/>
    <col min="8453" max="8453" width="32.28515625" style="118" customWidth="1"/>
    <col min="8454" max="8454" width="23.7109375" style="118" customWidth="1"/>
    <col min="8455" max="8455" width="26.42578125" style="118" customWidth="1"/>
    <col min="8456" max="8456" width="26.5703125" style="118" customWidth="1"/>
    <col min="8457" max="8457" width="27.85546875" style="118" customWidth="1"/>
    <col min="8458" max="8458" width="28.140625" style="118" customWidth="1"/>
    <col min="8459" max="8459" width="24.28515625" style="118" customWidth="1"/>
    <col min="8460" max="8460" width="13.140625" style="118" customWidth="1"/>
    <col min="8461" max="8461" width="19.85546875" style="118" customWidth="1"/>
    <col min="8462" max="8462" width="34.42578125" style="118" customWidth="1"/>
    <col min="8463" max="8463" width="18.140625" style="118" customWidth="1"/>
    <col min="8464" max="8464" width="24.7109375" style="118" customWidth="1"/>
    <col min="8465" max="8465" width="23.28515625" style="118" customWidth="1"/>
    <col min="8466" max="8466" width="18.42578125" style="118" customWidth="1"/>
    <col min="8467" max="8467" width="27.85546875" style="118" customWidth="1"/>
    <col min="8468" max="8468" width="49.42578125" style="118" customWidth="1"/>
    <col min="8469" max="8469" width="32.140625" style="118" customWidth="1"/>
    <col min="8470" max="8470" width="22.42578125" style="118" customWidth="1"/>
    <col min="8471" max="8471" width="33" style="118" customWidth="1"/>
    <col min="8472" max="8472" width="58.85546875" style="118" customWidth="1"/>
    <col min="8473" max="8473" width="37.85546875" style="118" customWidth="1"/>
    <col min="8474" max="8474" width="17.5703125" style="118" customWidth="1"/>
    <col min="8475" max="8475" width="16.5703125" style="118" customWidth="1"/>
    <col min="8476" max="8476" width="28.7109375" style="118" customWidth="1"/>
    <col min="8477" max="8477" width="23.85546875" style="118" customWidth="1"/>
    <col min="8478" max="8704" width="9.140625" style="118"/>
    <col min="8705" max="8706" width="0" style="118" hidden="1" customWidth="1"/>
    <col min="8707" max="8707" width="15.7109375" style="118" customWidth="1"/>
    <col min="8708" max="8708" width="93.42578125" style="118" customWidth="1"/>
    <col min="8709" max="8709" width="32.28515625" style="118" customWidth="1"/>
    <col min="8710" max="8710" width="23.7109375" style="118" customWidth="1"/>
    <col min="8711" max="8711" width="26.42578125" style="118" customWidth="1"/>
    <col min="8712" max="8712" width="26.5703125" style="118" customWidth="1"/>
    <col min="8713" max="8713" width="27.85546875" style="118" customWidth="1"/>
    <col min="8714" max="8714" width="28.140625" style="118" customWidth="1"/>
    <col min="8715" max="8715" width="24.28515625" style="118" customWidth="1"/>
    <col min="8716" max="8716" width="13.140625" style="118" customWidth="1"/>
    <col min="8717" max="8717" width="19.85546875" style="118" customWidth="1"/>
    <col min="8718" max="8718" width="34.42578125" style="118" customWidth="1"/>
    <col min="8719" max="8719" width="18.140625" style="118" customWidth="1"/>
    <col min="8720" max="8720" width="24.7109375" style="118" customWidth="1"/>
    <col min="8721" max="8721" width="23.28515625" style="118" customWidth="1"/>
    <col min="8722" max="8722" width="18.42578125" style="118" customWidth="1"/>
    <col min="8723" max="8723" width="27.85546875" style="118" customWidth="1"/>
    <col min="8724" max="8724" width="49.42578125" style="118" customWidth="1"/>
    <col min="8725" max="8725" width="32.140625" style="118" customWidth="1"/>
    <col min="8726" max="8726" width="22.42578125" style="118" customWidth="1"/>
    <col min="8727" max="8727" width="33" style="118" customWidth="1"/>
    <col min="8728" max="8728" width="58.85546875" style="118" customWidth="1"/>
    <col min="8729" max="8729" width="37.85546875" style="118" customWidth="1"/>
    <col min="8730" max="8730" width="17.5703125" style="118" customWidth="1"/>
    <col min="8731" max="8731" width="16.5703125" style="118" customWidth="1"/>
    <col min="8732" max="8732" width="28.7109375" style="118" customWidth="1"/>
    <col min="8733" max="8733" width="23.85546875" style="118" customWidth="1"/>
    <col min="8734" max="8960" width="9.140625" style="118"/>
    <col min="8961" max="8962" width="0" style="118" hidden="1" customWidth="1"/>
    <col min="8963" max="8963" width="15.7109375" style="118" customWidth="1"/>
    <col min="8964" max="8964" width="93.42578125" style="118" customWidth="1"/>
    <col min="8965" max="8965" width="32.28515625" style="118" customWidth="1"/>
    <col min="8966" max="8966" width="23.7109375" style="118" customWidth="1"/>
    <col min="8967" max="8967" width="26.42578125" style="118" customWidth="1"/>
    <col min="8968" max="8968" width="26.5703125" style="118" customWidth="1"/>
    <col min="8969" max="8969" width="27.85546875" style="118" customWidth="1"/>
    <col min="8970" max="8970" width="28.140625" style="118" customWidth="1"/>
    <col min="8971" max="8971" width="24.28515625" style="118" customWidth="1"/>
    <col min="8972" max="8972" width="13.140625" style="118" customWidth="1"/>
    <col min="8973" max="8973" width="19.85546875" style="118" customWidth="1"/>
    <col min="8974" max="8974" width="34.42578125" style="118" customWidth="1"/>
    <col min="8975" max="8975" width="18.140625" style="118" customWidth="1"/>
    <col min="8976" max="8976" width="24.7109375" style="118" customWidth="1"/>
    <col min="8977" max="8977" width="23.28515625" style="118" customWidth="1"/>
    <col min="8978" max="8978" width="18.42578125" style="118" customWidth="1"/>
    <col min="8979" max="8979" width="27.85546875" style="118" customWidth="1"/>
    <col min="8980" max="8980" width="49.42578125" style="118" customWidth="1"/>
    <col min="8981" max="8981" width="32.140625" style="118" customWidth="1"/>
    <col min="8982" max="8982" width="22.42578125" style="118" customWidth="1"/>
    <col min="8983" max="8983" width="33" style="118" customWidth="1"/>
    <col min="8984" max="8984" width="58.85546875" style="118" customWidth="1"/>
    <col min="8985" max="8985" width="37.85546875" style="118" customWidth="1"/>
    <col min="8986" max="8986" width="17.5703125" style="118" customWidth="1"/>
    <col min="8987" max="8987" width="16.5703125" style="118" customWidth="1"/>
    <col min="8988" max="8988" width="28.7109375" style="118" customWidth="1"/>
    <col min="8989" max="8989" width="23.85546875" style="118" customWidth="1"/>
    <col min="8990" max="9216" width="9.140625" style="118"/>
    <col min="9217" max="9218" width="0" style="118" hidden="1" customWidth="1"/>
    <col min="9219" max="9219" width="15.7109375" style="118" customWidth="1"/>
    <col min="9220" max="9220" width="93.42578125" style="118" customWidth="1"/>
    <col min="9221" max="9221" width="32.28515625" style="118" customWidth="1"/>
    <col min="9222" max="9222" width="23.7109375" style="118" customWidth="1"/>
    <col min="9223" max="9223" width="26.42578125" style="118" customWidth="1"/>
    <col min="9224" max="9224" width="26.5703125" style="118" customWidth="1"/>
    <col min="9225" max="9225" width="27.85546875" style="118" customWidth="1"/>
    <col min="9226" max="9226" width="28.140625" style="118" customWidth="1"/>
    <col min="9227" max="9227" width="24.28515625" style="118" customWidth="1"/>
    <col min="9228" max="9228" width="13.140625" style="118" customWidth="1"/>
    <col min="9229" max="9229" width="19.85546875" style="118" customWidth="1"/>
    <col min="9230" max="9230" width="34.42578125" style="118" customWidth="1"/>
    <col min="9231" max="9231" width="18.140625" style="118" customWidth="1"/>
    <col min="9232" max="9232" width="24.7109375" style="118" customWidth="1"/>
    <col min="9233" max="9233" width="23.28515625" style="118" customWidth="1"/>
    <col min="9234" max="9234" width="18.42578125" style="118" customWidth="1"/>
    <col min="9235" max="9235" width="27.85546875" style="118" customWidth="1"/>
    <col min="9236" max="9236" width="49.42578125" style="118" customWidth="1"/>
    <col min="9237" max="9237" width="32.140625" style="118" customWidth="1"/>
    <col min="9238" max="9238" width="22.42578125" style="118" customWidth="1"/>
    <col min="9239" max="9239" width="33" style="118" customWidth="1"/>
    <col min="9240" max="9240" width="58.85546875" style="118" customWidth="1"/>
    <col min="9241" max="9241" width="37.85546875" style="118" customWidth="1"/>
    <col min="9242" max="9242" width="17.5703125" style="118" customWidth="1"/>
    <col min="9243" max="9243" width="16.5703125" style="118" customWidth="1"/>
    <col min="9244" max="9244" width="28.7109375" style="118" customWidth="1"/>
    <col min="9245" max="9245" width="23.85546875" style="118" customWidth="1"/>
    <col min="9246" max="9472" width="9.140625" style="118"/>
    <col min="9473" max="9474" width="0" style="118" hidden="1" customWidth="1"/>
    <col min="9475" max="9475" width="15.7109375" style="118" customWidth="1"/>
    <col min="9476" max="9476" width="93.42578125" style="118" customWidth="1"/>
    <col min="9477" max="9477" width="32.28515625" style="118" customWidth="1"/>
    <col min="9478" max="9478" width="23.7109375" style="118" customWidth="1"/>
    <col min="9479" max="9479" width="26.42578125" style="118" customWidth="1"/>
    <col min="9480" max="9480" width="26.5703125" style="118" customWidth="1"/>
    <col min="9481" max="9481" width="27.85546875" style="118" customWidth="1"/>
    <col min="9482" max="9482" width="28.140625" style="118" customWidth="1"/>
    <col min="9483" max="9483" width="24.28515625" style="118" customWidth="1"/>
    <col min="9484" max="9484" width="13.140625" style="118" customWidth="1"/>
    <col min="9485" max="9485" width="19.85546875" style="118" customWidth="1"/>
    <col min="9486" max="9486" width="34.42578125" style="118" customWidth="1"/>
    <col min="9487" max="9487" width="18.140625" style="118" customWidth="1"/>
    <col min="9488" max="9488" width="24.7109375" style="118" customWidth="1"/>
    <col min="9489" max="9489" width="23.28515625" style="118" customWidth="1"/>
    <col min="9490" max="9490" width="18.42578125" style="118" customWidth="1"/>
    <col min="9491" max="9491" width="27.85546875" style="118" customWidth="1"/>
    <col min="9492" max="9492" width="49.42578125" style="118" customWidth="1"/>
    <col min="9493" max="9493" width="32.140625" style="118" customWidth="1"/>
    <col min="9494" max="9494" width="22.42578125" style="118" customWidth="1"/>
    <col min="9495" max="9495" width="33" style="118" customWidth="1"/>
    <col min="9496" max="9496" width="58.85546875" style="118" customWidth="1"/>
    <col min="9497" max="9497" width="37.85546875" style="118" customWidth="1"/>
    <col min="9498" max="9498" width="17.5703125" style="118" customWidth="1"/>
    <col min="9499" max="9499" width="16.5703125" style="118" customWidth="1"/>
    <col min="9500" max="9500" width="28.7109375" style="118" customWidth="1"/>
    <col min="9501" max="9501" width="23.85546875" style="118" customWidth="1"/>
    <col min="9502" max="9728" width="9.140625" style="118"/>
    <col min="9729" max="9730" width="0" style="118" hidden="1" customWidth="1"/>
    <col min="9731" max="9731" width="15.7109375" style="118" customWidth="1"/>
    <col min="9732" max="9732" width="93.42578125" style="118" customWidth="1"/>
    <col min="9733" max="9733" width="32.28515625" style="118" customWidth="1"/>
    <col min="9734" max="9734" width="23.7109375" style="118" customWidth="1"/>
    <col min="9735" max="9735" width="26.42578125" style="118" customWidth="1"/>
    <col min="9736" max="9736" width="26.5703125" style="118" customWidth="1"/>
    <col min="9737" max="9737" width="27.85546875" style="118" customWidth="1"/>
    <col min="9738" max="9738" width="28.140625" style="118" customWidth="1"/>
    <col min="9739" max="9739" width="24.28515625" style="118" customWidth="1"/>
    <col min="9740" max="9740" width="13.140625" style="118" customWidth="1"/>
    <col min="9741" max="9741" width="19.85546875" style="118" customWidth="1"/>
    <col min="9742" max="9742" width="34.42578125" style="118" customWidth="1"/>
    <col min="9743" max="9743" width="18.140625" style="118" customWidth="1"/>
    <col min="9744" max="9744" width="24.7109375" style="118" customWidth="1"/>
    <col min="9745" max="9745" width="23.28515625" style="118" customWidth="1"/>
    <col min="9746" max="9746" width="18.42578125" style="118" customWidth="1"/>
    <col min="9747" max="9747" width="27.85546875" style="118" customWidth="1"/>
    <col min="9748" max="9748" width="49.42578125" style="118" customWidth="1"/>
    <col min="9749" max="9749" width="32.140625" style="118" customWidth="1"/>
    <col min="9750" max="9750" width="22.42578125" style="118" customWidth="1"/>
    <col min="9751" max="9751" width="33" style="118" customWidth="1"/>
    <col min="9752" max="9752" width="58.85546875" style="118" customWidth="1"/>
    <col min="9753" max="9753" width="37.85546875" style="118" customWidth="1"/>
    <col min="9754" max="9754" width="17.5703125" style="118" customWidth="1"/>
    <col min="9755" max="9755" width="16.5703125" style="118" customWidth="1"/>
    <col min="9756" max="9756" width="28.7109375" style="118" customWidth="1"/>
    <col min="9757" max="9757" width="23.85546875" style="118" customWidth="1"/>
    <col min="9758" max="9984" width="9.140625" style="118"/>
    <col min="9985" max="9986" width="0" style="118" hidden="1" customWidth="1"/>
    <col min="9987" max="9987" width="15.7109375" style="118" customWidth="1"/>
    <col min="9988" max="9988" width="93.42578125" style="118" customWidth="1"/>
    <col min="9989" max="9989" width="32.28515625" style="118" customWidth="1"/>
    <col min="9990" max="9990" width="23.7109375" style="118" customWidth="1"/>
    <col min="9991" max="9991" width="26.42578125" style="118" customWidth="1"/>
    <col min="9992" max="9992" width="26.5703125" style="118" customWidth="1"/>
    <col min="9993" max="9993" width="27.85546875" style="118" customWidth="1"/>
    <col min="9994" max="9994" width="28.140625" style="118" customWidth="1"/>
    <col min="9995" max="9995" width="24.28515625" style="118" customWidth="1"/>
    <col min="9996" max="9996" width="13.140625" style="118" customWidth="1"/>
    <col min="9997" max="9997" width="19.85546875" style="118" customWidth="1"/>
    <col min="9998" max="9998" width="34.42578125" style="118" customWidth="1"/>
    <col min="9999" max="9999" width="18.140625" style="118" customWidth="1"/>
    <col min="10000" max="10000" width="24.7109375" style="118" customWidth="1"/>
    <col min="10001" max="10001" width="23.28515625" style="118" customWidth="1"/>
    <col min="10002" max="10002" width="18.42578125" style="118" customWidth="1"/>
    <col min="10003" max="10003" width="27.85546875" style="118" customWidth="1"/>
    <col min="10004" max="10004" width="49.42578125" style="118" customWidth="1"/>
    <col min="10005" max="10005" width="32.140625" style="118" customWidth="1"/>
    <col min="10006" max="10006" width="22.42578125" style="118" customWidth="1"/>
    <col min="10007" max="10007" width="33" style="118" customWidth="1"/>
    <col min="10008" max="10008" width="58.85546875" style="118" customWidth="1"/>
    <col min="10009" max="10009" width="37.85546875" style="118" customWidth="1"/>
    <col min="10010" max="10010" width="17.5703125" style="118" customWidth="1"/>
    <col min="10011" max="10011" width="16.5703125" style="118" customWidth="1"/>
    <col min="10012" max="10012" width="28.7109375" style="118" customWidth="1"/>
    <col min="10013" max="10013" width="23.85546875" style="118" customWidth="1"/>
    <col min="10014" max="10240" width="9.140625" style="118"/>
    <col min="10241" max="10242" width="0" style="118" hidden="1" customWidth="1"/>
    <col min="10243" max="10243" width="15.7109375" style="118" customWidth="1"/>
    <col min="10244" max="10244" width="93.42578125" style="118" customWidth="1"/>
    <col min="10245" max="10245" width="32.28515625" style="118" customWidth="1"/>
    <col min="10246" max="10246" width="23.7109375" style="118" customWidth="1"/>
    <col min="10247" max="10247" width="26.42578125" style="118" customWidth="1"/>
    <col min="10248" max="10248" width="26.5703125" style="118" customWidth="1"/>
    <col min="10249" max="10249" width="27.85546875" style="118" customWidth="1"/>
    <col min="10250" max="10250" width="28.140625" style="118" customWidth="1"/>
    <col min="10251" max="10251" width="24.28515625" style="118" customWidth="1"/>
    <col min="10252" max="10252" width="13.140625" style="118" customWidth="1"/>
    <col min="10253" max="10253" width="19.85546875" style="118" customWidth="1"/>
    <col min="10254" max="10254" width="34.42578125" style="118" customWidth="1"/>
    <col min="10255" max="10255" width="18.140625" style="118" customWidth="1"/>
    <col min="10256" max="10256" width="24.7109375" style="118" customWidth="1"/>
    <col min="10257" max="10257" width="23.28515625" style="118" customWidth="1"/>
    <col min="10258" max="10258" width="18.42578125" style="118" customWidth="1"/>
    <col min="10259" max="10259" width="27.85546875" style="118" customWidth="1"/>
    <col min="10260" max="10260" width="49.42578125" style="118" customWidth="1"/>
    <col min="10261" max="10261" width="32.140625" style="118" customWidth="1"/>
    <col min="10262" max="10262" width="22.42578125" style="118" customWidth="1"/>
    <col min="10263" max="10263" width="33" style="118" customWidth="1"/>
    <col min="10264" max="10264" width="58.85546875" style="118" customWidth="1"/>
    <col min="10265" max="10265" width="37.85546875" style="118" customWidth="1"/>
    <col min="10266" max="10266" width="17.5703125" style="118" customWidth="1"/>
    <col min="10267" max="10267" width="16.5703125" style="118" customWidth="1"/>
    <col min="10268" max="10268" width="28.7109375" style="118" customWidth="1"/>
    <col min="10269" max="10269" width="23.85546875" style="118" customWidth="1"/>
    <col min="10270" max="10496" width="9.140625" style="118"/>
    <col min="10497" max="10498" width="0" style="118" hidden="1" customWidth="1"/>
    <col min="10499" max="10499" width="15.7109375" style="118" customWidth="1"/>
    <col min="10500" max="10500" width="93.42578125" style="118" customWidth="1"/>
    <col min="10501" max="10501" width="32.28515625" style="118" customWidth="1"/>
    <col min="10502" max="10502" width="23.7109375" style="118" customWidth="1"/>
    <col min="10503" max="10503" width="26.42578125" style="118" customWidth="1"/>
    <col min="10504" max="10504" width="26.5703125" style="118" customWidth="1"/>
    <col min="10505" max="10505" width="27.85546875" style="118" customWidth="1"/>
    <col min="10506" max="10506" width="28.140625" style="118" customWidth="1"/>
    <col min="10507" max="10507" width="24.28515625" style="118" customWidth="1"/>
    <col min="10508" max="10508" width="13.140625" style="118" customWidth="1"/>
    <col min="10509" max="10509" width="19.85546875" style="118" customWidth="1"/>
    <col min="10510" max="10510" width="34.42578125" style="118" customWidth="1"/>
    <col min="10511" max="10511" width="18.140625" style="118" customWidth="1"/>
    <col min="10512" max="10512" width="24.7109375" style="118" customWidth="1"/>
    <col min="10513" max="10513" width="23.28515625" style="118" customWidth="1"/>
    <col min="10514" max="10514" width="18.42578125" style="118" customWidth="1"/>
    <col min="10515" max="10515" width="27.85546875" style="118" customWidth="1"/>
    <col min="10516" max="10516" width="49.42578125" style="118" customWidth="1"/>
    <col min="10517" max="10517" width="32.140625" style="118" customWidth="1"/>
    <col min="10518" max="10518" width="22.42578125" style="118" customWidth="1"/>
    <col min="10519" max="10519" width="33" style="118" customWidth="1"/>
    <col min="10520" max="10520" width="58.85546875" style="118" customWidth="1"/>
    <col min="10521" max="10521" width="37.85546875" style="118" customWidth="1"/>
    <col min="10522" max="10522" width="17.5703125" style="118" customWidth="1"/>
    <col min="10523" max="10523" width="16.5703125" style="118" customWidth="1"/>
    <col min="10524" max="10524" width="28.7109375" style="118" customWidth="1"/>
    <col min="10525" max="10525" width="23.85546875" style="118" customWidth="1"/>
    <col min="10526" max="10752" width="9.140625" style="118"/>
    <col min="10753" max="10754" width="0" style="118" hidden="1" customWidth="1"/>
    <col min="10755" max="10755" width="15.7109375" style="118" customWidth="1"/>
    <col min="10756" max="10756" width="93.42578125" style="118" customWidth="1"/>
    <col min="10757" max="10757" width="32.28515625" style="118" customWidth="1"/>
    <col min="10758" max="10758" width="23.7109375" style="118" customWidth="1"/>
    <col min="10759" max="10759" width="26.42578125" style="118" customWidth="1"/>
    <col min="10760" max="10760" width="26.5703125" style="118" customWidth="1"/>
    <col min="10761" max="10761" width="27.85546875" style="118" customWidth="1"/>
    <col min="10762" max="10762" width="28.140625" style="118" customWidth="1"/>
    <col min="10763" max="10763" width="24.28515625" style="118" customWidth="1"/>
    <col min="10764" max="10764" width="13.140625" style="118" customWidth="1"/>
    <col min="10765" max="10765" width="19.85546875" style="118" customWidth="1"/>
    <col min="10766" max="10766" width="34.42578125" style="118" customWidth="1"/>
    <col min="10767" max="10767" width="18.140625" style="118" customWidth="1"/>
    <col min="10768" max="10768" width="24.7109375" style="118" customWidth="1"/>
    <col min="10769" max="10769" width="23.28515625" style="118" customWidth="1"/>
    <col min="10770" max="10770" width="18.42578125" style="118" customWidth="1"/>
    <col min="10771" max="10771" width="27.85546875" style="118" customWidth="1"/>
    <col min="10772" max="10772" width="49.42578125" style="118" customWidth="1"/>
    <col min="10773" max="10773" width="32.140625" style="118" customWidth="1"/>
    <col min="10774" max="10774" width="22.42578125" style="118" customWidth="1"/>
    <col min="10775" max="10775" width="33" style="118" customWidth="1"/>
    <col min="10776" max="10776" width="58.85546875" style="118" customWidth="1"/>
    <col min="10777" max="10777" width="37.85546875" style="118" customWidth="1"/>
    <col min="10778" max="10778" width="17.5703125" style="118" customWidth="1"/>
    <col min="10779" max="10779" width="16.5703125" style="118" customWidth="1"/>
    <col min="10780" max="10780" width="28.7109375" style="118" customWidth="1"/>
    <col min="10781" max="10781" width="23.85546875" style="118" customWidth="1"/>
    <col min="10782" max="11008" width="9.140625" style="118"/>
    <col min="11009" max="11010" width="0" style="118" hidden="1" customWidth="1"/>
    <col min="11011" max="11011" width="15.7109375" style="118" customWidth="1"/>
    <col min="11012" max="11012" width="93.42578125" style="118" customWidth="1"/>
    <col min="11013" max="11013" width="32.28515625" style="118" customWidth="1"/>
    <col min="11014" max="11014" width="23.7109375" style="118" customWidth="1"/>
    <col min="11015" max="11015" width="26.42578125" style="118" customWidth="1"/>
    <col min="11016" max="11016" width="26.5703125" style="118" customWidth="1"/>
    <col min="11017" max="11017" width="27.85546875" style="118" customWidth="1"/>
    <col min="11018" max="11018" width="28.140625" style="118" customWidth="1"/>
    <col min="11019" max="11019" width="24.28515625" style="118" customWidth="1"/>
    <col min="11020" max="11020" width="13.140625" style="118" customWidth="1"/>
    <col min="11021" max="11021" width="19.85546875" style="118" customWidth="1"/>
    <col min="11022" max="11022" width="34.42578125" style="118" customWidth="1"/>
    <col min="11023" max="11023" width="18.140625" style="118" customWidth="1"/>
    <col min="11024" max="11024" width="24.7109375" style="118" customWidth="1"/>
    <col min="11025" max="11025" width="23.28515625" style="118" customWidth="1"/>
    <col min="11026" max="11026" width="18.42578125" style="118" customWidth="1"/>
    <col min="11027" max="11027" width="27.85546875" style="118" customWidth="1"/>
    <col min="11028" max="11028" width="49.42578125" style="118" customWidth="1"/>
    <col min="11029" max="11029" width="32.140625" style="118" customWidth="1"/>
    <col min="11030" max="11030" width="22.42578125" style="118" customWidth="1"/>
    <col min="11031" max="11031" width="33" style="118" customWidth="1"/>
    <col min="11032" max="11032" width="58.85546875" style="118" customWidth="1"/>
    <col min="11033" max="11033" width="37.85546875" style="118" customWidth="1"/>
    <col min="11034" max="11034" width="17.5703125" style="118" customWidth="1"/>
    <col min="11035" max="11035" width="16.5703125" style="118" customWidth="1"/>
    <col min="11036" max="11036" width="28.7109375" style="118" customWidth="1"/>
    <col min="11037" max="11037" width="23.85546875" style="118" customWidth="1"/>
    <col min="11038" max="11264" width="9.140625" style="118"/>
    <col min="11265" max="11266" width="0" style="118" hidden="1" customWidth="1"/>
    <col min="11267" max="11267" width="15.7109375" style="118" customWidth="1"/>
    <col min="11268" max="11268" width="93.42578125" style="118" customWidth="1"/>
    <col min="11269" max="11269" width="32.28515625" style="118" customWidth="1"/>
    <col min="11270" max="11270" width="23.7109375" style="118" customWidth="1"/>
    <col min="11271" max="11271" width="26.42578125" style="118" customWidth="1"/>
    <col min="11272" max="11272" width="26.5703125" style="118" customWidth="1"/>
    <col min="11273" max="11273" width="27.85546875" style="118" customWidth="1"/>
    <col min="11274" max="11274" width="28.140625" style="118" customWidth="1"/>
    <col min="11275" max="11275" width="24.28515625" style="118" customWidth="1"/>
    <col min="11276" max="11276" width="13.140625" style="118" customWidth="1"/>
    <col min="11277" max="11277" width="19.85546875" style="118" customWidth="1"/>
    <col min="11278" max="11278" width="34.42578125" style="118" customWidth="1"/>
    <col min="11279" max="11279" width="18.140625" style="118" customWidth="1"/>
    <col min="11280" max="11280" width="24.7109375" style="118" customWidth="1"/>
    <col min="11281" max="11281" width="23.28515625" style="118" customWidth="1"/>
    <col min="11282" max="11282" width="18.42578125" style="118" customWidth="1"/>
    <col min="11283" max="11283" width="27.85546875" style="118" customWidth="1"/>
    <col min="11284" max="11284" width="49.42578125" style="118" customWidth="1"/>
    <col min="11285" max="11285" width="32.140625" style="118" customWidth="1"/>
    <col min="11286" max="11286" width="22.42578125" style="118" customWidth="1"/>
    <col min="11287" max="11287" width="33" style="118" customWidth="1"/>
    <col min="11288" max="11288" width="58.85546875" style="118" customWidth="1"/>
    <col min="11289" max="11289" width="37.85546875" style="118" customWidth="1"/>
    <col min="11290" max="11290" width="17.5703125" style="118" customWidth="1"/>
    <col min="11291" max="11291" width="16.5703125" style="118" customWidth="1"/>
    <col min="11292" max="11292" width="28.7109375" style="118" customWidth="1"/>
    <col min="11293" max="11293" width="23.85546875" style="118" customWidth="1"/>
    <col min="11294" max="11520" width="9.140625" style="118"/>
    <col min="11521" max="11522" width="0" style="118" hidden="1" customWidth="1"/>
    <col min="11523" max="11523" width="15.7109375" style="118" customWidth="1"/>
    <col min="11524" max="11524" width="93.42578125" style="118" customWidth="1"/>
    <col min="11525" max="11525" width="32.28515625" style="118" customWidth="1"/>
    <col min="11526" max="11526" width="23.7109375" style="118" customWidth="1"/>
    <col min="11527" max="11527" width="26.42578125" style="118" customWidth="1"/>
    <col min="11528" max="11528" width="26.5703125" style="118" customWidth="1"/>
    <col min="11529" max="11529" width="27.85546875" style="118" customWidth="1"/>
    <col min="11530" max="11530" width="28.140625" style="118" customWidth="1"/>
    <col min="11531" max="11531" width="24.28515625" style="118" customWidth="1"/>
    <col min="11532" max="11532" width="13.140625" style="118" customWidth="1"/>
    <col min="11533" max="11533" width="19.85546875" style="118" customWidth="1"/>
    <col min="11534" max="11534" width="34.42578125" style="118" customWidth="1"/>
    <col min="11535" max="11535" width="18.140625" style="118" customWidth="1"/>
    <col min="11536" max="11536" width="24.7109375" style="118" customWidth="1"/>
    <col min="11537" max="11537" width="23.28515625" style="118" customWidth="1"/>
    <col min="11538" max="11538" width="18.42578125" style="118" customWidth="1"/>
    <col min="11539" max="11539" width="27.85546875" style="118" customWidth="1"/>
    <col min="11540" max="11540" width="49.42578125" style="118" customWidth="1"/>
    <col min="11541" max="11541" width="32.140625" style="118" customWidth="1"/>
    <col min="11542" max="11542" width="22.42578125" style="118" customWidth="1"/>
    <col min="11543" max="11543" width="33" style="118" customWidth="1"/>
    <col min="11544" max="11544" width="58.85546875" style="118" customWidth="1"/>
    <col min="11545" max="11545" width="37.85546875" style="118" customWidth="1"/>
    <col min="11546" max="11546" width="17.5703125" style="118" customWidth="1"/>
    <col min="11547" max="11547" width="16.5703125" style="118" customWidth="1"/>
    <col min="11548" max="11548" width="28.7109375" style="118" customWidth="1"/>
    <col min="11549" max="11549" width="23.85546875" style="118" customWidth="1"/>
    <col min="11550" max="11776" width="9.140625" style="118"/>
    <col min="11777" max="11778" width="0" style="118" hidden="1" customWidth="1"/>
    <col min="11779" max="11779" width="15.7109375" style="118" customWidth="1"/>
    <col min="11780" max="11780" width="93.42578125" style="118" customWidth="1"/>
    <col min="11781" max="11781" width="32.28515625" style="118" customWidth="1"/>
    <col min="11782" max="11782" width="23.7109375" style="118" customWidth="1"/>
    <col min="11783" max="11783" width="26.42578125" style="118" customWidth="1"/>
    <col min="11784" max="11784" width="26.5703125" style="118" customWidth="1"/>
    <col min="11785" max="11785" width="27.85546875" style="118" customWidth="1"/>
    <col min="11786" max="11786" width="28.140625" style="118" customWidth="1"/>
    <col min="11787" max="11787" width="24.28515625" style="118" customWidth="1"/>
    <col min="11788" max="11788" width="13.140625" style="118" customWidth="1"/>
    <col min="11789" max="11789" width="19.85546875" style="118" customWidth="1"/>
    <col min="11790" max="11790" width="34.42578125" style="118" customWidth="1"/>
    <col min="11791" max="11791" width="18.140625" style="118" customWidth="1"/>
    <col min="11792" max="11792" width="24.7109375" style="118" customWidth="1"/>
    <col min="11793" max="11793" width="23.28515625" style="118" customWidth="1"/>
    <col min="11794" max="11794" width="18.42578125" style="118" customWidth="1"/>
    <col min="11795" max="11795" width="27.85546875" style="118" customWidth="1"/>
    <col min="11796" max="11796" width="49.42578125" style="118" customWidth="1"/>
    <col min="11797" max="11797" width="32.140625" style="118" customWidth="1"/>
    <col min="11798" max="11798" width="22.42578125" style="118" customWidth="1"/>
    <col min="11799" max="11799" width="33" style="118" customWidth="1"/>
    <col min="11800" max="11800" width="58.85546875" style="118" customWidth="1"/>
    <col min="11801" max="11801" width="37.85546875" style="118" customWidth="1"/>
    <col min="11802" max="11802" width="17.5703125" style="118" customWidth="1"/>
    <col min="11803" max="11803" width="16.5703125" style="118" customWidth="1"/>
    <col min="11804" max="11804" width="28.7109375" style="118" customWidth="1"/>
    <col min="11805" max="11805" width="23.85546875" style="118" customWidth="1"/>
    <col min="11806" max="12032" width="9.140625" style="118"/>
    <col min="12033" max="12034" width="0" style="118" hidden="1" customWidth="1"/>
    <col min="12035" max="12035" width="15.7109375" style="118" customWidth="1"/>
    <col min="12036" max="12036" width="93.42578125" style="118" customWidth="1"/>
    <col min="12037" max="12037" width="32.28515625" style="118" customWidth="1"/>
    <col min="12038" max="12038" width="23.7109375" style="118" customWidth="1"/>
    <col min="12039" max="12039" width="26.42578125" style="118" customWidth="1"/>
    <col min="12040" max="12040" width="26.5703125" style="118" customWidth="1"/>
    <col min="12041" max="12041" width="27.85546875" style="118" customWidth="1"/>
    <col min="12042" max="12042" width="28.140625" style="118" customWidth="1"/>
    <col min="12043" max="12043" width="24.28515625" style="118" customWidth="1"/>
    <col min="12044" max="12044" width="13.140625" style="118" customWidth="1"/>
    <col min="12045" max="12045" width="19.85546875" style="118" customWidth="1"/>
    <col min="12046" max="12046" width="34.42578125" style="118" customWidth="1"/>
    <col min="12047" max="12047" width="18.140625" style="118" customWidth="1"/>
    <col min="12048" max="12048" width="24.7109375" style="118" customWidth="1"/>
    <col min="12049" max="12049" width="23.28515625" style="118" customWidth="1"/>
    <col min="12050" max="12050" width="18.42578125" style="118" customWidth="1"/>
    <col min="12051" max="12051" width="27.85546875" style="118" customWidth="1"/>
    <col min="12052" max="12052" width="49.42578125" style="118" customWidth="1"/>
    <col min="12053" max="12053" width="32.140625" style="118" customWidth="1"/>
    <col min="12054" max="12054" width="22.42578125" style="118" customWidth="1"/>
    <col min="12055" max="12055" width="33" style="118" customWidth="1"/>
    <col min="12056" max="12056" width="58.85546875" style="118" customWidth="1"/>
    <col min="12057" max="12057" width="37.85546875" style="118" customWidth="1"/>
    <col min="12058" max="12058" width="17.5703125" style="118" customWidth="1"/>
    <col min="12059" max="12059" width="16.5703125" style="118" customWidth="1"/>
    <col min="12060" max="12060" width="28.7109375" style="118" customWidth="1"/>
    <col min="12061" max="12061" width="23.85546875" style="118" customWidth="1"/>
    <col min="12062" max="12288" width="9.140625" style="118"/>
    <col min="12289" max="12290" width="0" style="118" hidden="1" customWidth="1"/>
    <col min="12291" max="12291" width="15.7109375" style="118" customWidth="1"/>
    <col min="12292" max="12292" width="93.42578125" style="118" customWidth="1"/>
    <col min="12293" max="12293" width="32.28515625" style="118" customWidth="1"/>
    <col min="12294" max="12294" width="23.7109375" style="118" customWidth="1"/>
    <col min="12295" max="12295" width="26.42578125" style="118" customWidth="1"/>
    <col min="12296" max="12296" width="26.5703125" style="118" customWidth="1"/>
    <col min="12297" max="12297" width="27.85546875" style="118" customWidth="1"/>
    <col min="12298" max="12298" width="28.140625" style="118" customWidth="1"/>
    <col min="12299" max="12299" width="24.28515625" style="118" customWidth="1"/>
    <col min="12300" max="12300" width="13.140625" style="118" customWidth="1"/>
    <col min="12301" max="12301" width="19.85546875" style="118" customWidth="1"/>
    <col min="12302" max="12302" width="34.42578125" style="118" customWidth="1"/>
    <col min="12303" max="12303" width="18.140625" style="118" customWidth="1"/>
    <col min="12304" max="12304" width="24.7109375" style="118" customWidth="1"/>
    <col min="12305" max="12305" width="23.28515625" style="118" customWidth="1"/>
    <col min="12306" max="12306" width="18.42578125" style="118" customWidth="1"/>
    <col min="12307" max="12307" width="27.85546875" style="118" customWidth="1"/>
    <col min="12308" max="12308" width="49.42578125" style="118" customWidth="1"/>
    <col min="12309" max="12309" width="32.140625" style="118" customWidth="1"/>
    <col min="12310" max="12310" width="22.42578125" style="118" customWidth="1"/>
    <col min="12311" max="12311" width="33" style="118" customWidth="1"/>
    <col min="12312" max="12312" width="58.85546875" style="118" customWidth="1"/>
    <col min="12313" max="12313" width="37.85546875" style="118" customWidth="1"/>
    <col min="12314" max="12314" width="17.5703125" style="118" customWidth="1"/>
    <col min="12315" max="12315" width="16.5703125" style="118" customWidth="1"/>
    <col min="12316" max="12316" width="28.7109375" style="118" customWidth="1"/>
    <col min="12317" max="12317" width="23.85546875" style="118" customWidth="1"/>
    <col min="12318" max="12544" width="9.140625" style="118"/>
    <col min="12545" max="12546" width="0" style="118" hidden="1" customWidth="1"/>
    <col min="12547" max="12547" width="15.7109375" style="118" customWidth="1"/>
    <col min="12548" max="12548" width="93.42578125" style="118" customWidth="1"/>
    <col min="12549" max="12549" width="32.28515625" style="118" customWidth="1"/>
    <col min="12550" max="12550" width="23.7109375" style="118" customWidth="1"/>
    <col min="12551" max="12551" width="26.42578125" style="118" customWidth="1"/>
    <col min="12552" max="12552" width="26.5703125" style="118" customWidth="1"/>
    <col min="12553" max="12553" width="27.85546875" style="118" customWidth="1"/>
    <col min="12554" max="12554" width="28.140625" style="118" customWidth="1"/>
    <col min="12555" max="12555" width="24.28515625" style="118" customWidth="1"/>
    <col min="12556" max="12556" width="13.140625" style="118" customWidth="1"/>
    <col min="12557" max="12557" width="19.85546875" style="118" customWidth="1"/>
    <col min="12558" max="12558" width="34.42578125" style="118" customWidth="1"/>
    <col min="12559" max="12559" width="18.140625" style="118" customWidth="1"/>
    <col min="12560" max="12560" width="24.7109375" style="118" customWidth="1"/>
    <col min="12561" max="12561" width="23.28515625" style="118" customWidth="1"/>
    <col min="12562" max="12562" width="18.42578125" style="118" customWidth="1"/>
    <col min="12563" max="12563" width="27.85546875" style="118" customWidth="1"/>
    <col min="12564" max="12564" width="49.42578125" style="118" customWidth="1"/>
    <col min="12565" max="12565" width="32.140625" style="118" customWidth="1"/>
    <col min="12566" max="12566" width="22.42578125" style="118" customWidth="1"/>
    <col min="12567" max="12567" width="33" style="118" customWidth="1"/>
    <col min="12568" max="12568" width="58.85546875" style="118" customWidth="1"/>
    <col min="12569" max="12569" width="37.85546875" style="118" customWidth="1"/>
    <col min="12570" max="12570" width="17.5703125" style="118" customWidth="1"/>
    <col min="12571" max="12571" width="16.5703125" style="118" customWidth="1"/>
    <col min="12572" max="12572" width="28.7109375" style="118" customWidth="1"/>
    <col min="12573" max="12573" width="23.85546875" style="118" customWidth="1"/>
    <col min="12574" max="12800" width="9.140625" style="118"/>
    <col min="12801" max="12802" width="0" style="118" hidden="1" customWidth="1"/>
    <col min="12803" max="12803" width="15.7109375" style="118" customWidth="1"/>
    <col min="12804" max="12804" width="93.42578125" style="118" customWidth="1"/>
    <col min="12805" max="12805" width="32.28515625" style="118" customWidth="1"/>
    <col min="12806" max="12806" width="23.7109375" style="118" customWidth="1"/>
    <col min="12807" max="12807" width="26.42578125" style="118" customWidth="1"/>
    <col min="12808" max="12808" width="26.5703125" style="118" customWidth="1"/>
    <col min="12809" max="12809" width="27.85546875" style="118" customWidth="1"/>
    <col min="12810" max="12810" width="28.140625" style="118" customWidth="1"/>
    <col min="12811" max="12811" width="24.28515625" style="118" customWidth="1"/>
    <col min="12812" max="12812" width="13.140625" style="118" customWidth="1"/>
    <col min="12813" max="12813" width="19.85546875" style="118" customWidth="1"/>
    <col min="12814" max="12814" width="34.42578125" style="118" customWidth="1"/>
    <col min="12815" max="12815" width="18.140625" style="118" customWidth="1"/>
    <col min="12816" max="12816" width="24.7109375" style="118" customWidth="1"/>
    <col min="12817" max="12817" width="23.28515625" style="118" customWidth="1"/>
    <col min="12818" max="12818" width="18.42578125" style="118" customWidth="1"/>
    <col min="12819" max="12819" width="27.85546875" style="118" customWidth="1"/>
    <col min="12820" max="12820" width="49.42578125" style="118" customWidth="1"/>
    <col min="12821" max="12821" width="32.140625" style="118" customWidth="1"/>
    <col min="12822" max="12822" width="22.42578125" style="118" customWidth="1"/>
    <col min="12823" max="12823" width="33" style="118" customWidth="1"/>
    <col min="12824" max="12824" width="58.85546875" style="118" customWidth="1"/>
    <col min="12825" max="12825" width="37.85546875" style="118" customWidth="1"/>
    <col min="12826" max="12826" width="17.5703125" style="118" customWidth="1"/>
    <col min="12827" max="12827" width="16.5703125" style="118" customWidth="1"/>
    <col min="12828" max="12828" width="28.7109375" style="118" customWidth="1"/>
    <col min="12829" max="12829" width="23.85546875" style="118" customWidth="1"/>
    <col min="12830" max="13056" width="9.140625" style="118"/>
    <col min="13057" max="13058" width="0" style="118" hidden="1" customWidth="1"/>
    <col min="13059" max="13059" width="15.7109375" style="118" customWidth="1"/>
    <col min="13060" max="13060" width="93.42578125" style="118" customWidth="1"/>
    <col min="13061" max="13061" width="32.28515625" style="118" customWidth="1"/>
    <col min="13062" max="13062" width="23.7109375" style="118" customWidth="1"/>
    <col min="13063" max="13063" width="26.42578125" style="118" customWidth="1"/>
    <col min="13064" max="13064" width="26.5703125" style="118" customWidth="1"/>
    <col min="13065" max="13065" width="27.85546875" style="118" customWidth="1"/>
    <col min="13066" max="13066" width="28.140625" style="118" customWidth="1"/>
    <col min="13067" max="13067" width="24.28515625" style="118" customWidth="1"/>
    <col min="13068" max="13068" width="13.140625" style="118" customWidth="1"/>
    <col min="13069" max="13069" width="19.85546875" style="118" customWidth="1"/>
    <col min="13070" max="13070" width="34.42578125" style="118" customWidth="1"/>
    <col min="13071" max="13071" width="18.140625" style="118" customWidth="1"/>
    <col min="13072" max="13072" width="24.7109375" style="118" customWidth="1"/>
    <col min="13073" max="13073" width="23.28515625" style="118" customWidth="1"/>
    <col min="13074" max="13074" width="18.42578125" style="118" customWidth="1"/>
    <col min="13075" max="13075" width="27.85546875" style="118" customWidth="1"/>
    <col min="13076" max="13076" width="49.42578125" style="118" customWidth="1"/>
    <col min="13077" max="13077" width="32.140625" style="118" customWidth="1"/>
    <col min="13078" max="13078" width="22.42578125" style="118" customWidth="1"/>
    <col min="13079" max="13079" width="33" style="118" customWidth="1"/>
    <col min="13080" max="13080" width="58.85546875" style="118" customWidth="1"/>
    <col min="13081" max="13081" width="37.85546875" style="118" customWidth="1"/>
    <col min="13082" max="13082" width="17.5703125" style="118" customWidth="1"/>
    <col min="13083" max="13083" width="16.5703125" style="118" customWidth="1"/>
    <col min="13084" max="13084" width="28.7109375" style="118" customWidth="1"/>
    <col min="13085" max="13085" width="23.85546875" style="118" customWidth="1"/>
    <col min="13086" max="13312" width="9.140625" style="118"/>
    <col min="13313" max="13314" width="0" style="118" hidden="1" customWidth="1"/>
    <col min="13315" max="13315" width="15.7109375" style="118" customWidth="1"/>
    <col min="13316" max="13316" width="93.42578125" style="118" customWidth="1"/>
    <col min="13317" max="13317" width="32.28515625" style="118" customWidth="1"/>
    <col min="13318" max="13318" width="23.7109375" style="118" customWidth="1"/>
    <col min="13319" max="13319" width="26.42578125" style="118" customWidth="1"/>
    <col min="13320" max="13320" width="26.5703125" style="118" customWidth="1"/>
    <col min="13321" max="13321" width="27.85546875" style="118" customWidth="1"/>
    <col min="13322" max="13322" width="28.140625" style="118" customWidth="1"/>
    <col min="13323" max="13323" width="24.28515625" style="118" customWidth="1"/>
    <col min="13324" max="13324" width="13.140625" style="118" customWidth="1"/>
    <col min="13325" max="13325" width="19.85546875" style="118" customWidth="1"/>
    <col min="13326" max="13326" width="34.42578125" style="118" customWidth="1"/>
    <col min="13327" max="13327" width="18.140625" style="118" customWidth="1"/>
    <col min="13328" max="13328" width="24.7109375" style="118" customWidth="1"/>
    <col min="13329" max="13329" width="23.28515625" style="118" customWidth="1"/>
    <col min="13330" max="13330" width="18.42578125" style="118" customWidth="1"/>
    <col min="13331" max="13331" width="27.85546875" style="118" customWidth="1"/>
    <col min="13332" max="13332" width="49.42578125" style="118" customWidth="1"/>
    <col min="13333" max="13333" width="32.140625" style="118" customWidth="1"/>
    <col min="13334" max="13334" width="22.42578125" style="118" customWidth="1"/>
    <col min="13335" max="13335" width="33" style="118" customWidth="1"/>
    <col min="13336" max="13336" width="58.85546875" style="118" customWidth="1"/>
    <col min="13337" max="13337" width="37.85546875" style="118" customWidth="1"/>
    <col min="13338" max="13338" width="17.5703125" style="118" customWidth="1"/>
    <col min="13339" max="13339" width="16.5703125" style="118" customWidth="1"/>
    <col min="13340" max="13340" width="28.7109375" style="118" customWidth="1"/>
    <col min="13341" max="13341" width="23.85546875" style="118" customWidth="1"/>
    <col min="13342" max="13568" width="9.140625" style="118"/>
    <col min="13569" max="13570" width="0" style="118" hidden="1" customWidth="1"/>
    <col min="13571" max="13571" width="15.7109375" style="118" customWidth="1"/>
    <col min="13572" max="13572" width="93.42578125" style="118" customWidth="1"/>
    <col min="13573" max="13573" width="32.28515625" style="118" customWidth="1"/>
    <col min="13574" max="13574" width="23.7109375" style="118" customWidth="1"/>
    <col min="13575" max="13575" width="26.42578125" style="118" customWidth="1"/>
    <col min="13576" max="13576" width="26.5703125" style="118" customWidth="1"/>
    <col min="13577" max="13577" width="27.85546875" style="118" customWidth="1"/>
    <col min="13578" max="13578" width="28.140625" style="118" customWidth="1"/>
    <col min="13579" max="13579" width="24.28515625" style="118" customWidth="1"/>
    <col min="13580" max="13580" width="13.140625" style="118" customWidth="1"/>
    <col min="13581" max="13581" width="19.85546875" style="118" customWidth="1"/>
    <col min="13582" max="13582" width="34.42578125" style="118" customWidth="1"/>
    <col min="13583" max="13583" width="18.140625" style="118" customWidth="1"/>
    <col min="13584" max="13584" width="24.7109375" style="118" customWidth="1"/>
    <col min="13585" max="13585" width="23.28515625" style="118" customWidth="1"/>
    <col min="13586" max="13586" width="18.42578125" style="118" customWidth="1"/>
    <col min="13587" max="13587" width="27.85546875" style="118" customWidth="1"/>
    <col min="13588" max="13588" width="49.42578125" style="118" customWidth="1"/>
    <col min="13589" max="13589" width="32.140625" style="118" customWidth="1"/>
    <col min="13590" max="13590" width="22.42578125" style="118" customWidth="1"/>
    <col min="13591" max="13591" width="33" style="118" customWidth="1"/>
    <col min="13592" max="13592" width="58.85546875" style="118" customWidth="1"/>
    <col min="13593" max="13593" width="37.85546875" style="118" customWidth="1"/>
    <col min="13594" max="13594" width="17.5703125" style="118" customWidth="1"/>
    <col min="13595" max="13595" width="16.5703125" style="118" customWidth="1"/>
    <col min="13596" max="13596" width="28.7109375" style="118" customWidth="1"/>
    <col min="13597" max="13597" width="23.85546875" style="118" customWidth="1"/>
    <col min="13598" max="13824" width="9.140625" style="118"/>
    <col min="13825" max="13826" width="0" style="118" hidden="1" customWidth="1"/>
    <col min="13827" max="13827" width="15.7109375" style="118" customWidth="1"/>
    <col min="13828" max="13828" width="93.42578125" style="118" customWidth="1"/>
    <col min="13829" max="13829" width="32.28515625" style="118" customWidth="1"/>
    <col min="13830" max="13830" width="23.7109375" style="118" customWidth="1"/>
    <col min="13831" max="13831" width="26.42578125" style="118" customWidth="1"/>
    <col min="13832" max="13832" width="26.5703125" style="118" customWidth="1"/>
    <col min="13833" max="13833" width="27.85546875" style="118" customWidth="1"/>
    <col min="13834" max="13834" width="28.140625" style="118" customWidth="1"/>
    <col min="13835" max="13835" width="24.28515625" style="118" customWidth="1"/>
    <col min="13836" max="13836" width="13.140625" style="118" customWidth="1"/>
    <col min="13837" max="13837" width="19.85546875" style="118" customWidth="1"/>
    <col min="13838" max="13838" width="34.42578125" style="118" customWidth="1"/>
    <col min="13839" max="13839" width="18.140625" style="118" customWidth="1"/>
    <col min="13840" max="13840" width="24.7109375" style="118" customWidth="1"/>
    <col min="13841" max="13841" width="23.28515625" style="118" customWidth="1"/>
    <col min="13842" max="13842" width="18.42578125" style="118" customWidth="1"/>
    <col min="13843" max="13843" width="27.85546875" style="118" customWidth="1"/>
    <col min="13844" max="13844" width="49.42578125" style="118" customWidth="1"/>
    <col min="13845" max="13845" width="32.140625" style="118" customWidth="1"/>
    <col min="13846" max="13846" width="22.42578125" style="118" customWidth="1"/>
    <col min="13847" max="13847" width="33" style="118" customWidth="1"/>
    <col min="13848" max="13848" width="58.85546875" style="118" customWidth="1"/>
    <col min="13849" max="13849" width="37.85546875" style="118" customWidth="1"/>
    <col min="13850" max="13850" width="17.5703125" style="118" customWidth="1"/>
    <col min="13851" max="13851" width="16.5703125" style="118" customWidth="1"/>
    <col min="13852" max="13852" width="28.7109375" style="118" customWidth="1"/>
    <col min="13853" max="13853" width="23.85546875" style="118" customWidth="1"/>
    <col min="13854" max="14080" width="9.140625" style="118"/>
    <col min="14081" max="14082" width="0" style="118" hidden="1" customWidth="1"/>
    <col min="14083" max="14083" width="15.7109375" style="118" customWidth="1"/>
    <col min="14084" max="14084" width="93.42578125" style="118" customWidth="1"/>
    <col min="14085" max="14085" width="32.28515625" style="118" customWidth="1"/>
    <col min="14086" max="14086" width="23.7109375" style="118" customWidth="1"/>
    <col min="14087" max="14087" width="26.42578125" style="118" customWidth="1"/>
    <col min="14088" max="14088" width="26.5703125" style="118" customWidth="1"/>
    <col min="14089" max="14089" width="27.85546875" style="118" customWidth="1"/>
    <col min="14090" max="14090" width="28.140625" style="118" customWidth="1"/>
    <col min="14091" max="14091" width="24.28515625" style="118" customWidth="1"/>
    <col min="14092" max="14092" width="13.140625" style="118" customWidth="1"/>
    <col min="14093" max="14093" width="19.85546875" style="118" customWidth="1"/>
    <col min="14094" max="14094" width="34.42578125" style="118" customWidth="1"/>
    <col min="14095" max="14095" width="18.140625" style="118" customWidth="1"/>
    <col min="14096" max="14096" width="24.7109375" style="118" customWidth="1"/>
    <col min="14097" max="14097" width="23.28515625" style="118" customWidth="1"/>
    <col min="14098" max="14098" width="18.42578125" style="118" customWidth="1"/>
    <col min="14099" max="14099" width="27.85546875" style="118" customWidth="1"/>
    <col min="14100" max="14100" width="49.42578125" style="118" customWidth="1"/>
    <col min="14101" max="14101" width="32.140625" style="118" customWidth="1"/>
    <col min="14102" max="14102" width="22.42578125" style="118" customWidth="1"/>
    <col min="14103" max="14103" width="33" style="118" customWidth="1"/>
    <col min="14104" max="14104" width="58.85546875" style="118" customWidth="1"/>
    <col min="14105" max="14105" width="37.85546875" style="118" customWidth="1"/>
    <col min="14106" max="14106" width="17.5703125" style="118" customWidth="1"/>
    <col min="14107" max="14107" width="16.5703125" style="118" customWidth="1"/>
    <col min="14108" max="14108" width="28.7109375" style="118" customWidth="1"/>
    <col min="14109" max="14109" width="23.85546875" style="118" customWidth="1"/>
    <col min="14110" max="14336" width="9.140625" style="118"/>
    <col min="14337" max="14338" width="0" style="118" hidden="1" customWidth="1"/>
    <col min="14339" max="14339" width="15.7109375" style="118" customWidth="1"/>
    <col min="14340" max="14340" width="93.42578125" style="118" customWidth="1"/>
    <col min="14341" max="14341" width="32.28515625" style="118" customWidth="1"/>
    <col min="14342" max="14342" width="23.7109375" style="118" customWidth="1"/>
    <col min="14343" max="14343" width="26.42578125" style="118" customWidth="1"/>
    <col min="14344" max="14344" width="26.5703125" style="118" customWidth="1"/>
    <col min="14345" max="14345" width="27.85546875" style="118" customWidth="1"/>
    <col min="14346" max="14346" width="28.140625" style="118" customWidth="1"/>
    <col min="14347" max="14347" width="24.28515625" style="118" customWidth="1"/>
    <col min="14348" max="14348" width="13.140625" style="118" customWidth="1"/>
    <col min="14349" max="14349" width="19.85546875" style="118" customWidth="1"/>
    <col min="14350" max="14350" width="34.42578125" style="118" customWidth="1"/>
    <col min="14351" max="14351" width="18.140625" style="118" customWidth="1"/>
    <col min="14352" max="14352" width="24.7109375" style="118" customWidth="1"/>
    <col min="14353" max="14353" width="23.28515625" style="118" customWidth="1"/>
    <col min="14354" max="14354" width="18.42578125" style="118" customWidth="1"/>
    <col min="14355" max="14355" width="27.85546875" style="118" customWidth="1"/>
    <col min="14356" max="14356" width="49.42578125" style="118" customWidth="1"/>
    <col min="14357" max="14357" width="32.140625" style="118" customWidth="1"/>
    <col min="14358" max="14358" width="22.42578125" style="118" customWidth="1"/>
    <col min="14359" max="14359" width="33" style="118" customWidth="1"/>
    <col min="14360" max="14360" width="58.85546875" style="118" customWidth="1"/>
    <col min="14361" max="14361" width="37.85546875" style="118" customWidth="1"/>
    <col min="14362" max="14362" width="17.5703125" style="118" customWidth="1"/>
    <col min="14363" max="14363" width="16.5703125" style="118" customWidth="1"/>
    <col min="14364" max="14364" width="28.7109375" style="118" customWidth="1"/>
    <col min="14365" max="14365" width="23.85546875" style="118" customWidth="1"/>
    <col min="14366" max="14592" width="9.140625" style="118"/>
    <col min="14593" max="14594" width="0" style="118" hidden="1" customWidth="1"/>
    <col min="14595" max="14595" width="15.7109375" style="118" customWidth="1"/>
    <col min="14596" max="14596" width="93.42578125" style="118" customWidth="1"/>
    <col min="14597" max="14597" width="32.28515625" style="118" customWidth="1"/>
    <col min="14598" max="14598" width="23.7109375" style="118" customWidth="1"/>
    <col min="14599" max="14599" width="26.42578125" style="118" customWidth="1"/>
    <col min="14600" max="14600" width="26.5703125" style="118" customWidth="1"/>
    <col min="14601" max="14601" width="27.85546875" style="118" customWidth="1"/>
    <col min="14602" max="14602" width="28.140625" style="118" customWidth="1"/>
    <col min="14603" max="14603" width="24.28515625" style="118" customWidth="1"/>
    <col min="14604" max="14604" width="13.140625" style="118" customWidth="1"/>
    <col min="14605" max="14605" width="19.85546875" style="118" customWidth="1"/>
    <col min="14606" max="14606" width="34.42578125" style="118" customWidth="1"/>
    <col min="14607" max="14607" width="18.140625" style="118" customWidth="1"/>
    <col min="14608" max="14608" width="24.7109375" style="118" customWidth="1"/>
    <col min="14609" max="14609" width="23.28515625" style="118" customWidth="1"/>
    <col min="14610" max="14610" width="18.42578125" style="118" customWidth="1"/>
    <col min="14611" max="14611" width="27.85546875" style="118" customWidth="1"/>
    <col min="14612" max="14612" width="49.42578125" style="118" customWidth="1"/>
    <col min="14613" max="14613" width="32.140625" style="118" customWidth="1"/>
    <col min="14614" max="14614" width="22.42578125" style="118" customWidth="1"/>
    <col min="14615" max="14615" width="33" style="118" customWidth="1"/>
    <col min="14616" max="14616" width="58.85546875" style="118" customWidth="1"/>
    <col min="14617" max="14617" width="37.85546875" style="118" customWidth="1"/>
    <col min="14618" max="14618" width="17.5703125" style="118" customWidth="1"/>
    <col min="14619" max="14619" width="16.5703125" style="118" customWidth="1"/>
    <col min="14620" max="14620" width="28.7109375" style="118" customWidth="1"/>
    <col min="14621" max="14621" width="23.85546875" style="118" customWidth="1"/>
    <col min="14622" max="14848" width="9.140625" style="118"/>
    <col min="14849" max="14850" width="0" style="118" hidden="1" customWidth="1"/>
    <col min="14851" max="14851" width="15.7109375" style="118" customWidth="1"/>
    <col min="14852" max="14852" width="93.42578125" style="118" customWidth="1"/>
    <col min="14853" max="14853" width="32.28515625" style="118" customWidth="1"/>
    <col min="14854" max="14854" width="23.7109375" style="118" customWidth="1"/>
    <col min="14855" max="14855" width="26.42578125" style="118" customWidth="1"/>
    <col min="14856" max="14856" width="26.5703125" style="118" customWidth="1"/>
    <col min="14857" max="14857" width="27.85546875" style="118" customWidth="1"/>
    <col min="14858" max="14858" width="28.140625" style="118" customWidth="1"/>
    <col min="14859" max="14859" width="24.28515625" style="118" customWidth="1"/>
    <col min="14860" max="14860" width="13.140625" style="118" customWidth="1"/>
    <col min="14861" max="14861" width="19.85546875" style="118" customWidth="1"/>
    <col min="14862" max="14862" width="34.42578125" style="118" customWidth="1"/>
    <col min="14863" max="14863" width="18.140625" style="118" customWidth="1"/>
    <col min="14864" max="14864" width="24.7109375" style="118" customWidth="1"/>
    <col min="14865" max="14865" width="23.28515625" style="118" customWidth="1"/>
    <col min="14866" max="14866" width="18.42578125" style="118" customWidth="1"/>
    <col min="14867" max="14867" width="27.85546875" style="118" customWidth="1"/>
    <col min="14868" max="14868" width="49.42578125" style="118" customWidth="1"/>
    <col min="14869" max="14869" width="32.140625" style="118" customWidth="1"/>
    <col min="14870" max="14870" width="22.42578125" style="118" customWidth="1"/>
    <col min="14871" max="14871" width="33" style="118" customWidth="1"/>
    <col min="14872" max="14872" width="58.85546875" style="118" customWidth="1"/>
    <col min="14873" max="14873" width="37.85546875" style="118" customWidth="1"/>
    <col min="14874" max="14874" width="17.5703125" style="118" customWidth="1"/>
    <col min="14875" max="14875" width="16.5703125" style="118" customWidth="1"/>
    <col min="14876" max="14876" width="28.7109375" style="118" customWidth="1"/>
    <col min="14877" max="14877" width="23.85546875" style="118" customWidth="1"/>
    <col min="14878" max="15104" width="9.140625" style="118"/>
    <col min="15105" max="15106" width="0" style="118" hidden="1" customWidth="1"/>
    <col min="15107" max="15107" width="15.7109375" style="118" customWidth="1"/>
    <col min="15108" max="15108" width="93.42578125" style="118" customWidth="1"/>
    <col min="15109" max="15109" width="32.28515625" style="118" customWidth="1"/>
    <col min="15110" max="15110" width="23.7109375" style="118" customWidth="1"/>
    <col min="15111" max="15111" width="26.42578125" style="118" customWidth="1"/>
    <col min="15112" max="15112" width="26.5703125" style="118" customWidth="1"/>
    <col min="15113" max="15113" width="27.85546875" style="118" customWidth="1"/>
    <col min="15114" max="15114" width="28.140625" style="118" customWidth="1"/>
    <col min="15115" max="15115" width="24.28515625" style="118" customWidth="1"/>
    <col min="15116" max="15116" width="13.140625" style="118" customWidth="1"/>
    <col min="15117" max="15117" width="19.85546875" style="118" customWidth="1"/>
    <col min="15118" max="15118" width="34.42578125" style="118" customWidth="1"/>
    <col min="15119" max="15119" width="18.140625" style="118" customWidth="1"/>
    <col min="15120" max="15120" width="24.7109375" style="118" customWidth="1"/>
    <col min="15121" max="15121" width="23.28515625" style="118" customWidth="1"/>
    <col min="15122" max="15122" width="18.42578125" style="118" customWidth="1"/>
    <col min="15123" max="15123" width="27.85546875" style="118" customWidth="1"/>
    <col min="15124" max="15124" width="49.42578125" style="118" customWidth="1"/>
    <col min="15125" max="15125" width="32.140625" style="118" customWidth="1"/>
    <col min="15126" max="15126" width="22.42578125" style="118" customWidth="1"/>
    <col min="15127" max="15127" width="33" style="118" customWidth="1"/>
    <col min="15128" max="15128" width="58.85546875" style="118" customWidth="1"/>
    <col min="15129" max="15129" width="37.85546875" style="118" customWidth="1"/>
    <col min="15130" max="15130" width="17.5703125" style="118" customWidth="1"/>
    <col min="15131" max="15131" width="16.5703125" style="118" customWidth="1"/>
    <col min="15132" max="15132" width="28.7109375" style="118" customWidth="1"/>
    <col min="15133" max="15133" width="23.85546875" style="118" customWidth="1"/>
    <col min="15134" max="15360" width="9.140625" style="118"/>
    <col min="15361" max="15362" width="0" style="118" hidden="1" customWidth="1"/>
    <col min="15363" max="15363" width="15.7109375" style="118" customWidth="1"/>
    <col min="15364" max="15364" width="93.42578125" style="118" customWidth="1"/>
    <col min="15365" max="15365" width="32.28515625" style="118" customWidth="1"/>
    <col min="15366" max="15366" width="23.7109375" style="118" customWidth="1"/>
    <col min="15367" max="15367" width="26.42578125" style="118" customWidth="1"/>
    <col min="15368" max="15368" width="26.5703125" style="118" customWidth="1"/>
    <col min="15369" max="15369" width="27.85546875" style="118" customWidth="1"/>
    <col min="15370" max="15370" width="28.140625" style="118" customWidth="1"/>
    <col min="15371" max="15371" width="24.28515625" style="118" customWidth="1"/>
    <col min="15372" max="15372" width="13.140625" style="118" customWidth="1"/>
    <col min="15373" max="15373" width="19.85546875" style="118" customWidth="1"/>
    <col min="15374" max="15374" width="34.42578125" style="118" customWidth="1"/>
    <col min="15375" max="15375" width="18.140625" style="118" customWidth="1"/>
    <col min="15376" max="15376" width="24.7109375" style="118" customWidth="1"/>
    <col min="15377" max="15377" width="23.28515625" style="118" customWidth="1"/>
    <col min="15378" max="15378" width="18.42578125" style="118" customWidth="1"/>
    <col min="15379" max="15379" width="27.85546875" style="118" customWidth="1"/>
    <col min="15380" max="15380" width="49.42578125" style="118" customWidth="1"/>
    <col min="15381" max="15381" width="32.140625" style="118" customWidth="1"/>
    <col min="15382" max="15382" width="22.42578125" style="118" customWidth="1"/>
    <col min="15383" max="15383" width="33" style="118" customWidth="1"/>
    <col min="15384" max="15384" width="58.85546875" style="118" customWidth="1"/>
    <col min="15385" max="15385" width="37.85546875" style="118" customWidth="1"/>
    <col min="15386" max="15386" width="17.5703125" style="118" customWidth="1"/>
    <col min="15387" max="15387" width="16.5703125" style="118" customWidth="1"/>
    <col min="15388" max="15388" width="28.7109375" style="118" customWidth="1"/>
    <col min="15389" max="15389" width="23.85546875" style="118" customWidth="1"/>
    <col min="15390" max="15616" width="9.140625" style="118"/>
    <col min="15617" max="15618" width="0" style="118" hidden="1" customWidth="1"/>
    <col min="15619" max="15619" width="15.7109375" style="118" customWidth="1"/>
    <col min="15620" max="15620" width="93.42578125" style="118" customWidth="1"/>
    <col min="15621" max="15621" width="32.28515625" style="118" customWidth="1"/>
    <col min="15622" max="15622" width="23.7109375" style="118" customWidth="1"/>
    <col min="15623" max="15623" width="26.42578125" style="118" customWidth="1"/>
    <col min="15624" max="15624" width="26.5703125" style="118" customWidth="1"/>
    <col min="15625" max="15625" width="27.85546875" style="118" customWidth="1"/>
    <col min="15626" max="15626" width="28.140625" style="118" customWidth="1"/>
    <col min="15627" max="15627" width="24.28515625" style="118" customWidth="1"/>
    <col min="15628" max="15628" width="13.140625" style="118" customWidth="1"/>
    <col min="15629" max="15629" width="19.85546875" style="118" customWidth="1"/>
    <col min="15630" max="15630" width="34.42578125" style="118" customWidth="1"/>
    <col min="15631" max="15631" width="18.140625" style="118" customWidth="1"/>
    <col min="15632" max="15632" width="24.7109375" style="118" customWidth="1"/>
    <col min="15633" max="15633" width="23.28515625" style="118" customWidth="1"/>
    <col min="15634" max="15634" width="18.42578125" style="118" customWidth="1"/>
    <col min="15635" max="15635" width="27.85546875" style="118" customWidth="1"/>
    <col min="15636" max="15636" width="49.42578125" style="118" customWidth="1"/>
    <col min="15637" max="15637" width="32.140625" style="118" customWidth="1"/>
    <col min="15638" max="15638" width="22.42578125" style="118" customWidth="1"/>
    <col min="15639" max="15639" width="33" style="118" customWidth="1"/>
    <col min="15640" max="15640" width="58.85546875" style="118" customWidth="1"/>
    <col min="15641" max="15641" width="37.85546875" style="118" customWidth="1"/>
    <col min="15642" max="15642" width="17.5703125" style="118" customWidth="1"/>
    <col min="15643" max="15643" width="16.5703125" style="118" customWidth="1"/>
    <col min="15644" max="15644" width="28.7109375" style="118" customWidth="1"/>
    <col min="15645" max="15645" width="23.85546875" style="118" customWidth="1"/>
    <col min="15646" max="15872" width="9.140625" style="118"/>
    <col min="15873" max="15874" width="0" style="118" hidden="1" customWidth="1"/>
    <col min="15875" max="15875" width="15.7109375" style="118" customWidth="1"/>
    <col min="15876" max="15876" width="93.42578125" style="118" customWidth="1"/>
    <col min="15877" max="15877" width="32.28515625" style="118" customWidth="1"/>
    <col min="15878" max="15878" width="23.7109375" style="118" customWidth="1"/>
    <col min="15879" max="15879" width="26.42578125" style="118" customWidth="1"/>
    <col min="15880" max="15880" width="26.5703125" style="118" customWidth="1"/>
    <col min="15881" max="15881" width="27.85546875" style="118" customWidth="1"/>
    <col min="15882" max="15882" width="28.140625" style="118" customWidth="1"/>
    <col min="15883" max="15883" width="24.28515625" style="118" customWidth="1"/>
    <col min="15884" max="15884" width="13.140625" style="118" customWidth="1"/>
    <col min="15885" max="15885" width="19.85546875" style="118" customWidth="1"/>
    <col min="15886" max="15886" width="34.42578125" style="118" customWidth="1"/>
    <col min="15887" max="15887" width="18.140625" style="118" customWidth="1"/>
    <col min="15888" max="15888" width="24.7109375" style="118" customWidth="1"/>
    <col min="15889" max="15889" width="23.28515625" style="118" customWidth="1"/>
    <col min="15890" max="15890" width="18.42578125" style="118" customWidth="1"/>
    <col min="15891" max="15891" width="27.85546875" style="118" customWidth="1"/>
    <col min="15892" max="15892" width="49.42578125" style="118" customWidth="1"/>
    <col min="15893" max="15893" width="32.140625" style="118" customWidth="1"/>
    <col min="15894" max="15894" width="22.42578125" style="118" customWidth="1"/>
    <col min="15895" max="15895" width="33" style="118" customWidth="1"/>
    <col min="15896" max="15896" width="58.85546875" style="118" customWidth="1"/>
    <col min="15897" max="15897" width="37.85546875" style="118" customWidth="1"/>
    <col min="15898" max="15898" width="17.5703125" style="118" customWidth="1"/>
    <col min="15899" max="15899" width="16.5703125" style="118" customWidth="1"/>
    <col min="15900" max="15900" width="28.7109375" style="118" customWidth="1"/>
    <col min="15901" max="15901" width="23.85546875" style="118" customWidth="1"/>
    <col min="15902" max="16128" width="9.140625" style="118"/>
    <col min="16129" max="16130" width="0" style="118" hidden="1" customWidth="1"/>
    <col min="16131" max="16131" width="15.7109375" style="118" customWidth="1"/>
    <col min="16132" max="16132" width="93.42578125" style="118" customWidth="1"/>
    <col min="16133" max="16133" width="32.28515625" style="118" customWidth="1"/>
    <col min="16134" max="16134" width="23.7109375" style="118" customWidth="1"/>
    <col min="16135" max="16135" width="26.42578125" style="118" customWidth="1"/>
    <col min="16136" max="16136" width="26.5703125" style="118" customWidth="1"/>
    <col min="16137" max="16137" width="27.85546875" style="118" customWidth="1"/>
    <col min="16138" max="16138" width="28.140625" style="118" customWidth="1"/>
    <col min="16139" max="16139" width="24.28515625" style="118" customWidth="1"/>
    <col min="16140" max="16140" width="13.140625" style="118" customWidth="1"/>
    <col min="16141" max="16141" width="19.85546875" style="118" customWidth="1"/>
    <col min="16142" max="16142" width="34.42578125" style="118" customWidth="1"/>
    <col min="16143" max="16143" width="18.140625" style="118" customWidth="1"/>
    <col min="16144" max="16144" width="24.7109375" style="118" customWidth="1"/>
    <col min="16145" max="16145" width="23.28515625" style="118" customWidth="1"/>
    <col min="16146" max="16146" width="18.42578125" style="118" customWidth="1"/>
    <col min="16147" max="16147" width="27.85546875" style="118" customWidth="1"/>
    <col min="16148" max="16148" width="49.42578125" style="118" customWidth="1"/>
    <col min="16149" max="16149" width="32.140625" style="118" customWidth="1"/>
    <col min="16150" max="16150" width="22.42578125" style="118" customWidth="1"/>
    <col min="16151" max="16151" width="33" style="118" customWidth="1"/>
    <col min="16152" max="16152" width="58.85546875" style="118" customWidth="1"/>
    <col min="16153" max="16153" width="37.85546875" style="118" customWidth="1"/>
    <col min="16154" max="16154" width="17.5703125" style="118" customWidth="1"/>
    <col min="16155" max="16155" width="16.5703125" style="118" customWidth="1"/>
    <col min="16156" max="16156" width="28.7109375" style="118" customWidth="1"/>
    <col min="16157" max="16157" width="23.85546875" style="118" customWidth="1"/>
    <col min="16158" max="16384" width="9.140625" style="118"/>
  </cols>
  <sheetData>
    <row r="1" spans="1:29" ht="31.5" x14ac:dyDescent="0.5">
      <c r="F1" s="119"/>
      <c r="G1" s="119"/>
      <c r="H1" s="119"/>
      <c r="I1" s="119"/>
      <c r="J1" s="119"/>
      <c r="K1" s="119"/>
      <c r="L1" s="392"/>
      <c r="M1" s="392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20"/>
      <c r="AA1" s="393"/>
      <c r="AB1" s="393"/>
      <c r="AC1" s="393"/>
    </row>
    <row r="2" spans="1:29" ht="20.25" x14ac:dyDescent="0.3">
      <c r="Z2" s="393"/>
      <c r="AA2" s="393"/>
      <c r="AB2" s="393"/>
      <c r="AC2" s="393"/>
    </row>
    <row r="3" spans="1:29" ht="21" x14ac:dyDescent="0.35">
      <c r="Z3" s="120"/>
      <c r="AA3" s="393"/>
      <c r="AB3" s="393"/>
      <c r="AC3" s="393"/>
    </row>
    <row r="4" spans="1:29" ht="31.5" x14ac:dyDescent="0.5">
      <c r="AA4" s="119"/>
      <c r="AB4" s="121"/>
      <c r="AC4" s="122"/>
    </row>
    <row r="5" spans="1:29" ht="147.75" customHeight="1" x14ac:dyDescent="0.25">
      <c r="C5" s="394" t="s">
        <v>1717</v>
      </c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</row>
    <row r="6" spans="1:29" s="123" customFormat="1" ht="30.75" customHeight="1" x14ac:dyDescent="0.4">
      <c r="C6" s="383" t="s">
        <v>6</v>
      </c>
      <c r="D6" s="383" t="s">
        <v>7</v>
      </c>
      <c r="E6" s="384" t="s">
        <v>8</v>
      </c>
      <c r="F6" s="387" t="s">
        <v>984</v>
      </c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8" t="s">
        <v>9</v>
      </c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95" t="s">
        <v>1704</v>
      </c>
    </row>
    <row r="7" spans="1:29" s="123" customFormat="1" ht="48.75" customHeight="1" x14ac:dyDescent="0.4">
      <c r="C7" s="383"/>
      <c r="D7" s="383"/>
      <c r="E7" s="385"/>
      <c r="F7" s="387" t="s">
        <v>13</v>
      </c>
      <c r="G7" s="387"/>
      <c r="H7" s="387"/>
      <c r="I7" s="387"/>
      <c r="J7" s="387"/>
      <c r="K7" s="387"/>
      <c r="L7" s="396" t="s">
        <v>14</v>
      </c>
      <c r="M7" s="396"/>
      <c r="N7" s="396" t="s">
        <v>15</v>
      </c>
      <c r="O7" s="396" t="s">
        <v>16</v>
      </c>
      <c r="P7" s="396" t="s">
        <v>17</v>
      </c>
      <c r="Q7" s="396" t="s">
        <v>18</v>
      </c>
      <c r="R7" s="390" t="s">
        <v>1705</v>
      </c>
      <c r="S7" s="390" t="s">
        <v>1706</v>
      </c>
      <c r="T7" s="390" t="s">
        <v>1707</v>
      </c>
      <c r="U7" s="390" t="s">
        <v>1708</v>
      </c>
      <c r="V7" s="390" t="s">
        <v>23</v>
      </c>
      <c r="W7" s="390" t="s">
        <v>1709</v>
      </c>
      <c r="X7" s="390" t="s">
        <v>1710</v>
      </c>
      <c r="Y7" s="390" t="s">
        <v>1711</v>
      </c>
      <c r="Z7" s="390" t="s">
        <v>27</v>
      </c>
      <c r="AA7" s="390" t="s">
        <v>28</v>
      </c>
      <c r="AB7" s="390" t="s">
        <v>1712</v>
      </c>
      <c r="AC7" s="395"/>
    </row>
    <row r="8" spans="1:29" s="123" customFormat="1" ht="409.5" customHeight="1" x14ac:dyDescent="0.4">
      <c r="C8" s="383"/>
      <c r="D8" s="383"/>
      <c r="E8" s="386"/>
      <c r="F8" s="124" t="s">
        <v>30</v>
      </c>
      <c r="G8" s="124" t="s">
        <v>31</v>
      </c>
      <c r="H8" s="124" t="s">
        <v>32</v>
      </c>
      <c r="I8" s="124" t="s">
        <v>33</v>
      </c>
      <c r="J8" s="124" t="s">
        <v>34</v>
      </c>
      <c r="K8" s="124" t="s">
        <v>35</v>
      </c>
      <c r="L8" s="396"/>
      <c r="M8" s="396"/>
      <c r="N8" s="396"/>
      <c r="O8" s="396"/>
      <c r="P8" s="396"/>
      <c r="Q8" s="396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5"/>
    </row>
    <row r="9" spans="1:29" s="123" customFormat="1" ht="38.25" customHeight="1" x14ac:dyDescent="0.4">
      <c r="C9" s="383"/>
      <c r="D9" s="383"/>
      <c r="E9" s="125" t="s">
        <v>36</v>
      </c>
      <c r="F9" s="126" t="s">
        <v>36</v>
      </c>
      <c r="G9" s="126" t="s">
        <v>36</v>
      </c>
      <c r="H9" s="126" t="s">
        <v>36</v>
      </c>
      <c r="I9" s="126" t="s">
        <v>36</v>
      </c>
      <c r="J9" s="126" t="s">
        <v>36</v>
      </c>
      <c r="K9" s="126" t="s">
        <v>36</v>
      </c>
      <c r="L9" s="126" t="s">
        <v>37</v>
      </c>
      <c r="M9" s="126" t="s">
        <v>36</v>
      </c>
      <c r="N9" s="126" t="s">
        <v>36</v>
      </c>
      <c r="O9" s="126" t="s">
        <v>36</v>
      </c>
      <c r="P9" s="126" t="s">
        <v>36</v>
      </c>
      <c r="Q9" s="126" t="s">
        <v>36</v>
      </c>
      <c r="R9" s="126" t="s">
        <v>36</v>
      </c>
      <c r="S9" s="126" t="s">
        <v>36</v>
      </c>
      <c r="T9" s="126" t="s">
        <v>36</v>
      </c>
      <c r="U9" s="126" t="s">
        <v>36</v>
      </c>
      <c r="V9" s="126" t="s">
        <v>36</v>
      </c>
      <c r="W9" s="126" t="s">
        <v>36</v>
      </c>
      <c r="X9" s="126" t="s">
        <v>36</v>
      </c>
      <c r="Y9" s="126" t="s">
        <v>36</v>
      </c>
      <c r="Z9" s="126" t="s">
        <v>36</v>
      </c>
      <c r="AA9" s="126" t="s">
        <v>36</v>
      </c>
      <c r="AB9" s="126" t="s">
        <v>36</v>
      </c>
      <c r="AC9" s="395"/>
    </row>
    <row r="10" spans="1:29" s="123" customFormat="1" ht="34.5" customHeight="1" x14ac:dyDescent="0.45">
      <c r="A10" s="123">
        <v>1</v>
      </c>
      <c r="C10" s="127">
        <v>1</v>
      </c>
      <c r="D10" s="127">
        <v>2</v>
      </c>
      <c r="E10" s="128">
        <f>D10+1</f>
        <v>3</v>
      </c>
      <c r="F10" s="128">
        <f>E10+1</f>
        <v>4</v>
      </c>
      <c r="G10" s="128">
        <v>5</v>
      </c>
      <c r="H10" s="128">
        <v>6</v>
      </c>
      <c r="I10" s="128">
        <v>7</v>
      </c>
      <c r="J10" s="128">
        <v>8</v>
      </c>
      <c r="K10" s="128">
        <v>9</v>
      </c>
      <c r="L10" s="128">
        <v>10</v>
      </c>
      <c r="M10" s="128">
        <v>11</v>
      </c>
      <c r="N10" s="128">
        <v>12</v>
      </c>
      <c r="O10" s="128">
        <v>13</v>
      </c>
      <c r="P10" s="128">
        <v>14</v>
      </c>
      <c r="Q10" s="128">
        <v>15</v>
      </c>
      <c r="R10" s="128">
        <v>16</v>
      </c>
      <c r="S10" s="128">
        <v>17</v>
      </c>
      <c r="T10" s="128">
        <v>18</v>
      </c>
      <c r="U10" s="128">
        <v>19</v>
      </c>
      <c r="V10" s="128">
        <v>20</v>
      </c>
      <c r="W10" s="128">
        <v>21</v>
      </c>
      <c r="X10" s="128">
        <v>22</v>
      </c>
      <c r="Y10" s="128">
        <v>23</v>
      </c>
      <c r="Z10" s="128">
        <v>24</v>
      </c>
      <c r="AA10" s="128">
        <v>25</v>
      </c>
      <c r="AB10" s="128">
        <v>26</v>
      </c>
      <c r="AC10" s="128">
        <v>27</v>
      </c>
    </row>
    <row r="11" spans="1:29" s="123" customFormat="1" ht="27.75" x14ac:dyDescent="0.4">
      <c r="C11" s="129" t="s">
        <v>1713</v>
      </c>
      <c r="D11" s="127"/>
      <c r="E11" s="130">
        <f>E12</f>
        <v>58937.15</v>
      </c>
      <c r="F11" s="130">
        <f t="shared" ref="F11:AB11" si="0">F12</f>
        <v>0</v>
      </c>
      <c r="G11" s="130">
        <f t="shared" si="0"/>
        <v>0</v>
      </c>
      <c r="H11" s="130">
        <f t="shared" si="0"/>
        <v>0</v>
      </c>
      <c r="I11" s="130">
        <f t="shared" si="0"/>
        <v>58937.15</v>
      </c>
      <c r="J11" s="130">
        <f t="shared" si="0"/>
        <v>0</v>
      </c>
      <c r="K11" s="130">
        <f t="shared" si="0"/>
        <v>0</v>
      </c>
      <c r="L11" s="131">
        <f t="shared" si="0"/>
        <v>0</v>
      </c>
      <c r="M11" s="130">
        <f t="shared" si="0"/>
        <v>0</v>
      </c>
      <c r="N11" s="130">
        <f t="shared" si="0"/>
        <v>0</v>
      </c>
      <c r="O11" s="130">
        <f t="shared" si="0"/>
        <v>0</v>
      </c>
      <c r="P11" s="130">
        <f t="shared" si="0"/>
        <v>0</v>
      </c>
      <c r="Q11" s="130">
        <f t="shared" si="0"/>
        <v>0</v>
      </c>
      <c r="R11" s="130">
        <f t="shared" si="0"/>
        <v>0</v>
      </c>
      <c r="S11" s="130">
        <f t="shared" si="0"/>
        <v>0</v>
      </c>
      <c r="T11" s="130">
        <f t="shared" si="0"/>
        <v>0</v>
      </c>
      <c r="U11" s="130">
        <f t="shared" si="0"/>
        <v>0</v>
      </c>
      <c r="V11" s="130">
        <f t="shared" si="0"/>
        <v>0</v>
      </c>
      <c r="W11" s="130">
        <f t="shared" si="0"/>
        <v>0</v>
      </c>
      <c r="X11" s="130">
        <f t="shared" si="0"/>
        <v>0</v>
      </c>
      <c r="Y11" s="130">
        <f t="shared" si="0"/>
        <v>0</v>
      </c>
      <c r="Z11" s="130">
        <f t="shared" si="0"/>
        <v>0</v>
      </c>
      <c r="AA11" s="130">
        <f t="shared" si="0"/>
        <v>0</v>
      </c>
      <c r="AB11" s="130">
        <f t="shared" si="0"/>
        <v>0</v>
      </c>
      <c r="AC11" s="127" t="s">
        <v>890</v>
      </c>
    </row>
    <row r="12" spans="1:29" s="123" customFormat="1" ht="27.75" x14ac:dyDescent="0.4">
      <c r="C12" s="132" t="s">
        <v>1714</v>
      </c>
      <c r="D12" s="127"/>
      <c r="E12" s="130">
        <f>E13</f>
        <v>58937.15</v>
      </c>
      <c r="F12" s="130">
        <f t="shared" ref="F12:AB12" si="1">F13</f>
        <v>0</v>
      </c>
      <c r="G12" s="130">
        <f t="shared" si="1"/>
        <v>0</v>
      </c>
      <c r="H12" s="130">
        <f t="shared" si="1"/>
        <v>0</v>
      </c>
      <c r="I12" s="130">
        <f t="shared" si="1"/>
        <v>58937.15</v>
      </c>
      <c r="J12" s="130">
        <f t="shared" si="1"/>
        <v>0</v>
      </c>
      <c r="K12" s="130">
        <f t="shared" si="1"/>
        <v>0</v>
      </c>
      <c r="L12" s="131">
        <f t="shared" si="1"/>
        <v>0</v>
      </c>
      <c r="M12" s="130">
        <f t="shared" si="1"/>
        <v>0</v>
      </c>
      <c r="N12" s="130">
        <f t="shared" si="1"/>
        <v>0</v>
      </c>
      <c r="O12" s="130">
        <f t="shared" si="1"/>
        <v>0</v>
      </c>
      <c r="P12" s="130">
        <f t="shared" si="1"/>
        <v>0</v>
      </c>
      <c r="Q12" s="130">
        <f t="shared" si="1"/>
        <v>0</v>
      </c>
      <c r="R12" s="130">
        <f t="shared" si="1"/>
        <v>0</v>
      </c>
      <c r="S12" s="130">
        <f t="shared" si="1"/>
        <v>0</v>
      </c>
      <c r="T12" s="130">
        <f t="shared" si="1"/>
        <v>0</v>
      </c>
      <c r="U12" s="130">
        <f t="shared" si="1"/>
        <v>0</v>
      </c>
      <c r="V12" s="130">
        <f t="shared" si="1"/>
        <v>0</v>
      </c>
      <c r="W12" s="130">
        <f t="shared" si="1"/>
        <v>0</v>
      </c>
      <c r="X12" s="130">
        <f t="shared" si="1"/>
        <v>0</v>
      </c>
      <c r="Y12" s="130">
        <f t="shared" si="1"/>
        <v>0</v>
      </c>
      <c r="Z12" s="130">
        <f t="shared" si="1"/>
        <v>0</v>
      </c>
      <c r="AA12" s="130">
        <f t="shared" si="1"/>
        <v>0</v>
      </c>
      <c r="AB12" s="130">
        <f t="shared" si="1"/>
        <v>0</v>
      </c>
      <c r="AC12" s="127" t="s">
        <v>890</v>
      </c>
    </row>
    <row r="13" spans="1:29" s="123" customFormat="1" ht="27.75" x14ac:dyDescent="0.4">
      <c r="A13" s="123">
        <v>2</v>
      </c>
      <c r="C13" s="132" t="s">
        <v>1716</v>
      </c>
      <c r="D13" s="127"/>
      <c r="E13" s="130">
        <f>F13+G13+H13+I13+J13+K13+M13+N13+O13+P13+Q13+R13+S13+T13+U13+V13+W13+X13+Y13+Z13+AA13+AB13</f>
        <v>58937.15</v>
      </c>
      <c r="F13" s="130">
        <f t="shared" ref="F13:Q13" si="2">F14</f>
        <v>0</v>
      </c>
      <c r="G13" s="130">
        <f t="shared" si="2"/>
        <v>0</v>
      </c>
      <c r="H13" s="130">
        <f t="shared" si="2"/>
        <v>0</v>
      </c>
      <c r="I13" s="130">
        <f t="shared" si="2"/>
        <v>58937.15</v>
      </c>
      <c r="J13" s="130">
        <f t="shared" si="2"/>
        <v>0</v>
      </c>
      <c r="K13" s="130">
        <f t="shared" si="2"/>
        <v>0</v>
      </c>
      <c r="L13" s="131">
        <f t="shared" si="2"/>
        <v>0</v>
      </c>
      <c r="M13" s="130">
        <f t="shared" si="2"/>
        <v>0</v>
      </c>
      <c r="N13" s="130">
        <f t="shared" si="2"/>
        <v>0</v>
      </c>
      <c r="O13" s="130">
        <f t="shared" si="2"/>
        <v>0</v>
      </c>
      <c r="P13" s="130">
        <f t="shared" si="2"/>
        <v>0</v>
      </c>
      <c r="Q13" s="130">
        <f t="shared" si="2"/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0">
        <v>0</v>
      </c>
      <c r="X13" s="130">
        <v>0</v>
      </c>
      <c r="Y13" s="130">
        <v>0</v>
      </c>
      <c r="Z13" s="130">
        <f>Z14</f>
        <v>0</v>
      </c>
      <c r="AA13" s="130">
        <f>AA14</f>
        <v>0</v>
      </c>
      <c r="AB13" s="130">
        <f>AB14</f>
        <v>0</v>
      </c>
      <c r="AC13" s="127" t="s">
        <v>890</v>
      </c>
    </row>
    <row r="14" spans="1:29" s="123" customFormat="1" ht="27.75" x14ac:dyDescent="0.4">
      <c r="A14" s="123">
        <v>3</v>
      </c>
      <c r="B14" s="123">
        <v>1</v>
      </c>
      <c r="C14" s="133">
        <v>1</v>
      </c>
      <c r="D14" s="134" t="s">
        <v>1715</v>
      </c>
      <c r="E14" s="130">
        <f>F14+G14+H14+I14+J14+K14+M14+N14+O14+P14+Q14+R14+S14+T14+U14+V14+W14+X14+Y14+Z14+AA14+AB14</f>
        <v>58937.15</v>
      </c>
      <c r="F14" s="135">
        <v>0</v>
      </c>
      <c r="G14" s="135">
        <v>0</v>
      </c>
      <c r="H14" s="135">
        <v>0</v>
      </c>
      <c r="I14" s="135">
        <v>58937.15</v>
      </c>
      <c r="J14" s="135">
        <v>0</v>
      </c>
      <c r="K14" s="135">
        <v>0</v>
      </c>
      <c r="L14" s="134">
        <v>0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>
        <v>0</v>
      </c>
      <c r="W14" s="135">
        <v>0</v>
      </c>
      <c r="X14" s="135">
        <v>0</v>
      </c>
      <c r="Y14" s="135">
        <v>0</v>
      </c>
      <c r="Z14" s="135">
        <v>0</v>
      </c>
      <c r="AA14" s="135">
        <v>0</v>
      </c>
      <c r="AB14" s="135">
        <v>0</v>
      </c>
      <c r="AC14" s="133">
        <v>2020</v>
      </c>
    </row>
    <row r="15" spans="1:29" s="123" customFormat="1" ht="27.75" x14ac:dyDescent="0.4">
      <c r="A15" s="123">
        <v>2</v>
      </c>
      <c r="C15" s="132" t="s">
        <v>1044</v>
      </c>
      <c r="D15" s="127"/>
      <c r="E15" s="130">
        <f>F15+G15+H15+I15+J15+K15+M15+N15+O15+P15+Q15+R15+S15+T15+U15+V15+W15+X15+Y15+Z15+AA15+AB15</f>
        <v>560539.34</v>
      </c>
      <c r="F15" s="130">
        <f t="shared" ref="F15:Q15" si="3">F16</f>
        <v>0</v>
      </c>
      <c r="G15" s="130">
        <f t="shared" si="3"/>
        <v>0</v>
      </c>
      <c r="H15" s="130">
        <f t="shared" si="3"/>
        <v>560539.34</v>
      </c>
      <c r="I15" s="130">
        <f t="shared" si="3"/>
        <v>0</v>
      </c>
      <c r="J15" s="130">
        <f t="shared" si="3"/>
        <v>0</v>
      </c>
      <c r="K15" s="130">
        <f t="shared" si="3"/>
        <v>0</v>
      </c>
      <c r="L15" s="131">
        <f t="shared" si="3"/>
        <v>0</v>
      </c>
      <c r="M15" s="130">
        <f t="shared" si="3"/>
        <v>0</v>
      </c>
      <c r="N15" s="130">
        <f t="shared" si="3"/>
        <v>0</v>
      </c>
      <c r="O15" s="130">
        <f t="shared" si="3"/>
        <v>0</v>
      </c>
      <c r="P15" s="130">
        <f t="shared" si="3"/>
        <v>0</v>
      </c>
      <c r="Q15" s="130">
        <f t="shared" si="3"/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30">
        <f>Z16</f>
        <v>0</v>
      </c>
      <c r="AA15" s="130">
        <f>AA16</f>
        <v>0</v>
      </c>
      <c r="AB15" s="130">
        <f>AB16</f>
        <v>0</v>
      </c>
      <c r="AC15" s="127" t="s">
        <v>890</v>
      </c>
    </row>
    <row r="16" spans="1:29" s="123" customFormat="1" ht="27.75" x14ac:dyDescent="0.4">
      <c r="A16" s="123">
        <v>3</v>
      </c>
      <c r="B16" s="123">
        <v>1</v>
      </c>
      <c r="C16" s="133">
        <v>2</v>
      </c>
      <c r="D16" s="134" t="s">
        <v>1926</v>
      </c>
      <c r="E16" s="130">
        <f>F16+G16+H16+I16+J16+K16+M16+N16+O16+P16+Q16+R16+S16+T16+U16+V16+W16+X16+Y16+Z16+AA16+AB16</f>
        <v>560539.34</v>
      </c>
      <c r="F16" s="135">
        <v>0</v>
      </c>
      <c r="G16" s="135">
        <v>0</v>
      </c>
      <c r="H16" s="135">
        <v>560539.34</v>
      </c>
      <c r="I16" s="135">
        <v>0</v>
      </c>
      <c r="J16" s="135">
        <v>0</v>
      </c>
      <c r="K16" s="135">
        <v>0</v>
      </c>
      <c r="L16" s="134">
        <v>0</v>
      </c>
      <c r="M16" s="135">
        <v>0</v>
      </c>
      <c r="N16" s="135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5">
        <v>0</v>
      </c>
      <c r="Y16" s="135">
        <v>0</v>
      </c>
      <c r="Z16" s="135">
        <v>0</v>
      </c>
      <c r="AA16" s="135">
        <v>0</v>
      </c>
      <c r="AB16" s="135">
        <v>0</v>
      </c>
      <c r="AC16" s="133">
        <v>2020</v>
      </c>
    </row>
    <row r="17" spans="1:29" s="123" customFormat="1" ht="27.75" x14ac:dyDescent="0.4">
      <c r="C17" s="132" t="s">
        <v>2431</v>
      </c>
      <c r="D17" s="127"/>
      <c r="E17" s="130">
        <f>E18</f>
        <v>409751.5</v>
      </c>
      <c r="F17" s="130">
        <f t="shared" ref="F17:AB18" si="4">F18</f>
        <v>0</v>
      </c>
      <c r="G17" s="130">
        <f t="shared" si="4"/>
        <v>0</v>
      </c>
      <c r="H17" s="130">
        <f t="shared" si="4"/>
        <v>0</v>
      </c>
      <c r="I17" s="130">
        <f t="shared" si="4"/>
        <v>0</v>
      </c>
      <c r="J17" s="130">
        <f t="shared" si="4"/>
        <v>140121</v>
      </c>
      <c r="K17" s="130">
        <f t="shared" si="4"/>
        <v>0</v>
      </c>
      <c r="L17" s="131">
        <f t="shared" si="4"/>
        <v>0</v>
      </c>
      <c r="M17" s="130">
        <f t="shared" si="4"/>
        <v>0</v>
      </c>
      <c r="N17" s="130">
        <f t="shared" si="4"/>
        <v>193013</v>
      </c>
      <c r="O17" s="130">
        <f t="shared" si="4"/>
        <v>0</v>
      </c>
      <c r="P17" s="130">
        <f t="shared" si="4"/>
        <v>76617.5</v>
      </c>
      <c r="Q17" s="130">
        <f t="shared" si="4"/>
        <v>0</v>
      </c>
      <c r="R17" s="130">
        <f t="shared" si="4"/>
        <v>0</v>
      </c>
      <c r="S17" s="130">
        <f t="shared" si="4"/>
        <v>0</v>
      </c>
      <c r="T17" s="130">
        <f t="shared" si="4"/>
        <v>0</v>
      </c>
      <c r="U17" s="130">
        <f t="shared" si="4"/>
        <v>0</v>
      </c>
      <c r="V17" s="130">
        <f t="shared" si="4"/>
        <v>0</v>
      </c>
      <c r="W17" s="130">
        <f t="shared" si="4"/>
        <v>0</v>
      </c>
      <c r="X17" s="130">
        <f t="shared" si="4"/>
        <v>0</v>
      </c>
      <c r="Y17" s="130">
        <f t="shared" si="4"/>
        <v>0</v>
      </c>
      <c r="Z17" s="130">
        <f t="shared" si="4"/>
        <v>0</v>
      </c>
      <c r="AA17" s="130">
        <f t="shared" si="4"/>
        <v>0</v>
      </c>
      <c r="AB17" s="130">
        <f t="shared" si="4"/>
        <v>0</v>
      </c>
      <c r="AC17" s="127" t="s">
        <v>890</v>
      </c>
    </row>
    <row r="18" spans="1:29" s="123" customFormat="1" ht="27.75" x14ac:dyDescent="0.4">
      <c r="A18" s="123">
        <v>2</v>
      </c>
      <c r="C18" s="132" t="s">
        <v>841</v>
      </c>
      <c r="D18" s="127"/>
      <c r="E18" s="130">
        <f>F18+G18+H18+I18+J18+K18+M18+N18+O18+P18+Q18+R18+S18+T18+U18+V18+W18+X18+Y18+Z18+AA18+AB18</f>
        <v>409751.5</v>
      </c>
      <c r="F18" s="130">
        <f t="shared" si="4"/>
        <v>0</v>
      </c>
      <c r="G18" s="130">
        <f t="shared" si="4"/>
        <v>0</v>
      </c>
      <c r="H18" s="130">
        <f t="shared" si="4"/>
        <v>0</v>
      </c>
      <c r="I18" s="130">
        <f t="shared" si="4"/>
        <v>0</v>
      </c>
      <c r="J18" s="130">
        <f t="shared" si="4"/>
        <v>140121</v>
      </c>
      <c r="K18" s="130">
        <f t="shared" si="4"/>
        <v>0</v>
      </c>
      <c r="L18" s="131">
        <f t="shared" si="4"/>
        <v>0</v>
      </c>
      <c r="M18" s="130">
        <f t="shared" si="4"/>
        <v>0</v>
      </c>
      <c r="N18" s="130">
        <f t="shared" si="4"/>
        <v>193013</v>
      </c>
      <c r="O18" s="130">
        <f t="shared" si="4"/>
        <v>0</v>
      </c>
      <c r="P18" s="130">
        <f t="shared" si="4"/>
        <v>76617.5</v>
      </c>
      <c r="Q18" s="130">
        <f t="shared" si="4"/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0">
        <f>Z19</f>
        <v>0</v>
      </c>
      <c r="AA18" s="130">
        <f>AA19</f>
        <v>0</v>
      </c>
      <c r="AB18" s="130">
        <f>AB19</f>
        <v>0</v>
      </c>
      <c r="AC18" s="127" t="s">
        <v>890</v>
      </c>
    </row>
    <row r="19" spans="1:29" s="123" customFormat="1" ht="27.75" x14ac:dyDescent="0.4">
      <c r="A19" s="123">
        <v>3</v>
      </c>
      <c r="B19" s="123">
        <v>1</v>
      </c>
      <c r="C19" s="133">
        <v>1</v>
      </c>
      <c r="D19" s="134" t="s">
        <v>2432</v>
      </c>
      <c r="E19" s="130">
        <f>F19+G19+H19+I19+J19+K19+M19+N19+O19+P19+Q19+R19+S19+T19+U19+V19+W19+X19+Y19+Z19+AA19+AB19</f>
        <v>409751.5</v>
      </c>
      <c r="F19" s="135">
        <v>0</v>
      </c>
      <c r="G19" s="135">
        <v>0</v>
      </c>
      <c r="H19" s="135">
        <v>0</v>
      </c>
      <c r="I19" s="135">
        <v>0</v>
      </c>
      <c r="J19" s="135">
        <v>140121</v>
      </c>
      <c r="K19" s="135">
        <v>0</v>
      </c>
      <c r="L19" s="134">
        <v>0</v>
      </c>
      <c r="M19" s="135">
        <v>0</v>
      </c>
      <c r="N19" s="135">
        <v>193013</v>
      </c>
      <c r="O19" s="135">
        <v>0</v>
      </c>
      <c r="P19" s="135">
        <v>76617.5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5">
        <v>0</v>
      </c>
      <c r="Y19" s="135">
        <v>0</v>
      </c>
      <c r="Z19" s="135">
        <v>0</v>
      </c>
      <c r="AA19" s="135">
        <v>0</v>
      </c>
      <c r="AB19" s="135">
        <v>0</v>
      </c>
      <c r="AC19" s="133">
        <v>2021</v>
      </c>
    </row>
  </sheetData>
  <mergeCells count="28"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AA7:AA8"/>
    <mergeCell ref="AB7:AB8"/>
    <mergeCell ref="U7:U8"/>
    <mergeCell ref="V7:V8"/>
    <mergeCell ref="W7:W8"/>
    <mergeCell ref="X7:X8"/>
    <mergeCell ref="L1:M1"/>
    <mergeCell ref="AA1:AC1"/>
    <mergeCell ref="Z2:AC2"/>
    <mergeCell ref="AA3:AC3"/>
    <mergeCell ref="C5:AC5"/>
    <mergeCell ref="C6:C9"/>
    <mergeCell ref="D6:D9"/>
    <mergeCell ref="E6:E8"/>
    <mergeCell ref="F6:Q6"/>
    <mergeCell ref="R6:AB6"/>
    <mergeCell ref="Y7:Y8"/>
    <mergeCell ref="Z7:Z8"/>
  </mergeCells>
  <printOptions horizontalCentered="1"/>
  <pageMargins left="0" right="0" top="0" bottom="0" header="0" footer="0"/>
  <pageSetup paperSize="9" scale="1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N239"/>
  <sheetViews>
    <sheetView topLeftCell="B1" zoomScale="20" zoomScaleNormal="20" workbookViewId="0">
      <pane xSplit="2" ySplit="10" topLeftCell="D11" activePane="bottomRight" state="frozen"/>
      <selection activeCell="B1" sqref="B1"/>
      <selection pane="topRight" activeCell="D1" sqref="D1"/>
      <selection pane="bottomLeft" activeCell="B11" sqref="B11"/>
      <selection pane="bottomRight" activeCell="B1" sqref="A1:XFD1048576"/>
    </sheetView>
  </sheetViews>
  <sheetFormatPr defaultRowHeight="15" x14ac:dyDescent="0.25"/>
  <cols>
    <col min="1" max="1" width="9.140625" style="6" hidden="1" customWidth="1"/>
    <col min="2" max="2" width="26.42578125" style="6" customWidth="1"/>
    <col min="3" max="3" width="253.42578125" style="6" customWidth="1"/>
    <col min="4" max="4" width="58.85546875" style="6" customWidth="1"/>
    <col min="5" max="5" width="72.140625" style="6" customWidth="1"/>
    <col min="6" max="6" width="53.5703125" style="6" customWidth="1"/>
    <col min="7" max="9" width="54.28515625" style="6" customWidth="1"/>
    <col min="10" max="10" width="49.28515625" style="6" customWidth="1"/>
    <col min="11" max="11" width="52.85546875" style="6" customWidth="1"/>
    <col min="12" max="12" width="47.85546875" style="6" customWidth="1"/>
    <col min="13" max="13" width="40.140625" style="59" customWidth="1"/>
    <col min="14" max="14" width="44.42578125" style="6" customWidth="1"/>
    <col min="15" max="15" width="43.7109375" style="6" customWidth="1"/>
    <col min="16" max="16" width="58.5703125" style="6" customWidth="1"/>
    <col min="17" max="17" width="41.42578125" style="6" customWidth="1"/>
    <col min="18" max="18" width="42.5703125" style="6" customWidth="1"/>
    <col min="19" max="19" width="43.85546875" style="6" customWidth="1"/>
    <col min="20" max="20" width="60.28515625" style="6" customWidth="1"/>
    <col min="21" max="21" width="35.42578125" style="6" customWidth="1"/>
    <col min="22" max="22" width="49.140625" style="6" customWidth="1"/>
    <col min="23" max="23" width="34.28515625" style="6" customWidth="1"/>
    <col min="24" max="24" width="58" style="6" customWidth="1"/>
    <col min="25" max="25" width="66.28515625" style="6" customWidth="1"/>
    <col min="26" max="26" width="51.85546875" style="6" customWidth="1"/>
    <col min="27" max="27" width="41.42578125" style="6" customWidth="1"/>
    <col min="28" max="28" width="69" style="6" customWidth="1"/>
    <col min="29" max="29" width="96.7109375" style="6" customWidth="1"/>
    <col min="30" max="30" width="55.28515625" style="6" customWidth="1"/>
    <col min="31" max="32" width="51" style="6" customWidth="1"/>
    <col min="33" max="33" width="63.28515625" style="6" customWidth="1"/>
    <col min="34" max="34" width="38.140625" style="6" customWidth="1"/>
    <col min="35" max="35" width="41.7109375" style="6" customWidth="1"/>
    <col min="36" max="36" width="36.7109375" style="6" customWidth="1"/>
    <col min="37" max="16384" width="9.140625" style="6"/>
  </cols>
  <sheetData>
    <row r="1" spans="1:36" ht="90" x14ac:dyDescent="1.1499999999999999">
      <c r="B1" s="397" t="s">
        <v>978</v>
      </c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</row>
    <row r="2" spans="1:36" ht="90" x14ac:dyDescent="0.25">
      <c r="B2" s="398" t="s">
        <v>1944</v>
      </c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</row>
    <row r="3" spans="1:36" ht="76.5" x14ac:dyDescent="1.05">
      <c r="B3" s="55" t="s">
        <v>980</v>
      </c>
      <c r="C3" s="399" t="s">
        <v>2285</v>
      </c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</row>
    <row r="4" spans="1:36" ht="76.5" x14ac:dyDescent="0.25">
      <c r="B4" s="55" t="s">
        <v>981</v>
      </c>
      <c r="C4" s="400" t="s">
        <v>1007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</row>
    <row r="5" spans="1:36" ht="45.75" customHeight="1" x14ac:dyDescent="0.25">
      <c r="B5" s="316" t="s">
        <v>6</v>
      </c>
      <c r="C5" s="316" t="s">
        <v>7</v>
      </c>
      <c r="D5" s="401" t="s">
        <v>1008</v>
      </c>
      <c r="E5" s="401" t="s">
        <v>1009</v>
      </c>
      <c r="F5" s="404" t="s">
        <v>8</v>
      </c>
      <c r="G5" s="316" t="s">
        <v>984</v>
      </c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407" t="s">
        <v>9</v>
      </c>
      <c r="X5" s="407"/>
      <c r="Y5" s="407"/>
      <c r="Z5" s="407"/>
      <c r="AA5" s="407"/>
      <c r="AB5" s="407"/>
      <c r="AC5" s="407"/>
      <c r="AD5" s="407"/>
      <c r="AE5" s="407"/>
      <c r="AF5" s="407"/>
      <c r="AG5" s="407"/>
      <c r="AH5" s="408" t="s">
        <v>10</v>
      </c>
      <c r="AI5" s="408" t="s">
        <v>11</v>
      </c>
      <c r="AJ5" s="408" t="s">
        <v>12</v>
      </c>
    </row>
    <row r="6" spans="1:36" ht="45.75" x14ac:dyDescent="0.25">
      <c r="B6" s="316"/>
      <c r="C6" s="316"/>
      <c r="D6" s="402"/>
      <c r="E6" s="402"/>
      <c r="F6" s="405"/>
      <c r="G6" s="316" t="s">
        <v>13</v>
      </c>
      <c r="H6" s="316"/>
      <c r="I6" s="316"/>
      <c r="J6" s="316"/>
      <c r="K6" s="316"/>
      <c r="L6" s="316"/>
      <c r="M6" s="414" t="s">
        <v>14</v>
      </c>
      <c r="N6" s="415"/>
      <c r="O6" s="414" t="s">
        <v>15</v>
      </c>
      <c r="P6" s="415"/>
      <c r="Q6" s="414" t="s">
        <v>16</v>
      </c>
      <c r="R6" s="415"/>
      <c r="S6" s="414" t="s">
        <v>17</v>
      </c>
      <c r="T6" s="415"/>
      <c r="U6" s="414" t="s">
        <v>18</v>
      </c>
      <c r="V6" s="415"/>
      <c r="W6" s="412" t="s">
        <v>19</v>
      </c>
      <c r="X6" s="412" t="s">
        <v>1010</v>
      </c>
      <c r="Y6" s="412" t="s">
        <v>21</v>
      </c>
      <c r="Z6" s="412" t="s">
        <v>22</v>
      </c>
      <c r="AA6" s="412" t="s">
        <v>23</v>
      </c>
      <c r="AB6" s="412" t="s">
        <v>1011</v>
      </c>
      <c r="AC6" s="412" t="s">
        <v>1012</v>
      </c>
      <c r="AD6" s="412" t="s">
        <v>1013</v>
      </c>
      <c r="AE6" s="420" t="s">
        <v>27</v>
      </c>
      <c r="AF6" s="420" t="s">
        <v>28</v>
      </c>
      <c r="AG6" s="420" t="s">
        <v>1014</v>
      </c>
      <c r="AH6" s="409"/>
      <c r="AI6" s="409"/>
      <c r="AJ6" s="409"/>
    </row>
    <row r="7" spans="1:36" ht="303" customHeight="1" x14ac:dyDescent="0.25">
      <c r="B7" s="316"/>
      <c r="C7" s="316"/>
      <c r="D7" s="402"/>
      <c r="E7" s="403"/>
      <c r="F7" s="406"/>
      <c r="G7" s="56" t="s">
        <v>30</v>
      </c>
      <c r="H7" s="56" t="s">
        <v>31</v>
      </c>
      <c r="I7" s="56" t="s">
        <v>32</v>
      </c>
      <c r="J7" s="56" t="s">
        <v>33</v>
      </c>
      <c r="K7" s="56" t="s">
        <v>34</v>
      </c>
      <c r="L7" s="56" t="s">
        <v>35</v>
      </c>
      <c r="M7" s="416"/>
      <c r="N7" s="417"/>
      <c r="O7" s="416"/>
      <c r="P7" s="417"/>
      <c r="Q7" s="416"/>
      <c r="R7" s="417"/>
      <c r="S7" s="416"/>
      <c r="T7" s="417"/>
      <c r="U7" s="416"/>
      <c r="V7" s="417"/>
      <c r="W7" s="413"/>
      <c r="X7" s="413"/>
      <c r="Y7" s="413"/>
      <c r="Z7" s="413"/>
      <c r="AA7" s="413"/>
      <c r="AB7" s="413"/>
      <c r="AC7" s="413"/>
      <c r="AD7" s="413"/>
      <c r="AE7" s="421"/>
      <c r="AF7" s="421"/>
      <c r="AG7" s="421"/>
      <c r="AH7" s="409"/>
      <c r="AI7" s="409"/>
      <c r="AJ7" s="409"/>
    </row>
    <row r="8" spans="1:36" ht="45.75" x14ac:dyDescent="0.25">
      <c r="B8" s="316"/>
      <c r="C8" s="316"/>
      <c r="D8" s="403"/>
      <c r="E8" s="183" t="s">
        <v>1015</v>
      </c>
      <c r="F8" s="182" t="s">
        <v>36</v>
      </c>
      <c r="G8" s="183" t="s">
        <v>36</v>
      </c>
      <c r="H8" s="183" t="s">
        <v>36</v>
      </c>
      <c r="I8" s="183" t="s">
        <v>36</v>
      </c>
      <c r="J8" s="183" t="s">
        <v>36</v>
      </c>
      <c r="K8" s="183" t="s">
        <v>36</v>
      </c>
      <c r="L8" s="183" t="s">
        <v>36</v>
      </c>
      <c r="M8" s="26" t="s">
        <v>37</v>
      </c>
      <c r="N8" s="183" t="s">
        <v>36</v>
      </c>
      <c r="O8" s="183" t="s">
        <v>38</v>
      </c>
      <c r="P8" s="183" t="s">
        <v>36</v>
      </c>
      <c r="Q8" s="183" t="s">
        <v>38</v>
      </c>
      <c r="R8" s="183" t="s">
        <v>36</v>
      </c>
      <c r="S8" s="183" t="s">
        <v>38</v>
      </c>
      <c r="T8" s="183" t="s">
        <v>36</v>
      </c>
      <c r="U8" s="183" t="s">
        <v>39</v>
      </c>
      <c r="V8" s="183" t="s">
        <v>36</v>
      </c>
      <c r="W8" s="183" t="s">
        <v>36</v>
      </c>
      <c r="X8" s="183" t="s">
        <v>36</v>
      </c>
      <c r="Y8" s="183" t="s">
        <v>36</v>
      </c>
      <c r="Z8" s="183" t="s">
        <v>36</v>
      </c>
      <c r="AA8" s="183" t="s">
        <v>36</v>
      </c>
      <c r="AB8" s="183" t="s">
        <v>36</v>
      </c>
      <c r="AC8" s="183" t="s">
        <v>36</v>
      </c>
      <c r="AD8" s="183" t="s">
        <v>36</v>
      </c>
      <c r="AE8" s="183" t="s">
        <v>36</v>
      </c>
      <c r="AF8" s="183" t="s">
        <v>36</v>
      </c>
      <c r="AG8" s="183" t="s">
        <v>36</v>
      </c>
      <c r="AH8" s="410"/>
      <c r="AI8" s="410"/>
      <c r="AJ8" s="410"/>
    </row>
    <row r="9" spans="1:36" ht="45.75" x14ac:dyDescent="0.65">
      <c r="B9" s="184">
        <v>1</v>
      </c>
      <c r="C9" s="184">
        <v>2</v>
      </c>
      <c r="D9" s="184">
        <v>3</v>
      </c>
      <c r="E9" s="184">
        <v>4</v>
      </c>
      <c r="F9" s="184">
        <v>5</v>
      </c>
      <c r="G9" s="184">
        <v>6</v>
      </c>
      <c r="H9" s="184">
        <v>7</v>
      </c>
      <c r="I9" s="184">
        <v>8</v>
      </c>
      <c r="J9" s="184">
        <v>9</v>
      </c>
      <c r="K9" s="184">
        <v>10</v>
      </c>
      <c r="L9" s="184">
        <v>11</v>
      </c>
      <c r="M9" s="57">
        <v>12</v>
      </c>
      <c r="N9" s="184">
        <v>13</v>
      </c>
      <c r="O9" s="184">
        <v>14</v>
      </c>
      <c r="P9" s="184">
        <v>15</v>
      </c>
      <c r="Q9" s="184">
        <v>16</v>
      </c>
      <c r="R9" s="184">
        <v>17</v>
      </c>
      <c r="S9" s="184">
        <v>18</v>
      </c>
      <c r="T9" s="184">
        <v>19</v>
      </c>
      <c r="U9" s="184">
        <v>20</v>
      </c>
      <c r="V9" s="184">
        <v>21</v>
      </c>
      <c r="W9" s="184">
        <v>22</v>
      </c>
      <c r="X9" s="184">
        <v>23</v>
      </c>
      <c r="Y9" s="184">
        <v>24</v>
      </c>
      <c r="Z9" s="184">
        <v>25</v>
      </c>
      <c r="AA9" s="184">
        <v>26</v>
      </c>
      <c r="AB9" s="184">
        <v>27</v>
      </c>
      <c r="AC9" s="184">
        <v>28</v>
      </c>
      <c r="AD9" s="184">
        <v>29</v>
      </c>
      <c r="AE9" s="184">
        <v>30</v>
      </c>
      <c r="AF9" s="184">
        <v>31</v>
      </c>
      <c r="AG9" s="184">
        <v>32</v>
      </c>
      <c r="AH9" s="184">
        <v>33</v>
      </c>
      <c r="AI9" s="184">
        <v>34</v>
      </c>
      <c r="AJ9" s="184">
        <v>35</v>
      </c>
    </row>
    <row r="10" spans="1:36" ht="61.5" x14ac:dyDescent="0.25">
      <c r="B10" s="411" t="s">
        <v>1016</v>
      </c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</row>
    <row r="11" spans="1:36" s="66" customFormat="1" ht="61.5" x14ac:dyDescent="0.85">
      <c r="B11" s="159" t="s">
        <v>1942</v>
      </c>
      <c r="C11" s="67"/>
      <c r="D11" s="62" t="s">
        <v>890</v>
      </c>
      <c r="E11" s="63">
        <f>AVERAGE(E13:E59)</f>
        <v>1.007232092198582</v>
      </c>
      <c r="F11" s="31">
        <f t="shared" ref="F11:AG11" si="0">F12+F64</f>
        <v>81940725.300000012</v>
      </c>
      <c r="G11" s="31">
        <f t="shared" si="0"/>
        <v>0</v>
      </c>
      <c r="H11" s="31">
        <f t="shared" si="0"/>
        <v>0</v>
      </c>
      <c r="I11" s="31">
        <f t="shared" si="0"/>
        <v>0</v>
      </c>
      <c r="J11" s="31">
        <f t="shared" si="0"/>
        <v>0</v>
      </c>
      <c r="K11" s="31">
        <f t="shared" si="0"/>
        <v>597348</v>
      </c>
      <c r="L11" s="31">
        <f t="shared" si="0"/>
        <v>0</v>
      </c>
      <c r="M11" s="69">
        <f t="shared" si="0"/>
        <v>0</v>
      </c>
      <c r="N11" s="31">
        <f t="shared" si="0"/>
        <v>0</v>
      </c>
      <c r="O11" s="31">
        <f t="shared" si="0"/>
        <v>16208.02</v>
      </c>
      <c r="P11" s="31">
        <f t="shared" si="0"/>
        <v>73444742.480000004</v>
      </c>
      <c r="Q11" s="31">
        <f t="shared" si="0"/>
        <v>0</v>
      </c>
      <c r="R11" s="31">
        <f t="shared" si="0"/>
        <v>0</v>
      </c>
      <c r="S11" s="31">
        <f t="shared" si="0"/>
        <v>1379.5099999999998</v>
      </c>
      <c r="T11" s="31">
        <f t="shared" si="0"/>
        <v>5125367.97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907923.64</v>
      </c>
      <c r="AF11" s="31">
        <f t="shared" si="0"/>
        <v>1865343.21</v>
      </c>
      <c r="AG11" s="31">
        <f t="shared" si="0"/>
        <v>0</v>
      </c>
      <c r="AH11" s="34" t="s">
        <v>890</v>
      </c>
      <c r="AI11" s="34" t="s">
        <v>890</v>
      </c>
      <c r="AJ11" s="34" t="s">
        <v>890</v>
      </c>
    </row>
    <row r="12" spans="1:36" s="66" customFormat="1" ht="61.5" x14ac:dyDescent="0.85">
      <c r="B12" s="159" t="s">
        <v>1662</v>
      </c>
      <c r="C12" s="67"/>
      <c r="D12" s="62" t="s">
        <v>890</v>
      </c>
      <c r="E12" s="63">
        <f>AVERAGE(E14:E59)</f>
        <v>1.0072697463768121</v>
      </c>
      <c r="F12" s="31">
        <f>F13+F15+F24+F26+F28+F30+F33+F36+F40+F42+F44+F48+F50+F52+F54+F58+F62+F60</f>
        <v>51357504.920000009</v>
      </c>
      <c r="G12" s="31">
        <f t="shared" ref="G12:AG12" si="1">G13+G15+G24+G26+G28+G30+G33+G36+G40+G42+G44+G48+G50+G52+G54+G58+G62+G60</f>
        <v>0</v>
      </c>
      <c r="H12" s="31">
        <f t="shared" si="1"/>
        <v>0</v>
      </c>
      <c r="I12" s="31">
        <f t="shared" si="1"/>
        <v>0</v>
      </c>
      <c r="J12" s="31">
        <f t="shared" si="1"/>
        <v>0</v>
      </c>
      <c r="K12" s="31">
        <f t="shared" si="1"/>
        <v>597348</v>
      </c>
      <c r="L12" s="31">
        <f t="shared" si="1"/>
        <v>0</v>
      </c>
      <c r="M12" s="69">
        <f t="shared" si="1"/>
        <v>0</v>
      </c>
      <c r="N12" s="31">
        <f t="shared" si="1"/>
        <v>0</v>
      </c>
      <c r="O12" s="31">
        <f t="shared" si="1"/>
        <v>10871.88</v>
      </c>
      <c r="P12" s="31">
        <f t="shared" si="1"/>
        <v>46165774.080000006</v>
      </c>
      <c r="Q12" s="31">
        <f t="shared" si="1"/>
        <v>0</v>
      </c>
      <c r="R12" s="31">
        <f t="shared" si="1"/>
        <v>0</v>
      </c>
      <c r="S12" s="31">
        <f t="shared" si="1"/>
        <v>857.57999999999993</v>
      </c>
      <c r="T12" s="31">
        <f t="shared" si="1"/>
        <v>2568651.2599999998</v>
      </c>
      <c r="U12" s="31">
        <f t="shared" si="1"/>
        <v>0</v>
      </c>
      <c r="V12" s="31">
        <f t="shared" si="1"/>
        <v>0</v>
      </c>
      <c r="W12" s="31">
        <f t="shared" si="1"/>
        <v>0</v>
      </c>
      <c r="X12" s="31">
        <f t="shared" si="1"/>
        <v>0</v>
      </c>
      <c r="Y12" s="31">
        <f t="shared" si="1"/>
        <v>0</v>
      </c>
      <c r="Z12" s="31">
        <f t="shared" si="1"/>
        <v>0</v>
      </c>
      <c r="AA12" s="31">
        <f t="shared" si="1"/>
        <v>0</v>
      </c>
      <c r="AB12" s="31">
        <f t="shared" si="1"/>
        <v>0</v>
      </c>
      <c r="AC12" s="31">
        <f t="shared" si="1"/>
        <v>0</v>
      </c>
      <c r="AD12" s="31">
        <f t="shared" si="1"/>
        <v>0</v>
      </c>
      <c r="AE12" s="31">
        <f t="shared" si="1"/>
        <v>460388.37000000005</v>
      </c>
      <c r="AF12" s="31">
        <f t="shared" si="1"/>
        <v>1565343.21</v>
      </c>
      <c r="AG12" s="31">
        <f t="shared" si="1"/>
        <v>0</v>
      </c>
      <c r="AH12" s="34" t="s">
        <v>890</v>
      </c>
      <c r="AI12" s="34" t="s">
        <v>890</v>
      </c>
      <c r="AJ12" s="34" t="s">
        <v>890</v>
      </c>
    </row>
    <row r="13" spans="1:36" s="20" customFormat="1" ht="61.5" x14ac:dyDescent="0.85">
      <c r="B13" s="265" t="s">
        <v>815</v>
      </c>
      <c r="C13" s="24"/>
      <c r="D13" s="62" t="s">
        <v>890</v>
      </c>
      <c r="E13" s="63">
        <f>AVERAGE(E14:E14)</f>
        <v>1.0055000000000001</v>
      </c>
      <c r="F13" s="31">
        <f>F14</f>
        <v>2123521.14</v>
      </c>
      <c r="G13" s="31">
        <f t="shared" ref="G13:AG13" si="2">G14</f>
        <v>0</v>
      </c>
      <c r="H13" s="31">
        <f t="shared" si="2"/>
        <v>0</v>
      </c>
      <c r="I13" s="31">
        <f t="shared" si="2"/>
        <v>0</v>
      </c>
      <c r="J13" s="31">
        <f t="shared" si="2"/>
        <v>0</v>
      </c>
      <c r="K13" s="31">
        <f t="shared" si="2"/>
        <v>0</v>
      </c>
      <c r="L13" s="31">
        <f t="shared" si="2"/>
        <v>0</v>
      </c>
      <c r="M13" s="69">
        <f t="shared" si="2"/>
        <v>0</v>
      </c>
      <c r="N13" s="31">
        <f t="shared" si="2"/>
        <v>0</v>
      </c>
      <c r="O13" s="31">
        <f t="shared" si="2"/>
        <v>521</v>
      </c>
      <c r="P13" s="31">
        <f t="shared" si="2"/>
        <v>2110856</v>
      </c>
      <c r="Q13" s="31">
        <f t="shared" si="2"/>
        <v>0</v>
      </c>
      <c r="R13" s="31">
        <f t="shared" si="2"/>
        <v>0</v>
      </c>
      <c r="S13" s="31">
        <f t="shared" si="2"/>
        <v>0</v>
      </c>
      <c r="T13" s="31">
        <f t="shared" si="2"/>
        <v>0</v>
      </c>
      <c r="U13" s="31">
        <f t="shared" si="2"/>
        <v>0</v>
      </c>
      <c r="V13" s="31">
        <f t="shared" si="2"/>
        <v>0</v>
      </c>
      <c r="W13" s="31">
        <f t="shared" si="2"/>
        <v>0</v>
      </c>
      <c r="X13" s="31">
        <f t="shared" si="2"/>
        <v>0</v>
      </c>
      <c r="Y13" s="31">
        <f t="shared" si="2"/>
        <v>0</v>
      </c>
      <c r="Z13" s="31">
        <f t="shared" si="2"/>
        <v>0</v>
      </c>
      <c r="AA13" s="31">
        <f t="shared" si="2"/>
        <v>0</v>
      </c>
      <c r="AB13" s="31">
        <f t="shared" si="2"/>
        <v>0</v>
      </c>
      <c r="AC13" s="31">
        <f t="shared" si="2"/>
        <v>0</v>
      </c>
      <c r="AD13" s="31">
        <f t="shared" si="2"/>
        <v>0</v>
      </c>
      <c r="AE13" s="61">
        <f t="shared" si="2"/>
        <v>12665.14</v>
      </c>
      <c r="AF13" s="61">
        <f t="shared" si="2"/>
        <v>0</v>
      </c>
      <c r="AG13" s="31">
        <f t="shared" si="2"/>
        <v>0</v>
      </c>
      <c r="AH13" s="34" t="s">
        <v>890</v>
      </c>
      <c r="AI13" s="34" t="s">
        <v>890</v>
      </c>
      <c r="AJ13" s="34" t="s">
        <v>890</v>
      </c>
    </row>
    <row r="14" spans="1:36" s="20" customFormat="1" ht="61.5" x14ac:dyDescent="0.85">
      <c r="A14" s="20">
        <v>1</v>
      </c>
      <c r="B14" s="60">
        <f>SUBTOTAL(103,$A14:A$14)</f>
        <v>1</v>
      </c>
      <c r="C14" s="24" t="s">
        <v>1017</v>
      </c>
      <c r="D14" s="62" t="s">
        <v>1036</v>
      </c>
      <c r="E14" s="63">
        <v>1.0055000000000001</v>
      </c>
      <c r="F14" s="31">
        <f>G14+H14+I14+J14+K14+L14+N14+P14+R14+T14+V14+W14+X14+Y14+Z14+AA14+AB14+AC14+AD14+AE14+AF14+AG14</f>
        <v>2123521.14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69">
        <v>0</v>
      </c>
      <c r="N14" s="31">
        <v>0</v>
      </c>
      <c r="O14" s="38">
        <v>521</v>
      </c>
      <c r="P14" s="38">
        <v>2110856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61">
        <f>ROUND(P14*0.6%,2)</f>
        <v>12665.14</v>
      </c>
      <c r="AF14" s="61">
        <v>0</v>
      </c>
      <c r="AG14" s="61">
        <v>0</v>
      </c>
      <c r="AH14" s="34" t="s">
        <v>268</v>
      </c>
      <c r="AI14" s="34">
        <v>2020</v>
      </c>
      <c r="AJ14" s="34">
        <v>2020</v>
      </c>
    </row>
    <row r="15" spans="1:36" s="20" customFormat="1" ht="61.5" x14ac:dyDescent="0.85">
      <c r="B15" s="265" t="s">
        <v>1044</v>
      </c>
      <c r="C15" s="24"/>
      <c r="D15" s="62" t="s">
        <v>890</v>
      </c>
      <c r="E15" s="63">
        <f>AVERAGE(E16:E23)</f>
        <v>1.0039750000000001</v>
      </c>
      <c r="F15" s="31">
        <f t="shared" ref="F15:AG15" si="3">SUM(F16:F23)</f>
        <v>14141903.43</v>
      </c>
      <c r="G15" s="31">
        <f t="shared" si="3"/>
        <v>0</v>
      </c>
      <c r="H15" s="31">
        <f t="shared" si="3"/>
        <v>0</v>
      </c>
      <c r="I15" s="31">
        <f t="shared" si="3"/>
        <v>0</v>
      </c>
      <c r="J15" s="31">
        <f t="shared" si="3"/>
        <v>0</v>
      </c>
      <c r="K15" s="31">
        <f t="shared" si="3"/>
        <v>0</v>
      </c>
      <c r="L15" s="31">
        <f t="shared" si="3"/>
        <v>0</v>
      </c>
      <c r="M15" s="69">
        <f t="shared" si="3"/>
        <v>0</v>
      </c>
      <c r="N15" s="31">
        <f t="shared" si="3"/>
        <v>0</v>
      </c>
      <c r="O15" s="31">
        <f t="shared" si="3"/>
        <v>2840</v>
      </c>
      <c r="P15" s="31">
        <f t="shared" si="3"/>
        <v>12813797.620000001</v>
      </c>
      <c r="Q15" s="31">
        <f t="shared" si="3"/>
        <v>0</v>
      </c>
      <c r="R15" s="31">
        <f t="shared" si="3"/>
        <v>0</v>
      </c>
      <c r="S15" s="31">
        <f t="shared" si="3"/>
        <v>419</v>
      </c>
      <c r="T15" s="31">
        <f t="shared" si="3"/>
        <v>981934.24</v>
      </c>
      <c r="U15" s="31">
        <f t="shared" si="3"/>
        <v>0</v>
      </c>
      <c r="V15" s="31">
        <f t="shared" si="3"/>
        <v>0</v>
      </c>
      <c r="W15" s="31">
        <f t="shared" si="3"/>
        <v>0</v>
      </c>
      <c r="X15" s="31">
        <f t="shared" si="3"/>
        <v>0</v>
      </c>
      <c r="Y15" s="31">
        <f t="shared" si="3"/>
        <v>0</v>
      </c>
      <c r="Z15" s="31">
        <f t="shared" si="3"/>
        <v>0</v>
      </c>
      <c r="AA15" s="31">
        <f t="shared" si="3"/>
        <v>0</v>
      </c>
      <c r="AB15" s="31">
        <f t="shared" si="3"/>
        <v>0</v>
      </c>
      <c r="AC15" s="31">
        <f t="shared" si="3"/>
        <v>0</v>
      </c>
      <c r="AD15" s="31">
        <f t="shared" si="3"/>
        <v>0</v>
      </c>
      <c r="AE15" s="31">
        <f t="shared" si="3"/>
        <v>190381.11000000002</v>
      </c>
      <c r="AF15" s="31">
        <f t="shared" si="3"/>
        <v>155790.46000000002</v>
      </c>
      <c r="AG15" s="31">
        <f t="shared" si="3"/>
        <v>0</v>
      </c>
      <c r="AH15" s="34" t="s">
        <v>890</v>
      </c>
      <c r="AI15" s="34" t="s">
        <v>890</v>
      </c>
      <c r="AJ15" s="34" t="s">
        <v>890</v>
      </c>
    </row>
    <row r="16" spans="1:36" s="20" customFormat="1" ht="61.5" x14ac:dyDescent="0.85">
      <c r="A16" s="20">
        <v>1</v>
      </c>
      <c r="B16" s="60">
        <f>SUBTOTAL(103,$A$14:A16)</f>
        <v>2</v>
      </c>
      <c r="C16" s="24" t="s">
        <v>1018</v>
      </c>
      <c r="D16" s="62" t="s">
        <v>1037</v>
      </c>
      <c r="E16" s="63">
        <v>1.0047999999999999</v>
      </c>
      <c r="F16" s="31">
        <f t="shared" ref="F16:F63" si="4">G16+H16+I16+J16+K16+L16+N16+P16+R16+T16+V16+W16+X16+Y16+Z16+AA16+AB16+AC16+AD16+AE16+AF16+AG16</f>
        <v>6213014.2000000002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69">
        <v>0</v>
      </c>
      <c r="N16" s="31">
        <v>0</v>
      </c>
      <c r="O16" s="31">
        <v>1441</v>
      </c>
      <c r="P16" s="266">
        <v>6128441.7000000002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267">
        <v>84572.5</v>
      </c>
      <c r="AF16" s="61">
        <v>0</v>
      </c>
      <c r="AG16" s="61">
        <v>0</v>
      </c>
      <c r="AH16" s="34" t="s">
        <v>268</v>
      </c>
      <c r="AI16" s="34">
        <v>2020</v>
      </c>
      <c r="AJ16" s="34">
        <v>2020</v>
      </c>
    </row>
    <row r="17" spans="1:36" s="20" customFormat="1" ht="61.5" x14ac:dyDescent="0.85">
      <c r="A17" s="20">
        <v>1</v>
      </c>
      <c r="B17" s="60">
        <f>SUBTOTAL(103,$A$14:A17)</f>
        <v>3</v>
      </c>
      <c r="C17" s="24" t="s">
        <v>1019</v>
      </c>
      <c r="D17" s="62" t="s">
        <v>1036</v>
      </c>
      <c r="E17" s="63">
        <v>1</v>
      </c>
      <c r="F17" s="31">
        <f t="shared" si="4"/>
        <v>801933.34000000008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69">
        <v>0</v>
      </c>
      <c r="N17" s="31">
        <v>0</v>
      </c>
      <c r="O17" s="38">
        <v>163</v>
      </c>
      <c r="P17" s="38">
        <v>791017.3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61">
        <f>ROUND(P17*1.38%,2)</f>
        <v>10916.04</v>
      </c>
      <c r="AF17" s="61">
        <v>0</v>
      </c>
      <c r="AG17" s="61">
        <v>0</v>
      </c>
      <c r="AH17" s="34" t="s">
        <v>268</v>
      </c>
      <c r="AI17" s="34">
        <v>2020</v>
      </c>
      <c r="AJ17" s="34">
        <v>2020</v>
      </c>
    </row>
    <row r="18" spans="1:36" s="20" customFormat="1" ht="61.5" x14ac:dyDescent="0.85">
      <c r="A18" s="20">
        <v>1</v>
      </c>
      <c r="B18" s="60">
        <f>SUBTOTAL(103,$A$14:A18)</f>
        <v>4</v>
      </c>
      <c r="C18" s="24" t="s">
        <v>1020</v>
      </c>
      <c r="D18" s="62" t="s">
        <v>1038</v>
      </c>
      <c r="E18" s="63">
        <v>1.0003</v>
      </c>
      <c r="F18" s="31">
        <f t="shared" si="4"/>
        <v>61989.62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69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61">
        <f>ROUND(P18*1.5%,2)</f>
        <v>0</v>
      </c>
      <c r="AF18" s="160">
        <v>61989.62</v>
      </c>
      <c r="AG18" s="61">
        <v>0</v>
      </c>
      <c r="AH18" s="34">
        <v>2020</v>
      </c>
      <c r="AI18" s="34" t="s">
        <v>268</v>
      </c>
      <c r="AJ18" s="34" t="s">
        <v>268</v>
      </c>
    </row>
    <row r="19" spans="1:36" s="20" customFormat="1" ht="61.5" x14ac:dyDescent="0.85">
      <c r="A19" s="20">
        <v>1</v>
      </c>
      <c r="B19" s="60">
        <f>SUBTOTAL(103,$A$14:A19)</f>
        <v>5</v>
      </c>
      <c r="C19" s="24" t="s">
        <v>1033</v>
      </c>
      <c r="D19" s="62" t="s">
        <v>1037</v>
      </c>
      <c r="E19" s="63">
        <v>1.0178</v>
      </c>
      <c r="F19" s="31">
        <f t="shared" si="4"/>
        <v>995484.92999999993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69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8">
        <v>419</v>
      </c>
      <c r="T19" s="38">
        <v>981934.24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8">
        <v>13550.69</v>
      </c>
      <c r="AF19" s="61">
        <v>0</v>
      </c>
      <c r="AG19" s="61">
        <v>0</v>
      </c>
      <c r="AH19" s="34" t="s">
        <v>268</v>
      </c>
      <c r="AI19" s="34">
        <v>2020</v>
      </c>
      <c r="AJ19" s="34">
        <v>2020</v>
      </c>
    </row>
    <row r="20" spans="1:36" s="20" customFormat="1" ht="61.5" x14ac:dyDescent="0.85">
      <c r="A20" s="20">
        <v>1</v>
      </c>
      <c r="B20" s="60">
        <f>SUBTOTAL(103,$A$14:A20)</f>
        <v>6</v>
      </c>
      <c r="C20" s="24" t="s">
        <v>1076</v>
      </c>
      <c r="D20" s="62" t="s">
        <v>1039</v>
      </c>
      <c r="E20" s="63">
        <v>1</v>
      </c>
      <c r="F20" s="31">
        <f t="shared" si="4"/>
        <v>4973435.79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69">
        <v>0</v>
      </c>
      <c r="N20" s="31">
        <v>0</v>
      </c>
      <c r="O20" s="266">
        <v>977</v>
      </c>
      <c r="P20" s="266">
        <v>4905736.62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8">
        <v>67699.17</v>
      </c>
      <c r="AF20" s="61">
        <v>0</v>
      </c>
      <c r="AG20" s="61">
        <v>0</v>
      </c>
      <c r="AH20" s="34" t="s">
        <v>268</v>
      </c>
      <c r="AI20" s="34">
        <v>2020</v>
      </c>
      <c r="AJ20" s="34">
        <v>2020</v>
      </c>
    </row>
    <row r="21" spans="1:36" s="20" customFormat="1" ht="61.5" x14ac:dyDescent="0.85">
      <c r="A21" s="20">
        <v>1</v>
      </c>
      <c r="B21" s="60">
        <f>SUBTOTAL(103,$A$14:A21)</f>
        <v>7</v>
      </c>
      <c r="C21" s="24" t="s">
        <v>1084</v>
      </c>
      <c r="D21" s="62" t="s">
        <v>1037</v>
      </c>
      <c r="E21" s="63">
        <v>1.0053000000000001</v>
      </c>
      <c r="F21" s="31">
        <f t="shared" si="4"/>
        <v>50283.37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69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61">
        <f>ROUND(P21*1.5%,2)</f>
        <v>0</v>
      </c>
      <c r="AF21" s="160">
        <v>50283.37</v>
      </c>
      <c r="AG21" s="61">
        <v>0</v>
      </c>
      <c r="AH21" s="34">
        <v>2020</v>
      </c>
      <c r="AI21" s="34" t="s">
        <v>268</v>
      </c>
      <c r="AJ21" s="34" t="s">
        <v>268</v>
      </c>
    </row>
    <row r="22" spans="1:36" s="20" customFormat="1" ht="61.5" x14ac:dyDescent="0.85">
      <c r="A22" s="20">
        <v>1</v>
      </c>
      <c r="B22" s="60">
        <f>SUBTOTAL(103,$A$14:A22)</f>
        <v>8</v>
      </c>
      <c r="C22" s="24" t="s">
        <v>1399</v>
      </c>
      <c r="D22" s="62" t="s">
        <v>1037</v>
      </c>
      <c r="E22" s="63">
        <v>1.0036</v>
      </c>
      <c r="F22" s="31">
        <f>G22+H22+I22+J22+K22+L22+N22+P22+R22+T22+V22+W22+X22+Y22+Z22+AA22+AB22+AC22+AD22+AE22+AF22+AG22</f>
        <v>43517.47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69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61">
        <f>ROUND(P22*1.5%,2)</f>
        <v>0</v>
      </c>
      <c r="AF22" s="160">
        <v>43517.47</v>
      </c>
      <c r="AG22" s="61">
        <v>0</v>
      </c>
      <c r="AH22" s="34">
        <v>2020</v>
      </c>
      <c r="AI22" s="34" t="s">
        <v>268</v>
      </c>
      <c r="AJ22" s="34" t="s">
        <v>268</v>
      </c>
    </row>
    <row r="23" spans="1:36" s="20" customFormat="1" ht="61.5" x14ac:dyDescent="0.85">
      <c r="A23" s="20">
        <v>1</v>
      </c>
      <c r="B23" s="60">
        <f>SUBTOTAL(103,$A$14:A23)</f>
        <v>9</v>
      </c>
      <c r="C23" s="24" t="s">
        <v>1718</v>
      </c>
      <c r="D23" s="62" t="s">
        <v>1038</v>
      </c>
      <c r="E23" s="63">
        <v>1</v>
      </c>
      <c r="F23" s="31">
        <f t="shared" si="4"/>
        <v>1002244.71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69">
        <v>0</v>
      </c>
      <c r="N23" s="31">
        <v>0</v>
      </c>
      <c r="O23" s="31">
        <v>259</v>
      </c>
      <c r="P23" s="31">
        <v>988602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61">
        <f>ROUND(P23*1.38%,2)</f>
        <v>13642.71</v>
      </c>
      <c r="AF23" s="102">
        <v>0</v>
      </c>
      <c r="AG23" s="61">
        <v>0</v>
      </c>
      <c r="AH23" s="34" t="s">
        <v>268</v>
      </c>
      <c r="AI23" s="34">
        <v>2020</v>
      </c>
      <c r="AJ23" s="34">
        <v>2020</v>
      </c>
    </row>
    <row r="24" spans="1:36" s="20" customFormat="1" ht="61.5" x14ac:dyDescent="0.85">
      <c r="B24" s="265" t="s">
        <v>819</v>
      </c>
      <c r="C24" s="24"/>
      <c r="D24" s="62" t="s">
        <v>890</v>
      </c>
      <c r="E24" s="63">
        <f>AVERAGE(E25)</f>
        <v>1.0267999999999999</v>
      </c>
      <c r="F24" s="31">
        <f>F25</f>
        <v>2046844.64</v>
      </c>
      <c r="G24" s="31">
        <f t="shared" ref="G24:AG24" si="5">G25</f>
        <v>0</v>
      </c>
      <c r="H24" s="31">
        <f t="shared" si="5"/>
        <v>0</v>
      </c>
      <c r="I24" s="31">
        <f t="shared" si="5"/>
        <v>0</v>
      </c>
      <c r="J24" s="31">
        <f t="shared" si="5"/>
        <v>0</v>
      </c>
      <c r="K24" s="31">
        <f t="shared" si="5"/>
        <v>0</v>
      </c>
      <c r="L24" s="31">
        <f t="shared" si="5"/>
        <v>0</v>
      </c>
      <c r="M24" s="69">
        <f t="shared" si="5"/>
        <v>0</v>
      </c>
      <c r="N24" s="31">
        <f t="shared" si="5"/>
        <v>0</v>
      </c>
      <c r="O24" s="31">
        <f t="shared" si="5"/>
        <v>386.8</v>
      </c>
      <c r="P24" s="31">
        <f t="shared" si="5"/>
        <v>1947102</v>
      </c>
      <c r="Q24" s="31">
        <f t="shared" si="5"/>
        <v>0</v>
      </c>
      <c r="R24" s="31">
        <f t="shared" si="5"/>
        <v>0</v>
      </c>
      <c r="S24" s="31">
        <f t="shared" si="5"/>
        <v>0</v>
      </c>
      <c r="T24" s="31">
        <f t="shared" si="5"/>
        <v>0</v>
      </c>
      <c r="U24" s="31">
        <f t="shared" si="5"/>
        <v>0</v>
      </c>
      <c r="V24" s="31">
        <f t="shared" si="5"/>
        <v>0</v>
      </c>
      <c r="W24" s="31">
        <f t="shared" si="5"/>
        <v>0</v>
      </c>
      <c r="X24" s="31">
        <f t="shared" si="5"/>
        <v>0</v>
      </c>
      <c r="Y24" s="31">
        <f t="shared" si="5"/>
        <v>0</v>
      </c>
      <c r="Z24" s="31">
        <f t="shared" si="5"/>
        <v>0</v>
      </c>
      <c r="AA24" s="31">
        <f t="shared" si="5"/>
        <v>0</v>
      </c>
      <c r="AB24" s="31">
        <f t="shared" si="5"/>
        <v>0</v>
      </c>
      <c r="AC24" s="31">
        <f t="shared" si="5"/>
        <v>0</v>
      </c>
      <c r="AD24" s="31">
        <f t="shared" si="5"/>
        <v>0</v>
      </c>
      <c r="AE24" s="61">
        <f t="shared" si="5"/>
        <v>19714.41</v>
      </c>
      <c r="AF24" s="61">
        <f t="shared" si="5"/>
        <v>80028.23</v>
      </c>
      <c r="AG24" s="31">
        <f t="shared" si="5"/>
        <v>0</v>
      </c>
      <c r="AH24" s="34" t="s">
        <v>890</v>
      </c>
      <c r="AI24" s="34" t="s">
        <v>890</v>
      </c>
      <c r="AJ24" s="34" t="s">
        <v>890</v>
      </c>
    </row>
    <row r="25" spans="1:36" s="20" customFormat="1" ht="61.5" x14ac:dyDescent="0.85">
      <c r="A25" s="20">
        <v>1</v>
      </c>
      <c r="B25" s="60">
        <f>SUBTOTAL(103,$A$14:A25)</f>
        <v>10</v>
      </c>
      <c r="C25" s="24" t="s">
        <v>676</v>
      </c>
      <c r="D25" s="62" t="s">
        <v>1039</v>
      </c>
      <c r="E25" s="63">
        <v>1.0267999999999999</v>
      </c>
      <c r="F25" s="31">
        <f t="shared" si="4"/>
        <v>2046844.64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69">
        <v>0</v>
      </c>
      <c r="N25" s="31">
        <v>0</v>
      </c>
      <c r="O25" s="38">
        <v>386.8</v>
      </c>
      <c r="P25" s="38">
        <v>1947102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61">
        <f>ROUND(P25*1.0125%,2)</f>
        <v>19714.41</v>
      </c>
      <c r="AF25" s="160">
        <v>80028.23</v>
      </c>
      <c r="AG25" s="31">
        <v>0</v>
      </c>
      <c r="AH25" s="34">
        <v>2020</v>
      </c>
      <c r="AI25" s="34">
        <v>2020</v>
      </c>
      <c r="AJ25" s="34">
        <v>2020</v>
      </c>
    </row>
    <row r="26" spans="1:36" s="20" customFormat="1" ht="61.5" x14ac:dyDescent="0.85">
      <c r="B26" s="265" t="s">
        <v>823</v>
      </c>
      <c r="C26" s="24"/>
      <c r="D26" s="62" t="s">
        <v>890</v>
      </c>
      <c r="E26" s="63">
        <f>AVERAGE(E27)</f>
        <v>1</v>
      </c>
      <c r="F26" s="31">
        <f>F27</f>
        <v>5153989.53</v>
      </c>
      <c r="G26" s="31">
        <f t="shared" ref="G26:AG26" si="6">G27</f>
        <v>0</v>
      </c>
      <c r="H26" s="31">
        <f t="shared" si="6"/>
        <v>0</v>
      </c>
      <c r="I26" s="31">
        <f t="shared" si="6"/>
        <v>0</v>
      </c>
      <c r="J26" s="31">
        <f t="shared" si="6"/>
        <v>0</v>
      </c>
      <c r="K26" s="31">
        <f t="shared" si="6"/>
        <v>0</v>
      </c>
      <c r="L26" s="31">
        <f t="shared" si="6"/>
        <v>0</v>
      </c>
      <c r="M26" s="69">
        <f t="shared" si="6"/>
        <v>0</v>
      </c>
      <c r="N26" s="31">
        <f t="shared" si="6"/>
        <v>0</v>
      </c>
      <c r="O26" s="31">
        <f t="shared" si="6"/>
        <v>1080.5999999999999</v>
      </c>
      <c r="P26" s="31">
        <f t="shared" si="6"/>
        <v>5102328.45</v>
      </c>
      <c r="Q26" s="31">
        <f t="shared" si="6"/>
        <v>0</v>
      </c>
      <c r="R26" s="31">
        <f t="shared" si="6"/>
        <v>0</v>
      </c>
      <c r="S26" s="31">
        <f t="shared" si="6"/>
        <v>0</v>
      </c>
      <c r="T26" s="31">
        <f t="shared" si="6"/>
        <v>0</v>
      </c>
      <c r="U26" s="31">
        <f t="shared" si="6"/>
        <v>0</v>
      </c>
      <c r="V26" s="31">
        <f t="shared" si="6"/>
        <v>0</v>
      </c>
      <c r="W26" s="31">
        <f t="shared" si="6"/>
        <v>0</v>
      </c>
      <c r="X26" s="31">
        <f t="shared" si="6"/>
        <v>0</v>
      </c>
      <c r="Y26" s="31">
        <f t="shared" si="6"/>
        <v>0</v>
      </c>
      <c r="Z26" s="31">
        <f t="shared" si="6"/>
        <v>0</v>
      </c>
      <c r="AA26" s="31">
        <f t="shared" si="6"/>
        <v>0</v>
      </c>
      <c r="AB26" s="31">
        <f t="shared" si="6"/>
        <v>0</v>
      </c>
      <c r="AC26" s="31">
        <f t="shared" si="6"/>
        <v>0</v>
      </c>
      <c r="AD26" s="31">
        <f t="shared" si="6"/>
        <v>0</v>
      </c>
      <c r="AE26" s="61">
        <f t="shared" si="6"/>
        <v>51661.08</v>
      </c>
      <c r="AF26" s="61">
        <f t="shared" si="6"/>
        <v>0</v>
      </c>
      <c r="AG26" s="31">
        <f t="shared" si="6"/>
        <v>0</v>
      </c>
      <c r="AH26" s="34" t="s">
        <v>890</v>
      </c>
      <c r="AI26" s="34" t="s">
        <v>890</v>
      </c>
      <c r="AJ26" s="34" t="s">
        <v>890</v>
      </c>
    </row>
    <row r="27" spans="1:36" s="20" customFormat="1" ht="61.5" x14ac:dyDescent="0.85">
      <c r="A27" s="20">
        <v>1</v>
      </c>
      <c r="B27" s="60">
        <f>SUBTOTAL(103,$A$14:A27)</f>
        <v>11</v>
      </c>
      <c r="C27" s="24" t="s">
        <v>1067</v>
      </c>
      <c r="D27" s="62" t="s">
        <v>1040</v>
      </c>
      <c r="E27" s="63">
        <v>1</v>
      </c>
      <c r="F27" s="31">
        <f t="shared" si="4"/>
        <v>5153989.53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69">
        <v>0</v>
      </c>
      <c r="N27" s="31">
        <v>0</v>
      </c>
      <c r="O27" s="38">
        <v>1080.5999999999999</v>
      </c>
      <c r="P27" s="38">
        <v>5102328.45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8">
        <v>51661.08</v>
      </c>
      <c r="AF27" s="61">
        <v>0</v>
      </c>
      <c r="AG27" s="31">
        <v>0</v>
      </c>
      <c r="AH27" s="34" t="s">
        <v>268</v>
      </c>
      <c r="AI27" s="34">
        <v>2020</v>
      </c>
      <c r="AJ27" s="34">
        <v>2020</v>
      </c>
    </row>
    <row r="28" spans="1:36" s="20" customFormat="1" ht="61.5" x14ac:dyDescent="0.85">
      <c r="B28" s="265" t="s">
        <v>824</v>
      </c>
      <c r="C28" s="24"/>
      <c r="D28" s="62" t="s">
        <v>890</v>
      </c>
      <c r="E28" s="63">
        <f>AVERAGE(E29)</f>
        <v>1.0308999999999999</v>
      </c>
      <c r="F28" s="31">
        <f>F29</f>
        <v>48440.03</v>
      </c>
      <c r="G28" s="31">
        <f t="shared" ref="G28:AG28" si="7">G29</f>
        <v>0</v>
      </c>
      <c r="H28" s="31">
        <f t="shared" si="7"/>
        <v>0</v>
      </c>
      <c r="I28" s="31">
        <f t="shared" si="7"/>
        <v>0</v>
      </c>
      <c r="J28" s="31">
        <f t="shared" si="7"/>
        <v>0</v>
      </c>
      <c r="K28" s="31">
        <f t="shared" si="7"/>
        <v>0</v>
      </c>
      <c r="L28" s="31">
        <f t="shared" si="7"/>
        <v>0</v>
      </c>
      <c r="M28" s="69">
        <f t="shared" si="7"/>
        <v>0</v>
      </c>
      <c r="N28" s="31">
        <f t="shared" si="7"/>
        <v>0</v>
      </c>
      <c r="O28" s="31">
        <f t="shared" si="7"/>
        <v>0</v>
      </c>
      <c r="P28" s="31">
        <f t="shared" si="7"/>
        <v>0</v>
      </c>
      <c r="Q28" s="31">
        <f t="shared" si="7"/>
        <v>0</v>
      </c>
      <c r="R28" s="31">
        <f t="shared" si="7"/>
        <v>0</v>
      </c>
      <c r="S28" s="31">
        <f t="shared" si="7"/>
        <v>0</v>
      </c>
      <c r="T28" s="31">
        <f t="shared" si="7"/>
        <v>0</v>
      </c>
      <c r="U28" s="31">
        <f t="shared" si="7"/>
        <v>0</v>
      </c>
      <c r="V28" s="31">
        <f t="shared" si="7"/>
        <v>0</v>
      </c>
      <c r="W28" s="31">
        <f t="shared" si="7"/>
        <v>0</v>
      </c>
      <c r="X28" s="31">
        <f t="shared" si="7"/>
        <v>0</v>
      </c>
      <c r="Y28" s="31">
        <f t="shared" si="7"/>
        <v>0</v>
      </c>
      <c r="Z28" s="31">
        <f t="shared" si="7"/>
        <v>0</v>
      </c>
      <c r="AA28" s="31">
        <f t="shared" si="7"/>
        <v>0</v>
      </c>
      <c r="AB28" s="31">
        <f t="shared" si="7"/>
        <v>0</v>
      </c>
      <c r="AC28" s="31">
        <f t="shared" si="7"/>
        <v>0</v>
      </c>
      <c r="AD28" s="31">
        <f t="shared" si="7"/>
        <v>0</v>
      </c>
      <c r="AE28" s="61">
        <f t="shared" si="7"/>
        <v>0</v>
      </c>
      <c r="AF28" s="61">
        <f t="shared" si="7"/>
        <v>48440.03</v>
      </c>
      <c r="AG28" s="31">
        <f t="shared" si="7"/>
        <v>0</v>
      </c>
      <c r="AH28" s="34" t="s">
        <v>890</v>
      </c>
      <c r="AI28" s="34" t="s">
        <v>890</v>
      </c>
      <c r="AJ28" s="34" t="s">
        <v>890</v>
      </c>
    </row>
    <row r="29" spans="1:36" s="20" customFormat="1" ht="61.5" x14ac:dyDescent="0.85">
      <c r="A29" s="20">
        <v>1</v>
      </c>
      <c r="B29" s="60">
        <f>SUBTOTAL(103,$A$14:A29)</f>
        <v>12</v>
      </c>
      <c r="C29" s="24" t="s">
        <v>1021</v>
      </c>
      <c r="D29" s="62" t="s">
        <v>1036</v>
      </c>
      <c r="E29" s="63">
        <v>1.0308999999999999</v>
      </c>
      <c r="F29" s="31">
        <f t="shared" si="4"/>
        <v>48440.03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69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61">
        <f>ROUND(P29*1.5%,2)</f>
        <v>0</v>
      </c>
      <c r="AF29" s="160">
        <v>48440.03</v>
      </c>
      <c r="AG29" s="31">
        <v>0</v>
      </c>
      <c r="AH29" s="34">
        <v>2020</v>
      </c>
      <c r="AI29" s="34" t="s">
        <v>268</v>
      </c>
      <c r="AJ29" s="34" t="s">
        <v>268</v>
      </c>
    </row>
    <row r="30" spans="1:36" s="20" customFormat="1" ht="61.5" x14ac:dyDescent="0.85">
      <c r="B30" s="265" t="s">
        <v>1045</v>
      </c>
      <c r="C30" s="24"/>
      <c r="D30" s="62" t="s">
        <v>890</v>
      </c>
      <c r="E30" s="63">
        <f>AVERAGE(E31:E32)</f>
        <v>1.0206</v>
      </c>
      <c r="F30" s="31">
        <f t="shared" ref="F30:AG30" si="8">SUM(F31:F32)</f>
        <v>31767</v>
      </c>
      <c r="G30" s="31">
        <f t="shared" si="8"/>
        <v>0</v>
      </c>
      <c r="H30" s="31">
        <f t="shared" si="8"/>
        <v>0</v>
      </c>
      <c r="I30" s="31">
        <f t="shared" si="8"/>
        <v>0</v>
      </c>
      <c r="J30" s="31">
        <f t="shared" si="8"/>
        <v>0</v>
      </c>
      <c r="K30" s="31">
        <f t="shared" si="8"/>
        <v>0</v>
      </c>
      <c r="L30" s="31">
        <f t="shared" si="8"/>
        <v>0</v>
      </c>
      <c r="M30" s="69">
        <f t="shared" si="8"/>
        <v>0</v>
      </c>
      <c r="N30" s="31">
        <f t="shared" si="8"/>
        <v>0</v>
      </c>
      <c r="O30" s="31">
        <f t="shared" si="8"/>
        <v>0</v>
      </c>
      <c r="P30" s="31">
        <f t="shared" si="8"/>
        <v>0</v>
      </c>
      <c r="Q30" s="31">
        <f t="shared" si="8"/>
        <v>0</v>
      </c>
      <c r="R30" s="31">
        <f t="shared" si="8"/>
        <v>0</v>
      </c>
      <c r="S30" s="31">
        <f t="shared" si="8"/>
        <v>0</v>
      </c>
      <c r="T30" s="31">
        <f t="shared" si="8"/>
        <v>0</v>
      </c>
      <c r="U30" s="31">
        <f t="shared" si="8"/>
        <v>0</v>
      </c>
      <c r="V30" s="31">
        <f t="shared" si="8"/>
        <v>0</v>
      </c>
      <c r="W30" s="31">
        <f t="shared" si="8"/>
        <v>0</v>
      </c>
      <c r="X30" s="31">
        <f t="shared" si="8"/>
        <v>0</v>
      </c>
      <c r="Y30" s="31">
        <f t="shared" si="8"/>
        <v>0</v>
      </c>
      <c r="Z30" s="31">
        <f t="shared" si="8"/>
        <v>0</v>
      </c>
      <c r="AA30" s="31">
        <f t="shared" si="8"/>
        <v>0</v>
      </c>
      <c r="AB30" s="31">
        <f t="shared" si="8"/>
        <v>0</v>
      </c>
      <c r="AC30" s="31">
        <f t="shared" si="8"/>
        <v>0</v>
      </c>
      <c r="AD30" s="31">
        <f t="shared" si="8"/>
        <v>0</v>
      </c>
      <c r="AE30" s="61">
        <f t="shared" si="8"/>
        <v>0</v>
      </c>
      <c r="AF30" s="61">
        <f t="shared" si="8"/>
        <v>31767</v>
      </c>
      <c r="AG30" s="31">
        <f t="shared" si="8"/>
        <v>0</v>
      </c>
      <c r="AH30" s="34" t="s">
        <v>890</v>
      </c>
      <c r="AI30" s="34" t="s">
        <v>890</v>
      </c>
      <c r="AJ30" s="34" t="s">
        <v>890</v>
      </c>
    </row>
    <row r="31" spans="1:36" s="20" customFormat="1" ht="61.5" x14ac:dyDescent="0.85">
      <c r="A31" s="20">
        <v>1</v>
      </c>
      <c r="B31" s="60">
        <f>SUBTOTAL(103,$A$14:A31)</f>
        <v>13</v>
      </c>
      <c r="C31" s="24" t="s">
        <v>1022</v>
      </c>
      <c r="D31" s="62" t="s">
        <v>1039</v>
      </c>
      <c r="E31" s="63">
        <v>1.0385</v>
      </c>
      <c r="F31" s="31">
        <f t="shared" si="4"/>
        <v>13099.1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69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61">
        <f>ROUND(P31*1.5%,2)</f>
        <v>0</v>
      </c>
      <c r="AF31" s="160">
        <v>13099.1</v>
      </c>
      <c r="AG31" s="31">
        <v>0</v>
      </c>
      <c r="AH31" s="34">
        <v>2020</v>
      </c>
      <c r="AI31" s="34" t="s">
        <v>268</v>
      </c>
      <c r="AJ31" s="34" t="s">
        <v>268</v>
      </c>
    </row>
    <row r="32" spans="1:36" s="20" customFormat="1" ht="61.5" x14ac:dyDescent="0.85">
      <c r="A32" s="20">
        <v>1</v>
      </c>
      <c r="B32" s="60">
        <f>SUBTOTAL(103,$A$14:A32)</f>
        <v>14</v>
      </c>
      <c r="C32" s="24" t="s">
        <v>1023</v>
      </c>
      <c r="D32" s="62" t="s">
        <v>1039</v>
      </c>
      <c r="E32" s="63">
        <v>1.0026999999999999</v>
      </c>
      <c r="F32" s="31">
        <f t="shared" si="4"/>
        <v>18667.900000000001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69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61">
        <f>ROUND(T32*1.5%,2)</f>
        <v>0</v>
      </c>
      <c r="AF32" s="160">
        <v>18667.900000000001</v>
      </c>
      <c r="AG32" s="31">
        <v>0</v>
      </c>
      <c r="AH32" s="34">
        <v>2020</v>
      </c>
      <c r="AI32" s="34" t="s">
        <v>268</v>
      </c>
      <c r="AJ32" s="34" t="s">
        <v>268</v>
      </c>
    </row>
    <row r="33" spans="1:36" s="20" customFormat="1" ht="61.5" x14ac:dyDescent="0.85">
      <c r="B33" s="265" t="s">
        <v>831</v>
      </c>
      <c r="C33" s="24"/>
      <c r="D33" s="62" t="s">
        <v>890</v>
      </c>
      <c r="E33" s="63">
        <f>AVERAGE(E34:E35)</f>
        <v>1</v>
      </c>
      <c r="F33" s="31">
        <f>SUM(F34:F35)</f>
        <v>3557815.66</v>
      </c>
      <c r="G33" s="31">
        <f t="shared" ref="G33:AG33" si="9">SUM(G34:G35)</f>
        <v>0</v>
      </c>
      <c r="H33" s="31">
        <f t="shared" si="9"/>
        <v>0</v>
      </c>
      <c r="I33" s="31">
        <f t="shared" si="9"/>
        <v>0</v>
      </c>
      <c r="J33" s="31">
        <f t="shared" si="9"/>
        <v>0</v>
      </c>
      <c r="K33" s="31">
        <f t="shared" si="9"/>
        <v>0</v>
      </c>
      <c r="L33" s="31">
        <f t="shared" si="9"/>
        <v>0</v>
      </c>
      <c r="M33" s="69">
        <f t="shared" si="9"/>
        <v>0</v>
      </c>
      <c r="N33" s="31">
        <f t="shared" si="9"/>
        <v>0</v>
      </c>
      <c r="O33" s="31">
        <f t="shared" si="9"/>
        <v>828.5</v>
      </c>
      <c r="P33" s="31">
        <f t="shared" si="9"/>
        <v>3438664.78</v>
      </c>
      <c r="Q33" s="31">
        <f t="shared" si="9"/>
        <v>0</v>
      </c>
      <c r="R33" s="31">
        <f t="shared" si="9"/>
        <v>0</v>
      </c>
      <c r="S33" s="31">
        <f t="shared" si="9"/>
        <v>0</v>
      </c>
      <c r="T33" s="31">
        <f t="shared" si="9"/>
        <v>0</v>
      </c>
      <c r="U33" s="31">
        <f t="shared" si="9"/>
        <v>0</v>
      </c>
      <c r="V33" s="31">
        <f t="shared" si="9"/>
        <v>0</v>
      </c>
      <c r="W33" s="31">
        <f t="shared" si="9"/>
        <v>0</v>
      </c>
      <c r="X33" s="31">
        <f t="shared" si="9"/>
        <v>0</v>
      </c>
      <c r="Y33" s="31">
        <f t="shared" si="9"/>
        <v>0</v>
      </c>
      <c r="Z33" s="31">
        <f t="shared" si="9"/>
        <v>0</v>
      </c>
      <c r="AA33" s="31">
        <f t="shared" si="9"/>
        <v>0</v>
      </c>
      <c r="AB33" s="31">
        <f t="shared" si="9"/>
        <v>0</v>
      </c>
      <c r="AC33" s="31">
        <f t="shared" si="9"/>
        <v>0</v>
      </c>
      <c r="AD33" s="31">
        <f t="shared" si="9"/>
        <v>0</v>
      </c>
      <c r="AE33" s="61">
        <f t="shared" si="9"/>
        <v>20632</v>
      </c>
      <c r="AF33" s="61">
        <f t="shared" si="9"/>
        <v>98518.88</v>
      </c>
      <c r="AG33" s="31">
        <f t="shared" si="9"/>
        <v>0</v>
      </c>
      <c r="AH33" s="34" t="s">
        <v>890</v>
      </c>
      <c r="AI33" s="34" t="s">
        <v>890</v>
      </c>
      <c r="AJ33" s="34" t="s">
        <v>890</v>
      </c>
    </row>
    <row r="34" spans="1:36" s="20" customFormat="1" ht="61.5" x14ac:dyDescent="0.85">
      <c r="A34" s="20">
        <v>1</v>
      </c>
      <c r="B34" s="60">
        <f>SUBTOTAL(103,$A$14:A34)</f>
        <v>15</v>
      </c>
      <c r="C34" s="24" t="s">
        <v>1043</v>
      </c>
      <c r="D34" s="62" t="s">
        <v>1037</v>
      </c>
      <c r="E34" s="63">
        <v>1</v>
      </c>
      <c r="F34" s="31">
        <f t="shared" si="4"/>
        <v>2576429.98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69">
        <v>0</v>
      </c>
      <c r="N34" s="31">
        <v>0</v>
      </c>
      <c r="O34" s="38">
        <v>604.54</v>
      </c>
      <c r="P34" s="38">
        <v>2510284.38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61">
        <f>ROUND(P34*0.6%,2)</f>
        <v>15061.71</v>
      </c>
      <c r="AF34" s="102">
        <v>51083.89</v>
      </c>
      <c r="AG34" s="31">
        <v>0</v>
      </c>
      <c r="AH34" s="34">
        <v>2020</v>
      </c>
      <c r="AI34" s="34">
        <v>2020</v>
      </c>
      <c r="AJ34" s="34">
        <v>2020</v>
      </c>
    </row>
    <row r="35" spans="1:36" s="20" customFormat="1" ht="61.5" x14ac:dyDescent="0.85">
      <c r="A35" s="20">
        <v>1</v>
      </c>
      <c r="B35" s="60">
        <f>SUBTOTAL(103,$A$14:A35)</f>
        <v>16</v>
      </c>
      <c r="C35" s="24" t="s">
        <v>1024</v>
      </c>
      <c r="D35" s="62" t="s">
        <v>1037</v>
      </c>
      <c r="E35" s="63">
        <v>1</v>
      </c>
      <c r="F35" s="31">
        <f t="shared" si="4"/>
        <v>981385.68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69">
        <v>0</v>
      </c>
      <c r="N35" s="31">
        <v>0</v>
      </c>
      <c r="O35" s="38">
        <v>223.96</v>
      </c>
      <c r="P35" s="38">
        <v>928380.4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8">
        <v>5570.29</v>
      </c>
      <c r="AF35" s="102">
        <v>47434.99</v>
      </c>
      <c r="AG35" s="31">
        <v>0</v>
      </c>
      <c r="AH35" s="34">
        <v>2020</v>
      </c>
      <c r="AI35" s="34">
        <v>2020</v>
      </c>
      <c r="AJ35" s="34">
        <v>2020</v>
      </c>
    </row>
    <row r="36" spans="1:36" s="20" customFormat="1" ht="61.5" x14ac:dyDescent="0.85">
      <c r="B36" s="265" t="s">
        <v>760</v>
      </c>
      <c r="C36" s="24"/>
      <c r="D36" s="62" t="s">
        <v>890</v>
      </c>
      <c r="E36" s="63">
        <f>AVERAGE(E37:E41)</f>
        <v>1.0075000000000001</v>
      </c>
      <c r="F36" s="31">
        <f>SUM(F37:F39)</f>
        <v>223917.22</v>
      </c>
      <c r="G36" s="31">
        <f t="shared" ref="G36:AG36" si="10">SUM(G37:G39)</f>
        <v>0</v>
      </c>
      <c r="H36" s="31">
        <f t="shared" si="10"/>
        <v>0</v>
      </c>
      <c r="I36" s="31">
        <f t="shared" si="10"/>
        <v>0</v>
      </c>
      <c r="J36" s="31">
        <f t="shared" si="10"/>
        <v>0</v>
      </c>
      <c r="K36" s="31">
        <f t="shared" si="10"/>
        <v>0</v>
      </c>
      <c r="L36" s="31">
        <f t="shared" si="10"/>
        <v>0</v>
      </c>
      <c r="M36" s="69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  <c r="Y36" s="31">
        <f t="shared" si="10"/>
        <v>0</v>
      </c>
      <c r="Z36" s="31">
        <f t="shared" si="10"/>
        <v>0</v>
      </c>
      <c r="AA36" s="31">
        <f t="shared" si="10"/>
        <v>0</v>
      </c>
      <c r="AB36" s="31">
        <f t="shared" si="10"/>
        <v>0</v>
      </c>
      <c r="AC36" s="31">
        <f t="shared" si="10"/>
        <v>0</v>
      </c>
      <c r="AD36" s="31">
        <f t="shared" si="10"/>
        <v>0</v>
      </c>
      <c r="AE36" s="61">
        <f t="shared" si="10"/>
        <v>0</v>
      </c>
      <c r="AF36" s="61">
        <f t="shared" si="10"/>
        <v>223917.22</v>
      </c>
      <c r="AG36" s="31">
        <f t="shared" si="10"/>
        <v>0</v>
      </c>
      <c r="AH36" s="34" t="s">
        <v>890</v>
      </c>
      <c r="AI36" s="34" t="s">
        <v>890</v>
      </c>
      <c r="AJ36" s="34" t="s">
        <v>890</v>
      </c>
    </row>
    <row r="37" spans="1:36" s="20" customFormat="1" ht="61.5" x14ac:dyDescent="0.85">
      <c r="A37" s="20">
        <v>1</v>
      </c>
      <c r="B37" s="60">
        <f>SUBTOTAL(103,$A$14:A37)</f>
        <v>17</v>
      </c>
      <c r="C37" s="24" t="s">
        <v>1025</v>
      </c>
      <c r="D37" s="62" t="s">
        <v>1038</v>
      </c>
      <c r="E37" s="63">
        <v>1.0043</v>
      </c>
      <c r="F37" s="31">
        <f t="shared" si="4"/>
        <v>47271.85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69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61">
        <f>ROUND(P37*1.5%,2)</f>
        <v>0</v>
      </c>
      <c r="AF37" s="38">
        <v>47271.85</v>
      </c>
      <c r="AG37" s="31">
        <v>0</v>
      </c>
      <c r="AH37" s="34">
        <v>2020</v>
      </c>
      <c r="AI37" s="34" t="s">
        <v>268</v>
      </c>
      <c r="AJ37" s="34" t="s">
        <v>268</v>
      </c>
    </row>
    <row r="38" spans="1:36" s="20" customFormat="1" ht="61.5" x14ac:dyDescent="0.85">
      <c r="A38" s="20">
        <v>1</v>
      </c>
      <c r="B38" s="60">
        <f>SUBTOTAL(103,$A$14:A38)</f>
        <v>18</v>
      </c>
      <c r="C38" s="24" t="s">
        <v>784</v>
      </c>
      <c r="D38" s="62" t="s">
        <v>1038</v>
      </c>
      <c r="E38" s="63">
        <v>1.0185999999999999</v>
      </c>
      <c r="F38" s="31">
        <f t="shared" si="4"/>
        <v>99352.46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69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61">
        <f>ROUND(P38*1.5%,2)</f>
        <v>0</v>
      </c>
      <c r="AF38" s="38">
        <v>99352.46</v>
      </c>
      <c r="AG38" s="31">
        <v>0</v>
      </c>
      <c r="AH38" s="34">
        <v>2020</v>
      </c>
      <c r="AI38" s="34" t="s">
        <v>268</v>
      </c>
      <c r="AJ38" s="34" t="s">
        <v>268</v>
      </c>
    </row>
    <row r="39" spans="1:36" s="20" customFormat="1" ht="61.5" x14ac:dyDescent="0.85">
      <c r="A39" s="20">
        <v>1</v>
      </c>
      <c r="B39" s="60">
        <f>SUBTOTAL(103,$A$14:A39)</f>
        <v>19</v>
      </c>
      <c r="C39" s="24" t="s">
        <v>776</v>
      </c>
      <c r="D39" s="62" t="s">
        <v>1038</v>
      </c>
      <c r="E39" s="63">
        <v>1.0064</v>
      </c>
      <c r="F39" s="31">
        <f t="shared" si="4"/>
        <v>77292.91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69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61">
        <f>ROUND(P39*1.5%,2)</f>
        <v>0</v>
      </c>
      <c r="AF39" s="38">
        <v>77292.91</v>
      </c>
      <c r="AG39" s="31">
        <v>0</v>
      </c>
      <c r="AH39" s="34">
        <v>2020</v>
      </c>
      <c r="AI39" s="34" t="s">
        <v>268</v>
      </c>
      <c r="AJ39" s="34" t="s">
        <v>268</v>
      </c>
    </row>
    <row r="40" spans="1:36" s="20" customFormat="1" ht="61.5" x14ac:dyDescent="0.85">
      <c r="B40" s="265" t="s">
        <v>838</v>
      </c>
      <c r="C40" s="24"/>
      <c r="D40" s="62" t="s">
        <v>890</v>
      </c>
      <c r="E40" s="63">
        <f>AVERAGE(E41)</f>
        <v>1.0041</v>
      </c>
      <c r="F40" s="31">
        <f>F41</f>
        <v>3265341.36</v>
      </c>
      <c r="G40" s="31">
        <f t="shared" ref="G40:AG40" si="11">G41</f>
        <v>0</v>
      </c>
      <c r="H40" s="31">
        <f t="shared" si="11"/>
        <v>0</v>
      </c>
      <c r="I40" s="31">
        <f t="shared" si="11"/>
        <v>0</v>
      </c>
      <c r="J40" s="31">
        <f t="shared" si="11"/>
        <v>0</v>
      </c>
      <c r="K40" s="31">
        <f t="shared" si="11"/>
        <v>0</v>
      </c>
      <c r="L40" s="31">
        <f t="shared" si="11"/>
        <v>0</v>
      </c>
      <c r="M40" s="69">
        <f t="shared" si="11"/>
        <v>0</v>
      </c>
      <c r="N40" s="31">
        <f t="shared" si="11"/>
        <v>0</v>
      </c>
      <c r="O40" s="31">
        <f t="shared" si="11"/>
        <v>695</v>
      </c>
      <c r="P40" s="31">
        <f t="shared" si="11"/>
        <v>3166427.79</v>
      </c>
      <c r="Q40" s="31">
        <f t="shared" si="11"/>
        <v>0</v>
      </c>
      <c r="R40" s="31">
        <f t="shared" si="11"/>
        <v>0</v>
      </c>
      <c r="S40" s="31">
        <f t="shared" si="11"/>
        <v>0</v>
      </c>
      <c r="T40" s="31">
        <f t="shared" si="11"/>
        <v>0</v>
      </c>
      <c r="U40" s="31">
        <f t="shared" si="11"/>
        <v>0</v>
      </c>
      <c r="V40" s="31">
        <f t="shared" si="11"/>
        <v>0</v>
      </c>
      <c r="W40" s="31">
        <f t="shared" si="11"/>
        <v>0</v>
      </c>
      <c r="X40" s="31">
        <f t="shared" si="11"/>
        <v>0</v>
      </c>
      <c r="Y40" s="31">
        <f t="shared" si="11"/>
        <v>0</v>
      </c>
      <c r="Z40" s="31">
        <f t="shared" si="11"/>
        <v>0</v>
      </c>
      <c r="AA40" s="31">
        <f t="shared" si="11"/>
        <v>0</v>
      </c>
      <c r="AB40" s="31">
        <f t="shared" si="11"/>
        <v>0</v>
      </c>
      <c r="AC40" s="31">
        <f t="shared" si="11"/>
        <v>0</v>
      </c>
      <c r="AD40" s="31">
        <f t="shared" si="11"/>
        <v>0</v>
      </c>
      <c r="AE40" s="61">
        <f t="shared" si="11"/>
        <v>18998.57</v>
      </c>
      <c r="AF40" s="61">
        <f t="shared" si="11"/>
        <v>79915</v>
      </c>
      <c r="AG40" s="31">
        <f t="shared" si="11"/>
        <v>0</v>
      </c>
      <c r="AH40" s="34" t="s">
        <v>890</v>
      </c>
      <c r="AI40" s="34" t="s">
        <v>890</v>
      </c>
      <c r="AJ40" s="34" t="s">
        <v>890</v>
      </c>
    </row>
    <row r="41" spans="1:36" s="20" customFormat="1" ht="61.5" x14ac:dyDescent="0.85">
      <c r="A41" s="20">
        <v>1</v>
      </c>
      <c r="B41" s="60">
        <f>SUBTOTAL(103,$A$14:A41)</f>
        <v>20</v>
      </c>
      <c r="C41" s="24" t="s">
        <v>1026</v>
      </c>
      <c r="D41" s="62" t="s">
        <v>1037</v>
      </c>
      <c r="E41" s="63">
        <v>1.0041</v>
      </c>
      <c r="F41" s="31">
        <f t="shared" si="4"/>
        <v>3265341.36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69">
        <v>0</v>
      </c>
      <c r="N41" s="31">
        <v>0</v>
      </c>
      <c r="O41" s="38">
        <v>695</v>
      </c>
      <c r="P41" s="38">
        <v>3166427.79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61">
        <f>ROUND(P41*0.6%,2)</f>
        <v>18998.57</v>
      </c>
      <c r="AF41" s="38">
        <v>79915</v>
      </c>
      <c r="AG41" s="31">
        <v>0</v>
      </c>
      <c r="AH41" s="34">
        <v>2020</v>
      </c>
      <c r="AI41" s="34">
        <v>2020</v>
      </c>
      <c r="AJ41" s="34">
        <v>2020</v>
      </c>
    </row>
    <row r="42" spans="1:36" s="20" customFormat="1" ht="61.5" x14ac:dyDescent="0.85">
      <c r="B42" s="265" t="s">
        <v>840</v>
      </c>
      <c r="C42" s="24"/>
      <c r="D42" s="62" t="s">
        <v>890</v>
      </c>
      <c r="E42" s="63">
        <f>AVERAGE(E43)</f>
        <v>1</v>
      </c>
      <c r="F42" s="31">
        <f>F43</f>
        <v>97672.62</v>
      </c>
      <c r="G42" s="31">
        <f t="shared" ref="G42:AG42" si="12">G43</f>
        <v>0</v>
      </c>
      <c r="H42" s="31">
        <f t="shared" si="12"/>
        <v>0</v>
      </c>
      <c r="I42" s="31">
        <f t="shared" si="12"/>
        <v>0</v>
      </c>
      <c r="J42" s="31">
        <f t="shared" si="12"/>
        <v>0</v>
      </c>
      <c r="K42" s="31">
        <f t="shared" si="12"/>
        <v>0</v>
      </c>
      <c r="L42" s="31">
        <f t="shared" si="12"/>
        <v>0</v>
      </c>
      <c r="M42" s="69">
        <f t="shared" si="12"/>
        <v>0</v>
      </c>
      <c r="N42" s="31">
        <f t="shared" si="12"/>
        <v>0</v>
      </c>
      <c r="O42" s="31">
        <f t="shared" si="12"/>
        <v>0</v>
      </c>
      <c r="P42" s="31">
        <f t="shared" si="12"/>
        <v>0</v>
      </c>
      <c r="Q42" s="31">
        <f t="shared" si="12"/>
        <v>0</v>
      </c>
      <c r="R42" s="31">
        <f t="shared" si="12"/>
        <v>0</v>
      </c>
      <c r="S42" s="31">
        <f t="shared" si="12"/>
        <v>0</v>
      </c>
      <c r="T42" s="31">
        <f t="shared" si="12"/>
        <v>0</v>
      </c>
      <c r="U42" s="31">
        <f t="shared" si="12"/>
        <v>0</v>
      </c>
      <c r="V42" s="31">
        <f t="shared" si="12"/>
        <v>0</v>
      </c>
      <c r="W42" s="31">
        <f t="shared" si="12"/>
        <v>0</v>
      </c>
      <c r="X42" s="31">
        <f t="shared" si="12"/>
        <v>0</v>
      </c>
      <c r="Y42" s="31">
        <f t="shared" si="12"/>
        <v>0</v>
      </c>
      <c r="Z42" s="31">
        <f t="shared" si="12"/>
        <v>0</v>
      </c>
      <c r="AA42" s="31">
        <f t="shared" si="12"/>
        <v>0</v>
      </c>
      <c r="AB42" s="31">
        <f t="shared" si="12"/>
        <v>0</v>
      </c>
      <c r="AC42" s="31">
        <f t="shared" si="12"/>
        <v>0</v>
      </c>
      <c r="AD42" s="31">
        <f t="shared" si="12"/>
        <v>0</v>
      </c>
      <c r="AE42" s="61">
        <f t="shared" si="12"/>
        <v>0</v>
      </c>
      <c r="AF42" s="61">
        <f t="shared" si="12"/>
        <v>97672.62</v>
      </c>
      <c r="AG42" s="31">
        <f t="shared" si="12"/>
        <v>0</v>
      </c>
      <c r="AH42" s="34" t="s">
        <v>890</v>
      </c>
      <c r="AI42" s="34" t="s">
        <v>890</v>
      </c>
      <c r="AJ42" s="34" t="s">
        <v>890</v>
      </c>
    </row>
    <row r="43" spans="1:36" s="20" customFormat="1" ht="61.5" x14ac:dyDescent="0.85">
      <c r="A43" s="20">
        <v>1</v>
      </c>
      <c r="B43" s="60">
        <f>SUBTOTAL(103,$A$14:A43)</f>
        <v>21</v>
      </c>
      <c r="C43" s="24" t="s">
        <v>1027</v>
      </c>
      <c r="D43" s="62" t="s">
        <v>1039</v>
      </c>
      <c r="E43" s="63">
        <v>1</v>
      </c>
      <c r="F43" s="31">
        <f t="shared" si="4"/>
        <v>97672.62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69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61">
        <f>ROUND(P43*1.5%,2)</f>
        <v>0</v>
      </c>
      <c r="AF43" s="160">
        <v>97672.62</v>
      </c>
      <c r="AG43" s="31">
        <v>0</v>
      </c>
      <c r="AH43" s="34">
        <v>2020</v>
      </c>
      <c r="AI43" s="34" t="s">
        <v>268</v>
      </c>
      <c r="AJ43" s="34" t="s">
        <v>268</v>
      </c>
    </row>
    <row r="44" spans="1:36" s="20" customFormat="1" ht="61.5" x14ac:dyDescent="0.85">
      <c r="B44" s="265" t="s">
        <v>1046</v>
      </c>
      <c r="C44" s="24"/>
      <c r="D44" s="62" t="s">
        <v>890</v>
      </c>
      <c r="E44" s="63">
        <f>AVERAGE(E45:E47)</f>
        <v>1.0093333333333334</v>
      </c>
      <c r="F44" s="31">
        <f t="shared" ref="F44:AG44" si="13">SUM(F45:F47)</f>
        <v>7637123.5900000008</v>
      </c>
      <c r="G44" s="31">
        <f t="shared" si="13"/>
        <v>0</v>
      </c>
      <c r="H44" s="31">
        <f t="shared" si="13"/>
        <v>0</v>
      </c>
      <c r="I44" s="31">
        <f t="shared" si="13"/>
        <v>0</v>
      </c>
      <c r="J44" s="31">
        <f t="shared" si="13"/>
        <v>0</v>
      </c>
      <c r="K44" s="31">
        <f t="shared" si="13"/>
        <v>0</v>
      </c>
      <c r="L44" s="31">
        <f t="shared" si="13"/>
        <v>0</v>
      </c>
      <c r="M44" s="69">
        <f t="shared" si="13"/>
        <v>0</v>
      </c>
      <c r="N44" s="31">
        <f t="shared" si="13"/>
        <v>0</v>
      </c>
      <c r="O44" s="31">
        <f t="shared" si="13"/>
        <v>1438.7</v>
      </c>
      <c r="P44" s="31">
        <f t="shared" si="13"/>
        <v>7406508.8399999999</v>
      </c>
      <c r="Q44" s="31">
        <f t="shared" si="13"/>
        <v>0</v>
      </c>
      <c r="R44" s="31">
        <f t="shared" si="13"/>
        <v>0</v>
      </c>
      <c r="S44" s="31">
        <f t="shared" si="13"/>
        <v>0</v>
      </c>
      <c r="T44" s="31">
        <f t="shared" si="13"/>
        <v>0</v>
      </c>
      <c r="U44" s="31">
        <f t="shared" si="13"/>
        <v>0</v>
      </c>
      <c r="V44" s="31">
        <f t="shared" si="13"/>
        <v>0</v>
      </c>
      <c r="W44" s="31">
        <f t="shared" si="13"/>
        <v>0</v>
      </c>
      <c r="X44" s="31">
        <f t="shared" si="13"/>
        <v>0</v>
      </c>
      <c r="Y44" s="31">
        <f t="shared" si="13"/>
        <v>0</v>
      </c>
      <c r="Z44" s="31">
        <f t="shared" si="13"/>
        <v>0</v>
      </c>
      <c r="AA44" s="31">
        <f t="shared" si="13"/>
        <v>0</v>
      </c>
      <c r="AB44" s="31">
        <f t="shared" si="13"/>
        <v>0</v>
      </c>
      <c r="AC44" s="31">
        <f t="shared" si="13"/>
        <v>0</v>
      </c>
      <c r="AD44" s="31">
        <f t="shared" si="13"/>
        <v>0</v>
      </c>
      <c r="AE44" s="61">
        <f t="shared" si="13"/>
        <v>25643.34</v>
      </c>
      <c r="AF44" s="61">
        <f t="shared" si="13"/>
        <v>204971.41</v>
      </c>
      <c r="AG44" s="31">
        <f t="shared" si="13"/>
        <v>0</v>
      </c>
      <c r="AH44" s="34" t="s">
        <v>890</v>
      </c>
      <c r="AI44" s="34" t="s">
        <v>890</v>
      </c>
      <c r="AJ44" s="34" t="s">
        <v>890</v>
      </c>
    </row>
    <row r="45" spans="1:36" s="20" customFormat="1" ht="61.5" x14ac:dyDescent="0.85">
      <c r="A45" s="20">
        <v>1</v>
      </c>
      <c r="B45" s="60">
        <f>SUBTOTAL(103,$A$14:A45)</f>
        <v>22</v>
      </c>
      <c r="C45" s="24" t="s">
        <v>1028</v>
      </c>
      <c r="D45" s="62" t="s">
        <v>1041</v>
      </c>
      <c r="E45" s="63">
        <v>1.0093000000000001</v>
      </c>
      <c r="F45" s="31">
        <f t="shared" si="4"/>
        <v>2406352.7599999998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69">
        <v>0</v>
      </c>
      <c r="N45" s="31">
        <v>0</v>
      </c>
      <c r="O45" s="38">
        <v>441.7</v>
      </c>
      <c r="P45" s="38">
        <v>2338270.38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61">
        <v>0</v>
      </c>
      <c r="AF45" s="38">
        <v>68082.38</v>
      </c>
      <c r="AG45" s="31">
        <v>0</v>
      </c>
      <c r="AH45" s="34">
        <v>2020</v>
      </c>
      <c r="AI45" s="34">
        <v>2020</v>
      </c>
      <c r="AJ45" s="34" t="s">
        <v>268</v>
      </c>
    </row>
    <row r="46" spans="1:36" s="20" customFormat="1" ht="61.5" x14ac:dyDescent="0.85">
      <c r="A46" s="20">
        <v>1</v>
      </c>
      <c r="B46" s="60">
        <f>SUBTOTAL(103,$A$14:A46)</f>
        <v>23</v>
      </c>
      <c r="C46" s="24" t="s">
        <v>1029</v>
      </c>
      <c r="D46" s="62" t="s">
        <v>1037</v>
      </c>
      <c r="E46" s="63">
        <v>1.0031000000000001</v>
      </c>
      <c r="F46" s="31">
        <f t="shared" si="4"/>
        <v>2491755.89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69">
        <v>0</v>
      </c>
      <c r="N46" s="31">
        <v>0</v>
      </c>
      <c r="O46" s="38">
        <v>502</v>
      </c>
      <c r="P46" s="38">
        <v>2407983.3199999998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11377.72</v>
      </c>
      <c r="AF46" s="160">
        <v>72394.850000000006</v>
      </c>
      <c r="AG46" s="31">
        <v>0</v>
      </c>
      <c r="AH46" s="34">
        <v>2020</v>
      </c>
      <c r="AI46" s="34">
        <v>2020</v>
      </c>
      <c r="AJ46" s="34">
        <v>2020</v>
      </c>
    </row>
    <row r="47" spans="1:36" s="20" customFormat="1" ht="61.5" x14ac:dyDescent="0.85">
      <c r="A47" s="20">
        <v>1</v>
      </c>
      <c r="B47" s="60">
        <f>SUBTOTAL(103,$A$14:A47)</f>
        <v>24</v>
      </c>
      <c r="C47" s="24" t="s">
        <v>1030</v>
      </c>
      <c r="D47" s="62" t="s">
        <v>1040</v>
      </c>
      <c r="E47" s="63">
        <v>1.0156000000000001</v>
      </c>
      <c r="F47" s="31">
        <f t="shared" si="4"/>
        <v>2739014.9400000004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69">
        <v>0</v>
      </c>
      <c r="N47" s="31">
        <v>0</v>
      </c>
      <c r="O47" s="38">
        <v>495</v>
      </c>
      <c r="P47" s="38">
        <v>2660255.14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f>7980.77+6284.85</f>
        <v>14265.62</v>
      </c>
      <c r="AF47" s="160">
        <v>64494.18</v>
      </c>
      <c r="AG47" s="31">
        <v>0</v>
      </c>
      <c r="AH47" s="34">
        <v>2020</v>
      </c>
      <c r="AI47" s="34">
        <v>2020</v>
      </c>
      <c r="AJ47" s="34">
        <v>2020</v>
      </c>
    </row>
    <row r="48" spans="1:36" s="20" customFormat="1" ht="61.5" x14ac:dyDescent="0.85">
      <c r="B48" s="265" t="s">
        <v>1047</v>
      </c>
      <c r="C48" s="24"/>
      <c r="D48" s="62" t="s">
        <v>890</v>
      </c>
      <c r="E48" s="63">
        <f>AVERAGE(E49)</f>
        <v>1</v>
      </c>
      <c r="F48" s="31">
        <f>F49</f>
        <v>2434994.4500000002</v>
      </c>
      <c r="G48" s="31">
        <f t="shared" ref="G48:AG48" si="14">G49</f>
        <v>0</v>
      </c>
      <c r="H48" s="31">
        <f t="shared" si="14"/>
        <v>0</v>
      </c>
      <c r="I48" s="31">
        <f t="shared" si="14"/>
        <v>0</v>
      </c>
      <c r="J48" s="31">
        <f t="shared" si="14"/>
        <v>0</v>
      </c>
      <c r="K48" s="31">
        <f t="shared" si="14"/>
        <v>0</v>
      </c>
      <c r="L48" s="31">
        <f t="shared" si="14"/>
        <v>0</v>
      </c>
      <c r="M48" s="69">
        <f t="shared" si="14"/>
        <v>0</v>
      </c>
      <c r="N48" s="31">
        <f t="shared" si="14"/>
        <v>0</v>
      </c>
      <c r="O48" s="31">
        <f t="shared" si="14"/>
        <v>780</v>
      </c>
      <c r="P48" s="31">
        <f t="shared" si="14"/>
        <v>2307296.7200000002</v>
      </c>
      <c r="Q48" s="31">
        <f t="shared" si="14"/>
        <v>0</v>
      </c>
      <c r="R48" s="31">
        <f t="shared" si="14"/>
        <v>0</v>
      </c>
      <c r="S48" s="31">
        <f t="shared" si="14"/>
        <v>0</v>
      </c>
      <c r="T48" s="31">
        <f t="shared" si="14"/>
        <v>0</v>
      </c>
      <c r="U48" s="31">
        <f t="shared" si="14"/>
        <v>0</v>
      </c>
      <c r="V48" s="31">
        <f t="shared" si="14"/>
        <v>0</v>
      </c>
      <c r="W48" s="31">
        <f t="shared" si="14"/>
        <v>0</v>
      </c>
      <c r="X48" s="31">
        <f t="shared" si="14"/>
        <v>0</v>
      </c>
      <c r="Y48" s="31">
        <f t="shared" si="14"/>
        <v>0</v>
      </c>
      <c r="Z48" s="31">
        <f t="shared" si="14"/>
        <v>0</v>
      </c>
      <c r="AA48" s="31">
        <f t="shared" si="14"/>
        <v>0</v>
      </c>
      <c r="AB48" s="31">
        <f t="shared" si="14"/>
        <v>0</v>
      </c>
      <c r="AC48" s="31">
        <f t="shared" si="14"/>
        <v>0</v>
      </c>
      <c r="AD48" s="31">
        <f t="shared" si="14"/>
        <v>0</v>
      </c>
      <c r="AE48" s="61">
        <f t="shared" si="14"/>
        <v>32359.84</v>
      </c>
      <c r="AF48" s="61">
        <f t="shared" si="14"/>
        <v>95337.89</v>
      </c>
      <c r="AG48" s="31">
        <f t="shared" si="14"/>
        <v>0</v>
      </c>
      <c r="AH48" s="34" t="s">
        <v>890</v>
      </c>
      <c r="AI48" s="34" t="s">
        <v>890</v>
      </c>
      <c r="AJ48" s="34" t="s">
        <v>890</v>
      </c>
    </row>
    <row r="49" spans="1:36" s="20" customFormat="1" ht="61.5" x14ac:dyDescent="0.85">
      <c r="A49" s="20">
        <v>1</v>
      </c>
      <c r="B49" s="60">
        <f>SUBTOTAL(103,$A$14:A49)</f>
        <v>25</v>
      </c>
      <c r="C49" s="24" t="s">
        <v>1035</v>
      </c>
      <c r="D49" s="62" t="s">
        <v>1036</v>
      </c>
      <c r="E49" s="63">
        <v>1</v>
      </c>
      <c r="F49" s="31">
        <f t="shared" si="4"/>
        <v>2434994.4500000002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69">
        <v>0</v>
      </c>
      <c r="N49" s="31">
        <v>0</v>
      </c>
      <c r="O49" s="31">
        <v>780</v>
      </c>
      <c r="P49" s="31">
        <v>2307296.7200000002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8">
        <v>32359.84</v>
      </c>
      <c r="AF49" s="160">
        <v>95337.89</v>
      </c>
      <c r="AG49" s="31">
        <v>0</v>
      </c>
      <c r="AH49" s="34">
        <v>2020</v>
      </c>
      <c r="AI49" s="34">
        <v>2020</v>
      </c>
      <c r="AJ49" s="34">
        <v>2020</v>
      </c>
    </row>
    <row r="50" spans="1:36" s="20" customFormat="1" ht="61.5" x14ac:dyDescent="0.85">
      <c r="B50" s="265" t="s">
        <v>851</v>
      </c>
      <c r="C50" s="24"/>
      <c r="D50" s="62" t="s">
        <v>890</v>
      </c>
      <c r="E50" s="63">
        <f>AVERAGE(E51)</f>
        <v>1.008</v>
      </c>
      <c r="F50" s="31">
        <f>F51</f>
        <v>89459.11</v>
      </c>
      <c r="G50" s="31">
        <f t="shared" ref="G50:AG50" si="15">G51</f>
        <v>0</v>
      </c>
      <c r="H50" s="31">
        <f t="shared" si="15"/>
        <v>0</v>
      </c>
      <c r="I50" s="31">
        <f t="shared" si="15"/>
        <v>0</v>
      </c>
      <c r="J50" s="31">
        <f t="shared" si="15"/>
        <v>0</v>
      </c>
      <c r="K50" s="31">
        <f t="shared" si="15"/>
        <v>0</v>
      </c>
      <c r="L50" s="31">
        <f t="shared" si="15"/>
        <v>0</v>
      </c>
      <c r="M50" s="69">
        <f t="shared" si="15"/>
        <v>0</v>
      </c>
      <c r="N50" s="31">
        <f t="shared" si="15"/>
        <v>0</v>
      </c>
      <c r="O50" s="31">
        <f t="shared" si="15"/>
        <v>0</v>
      </c>
      <c r="P50" s="31">
        <f t="shared" si="15"/>
        <v>0</v>
      </c>
      <c r="Q50" s="31">
        <f t="shared" si="15"/>
        <v>0</v>
      </c>
      <c r="R50" s="31">
        <f t="shared" si="15"/>
        <v>0</v>
      </c>
      <c r="S50" s="31">
        <f t="shared" si="15"/>
        <v>0</v>
      </c>
      <c r="T50" s="31">
        <f t="shared" si="15"/>
        <v>0</v>
      </c>
      <c r="U50" s="31">
        <f t="shared" si="15"/>
        <v>0</v>
      </c>
      <c r="V50" s="31">
        <f t="shared" si="15"/>
        <v>0</v>
      </c>
      <c r="W50" s="31">
        <f t="shared" si="15"/>
        <v>0</v>
      </c>
      <c r="X50" s="31">
        <f t="shared" si="15"/>
        <v>0</v>
      </c>
      <c r="Y50" s="31">
        <f t="shared" si="15"/>
        <v>0</v>
      </c>
      <c r="Z50" s="31">
        <f t="shared" si="15"/>
        <v>0</v>
      </c>
      <c r="AA50" s="31">
        <f t="shared" si="15"/>
        <v>0</v>
      </c>
      <c r="AB50" s="31">
        <f t="shared" si="15"/>
        <v>0</v>
      </c>
      <c r="AC50" s="31">
        <f t="shared" si="15"/>
        <v>0</v>
      </c>
      <c r="AD50" s="31">
        <f t="shared" si="15"/>
        <v>0</v>
      </c>
      <c r="AE50" s="61">
        <f t="shared" si="15"/>
        <v>0</v>
      </c>
      <c r="AF50" s="61">
        <f t="shared" si="15"/>
        <v>89459.11</v>
      </c>
      <c r="AG50" s="31">
        <f t="shared" si="15"/>
        <v>0</v>
      </c>
      <c r="AH50" s="34" t="s">
        <v>890</v>
      </c>
      <c r="AI50" s="34" t="s">
        <v>890</v>
      </c>
      <c r="AJ50" s="34" t="s">
        <v>890</v>
      </c>
    </row>
    <row r="51" spans="1:36" s="20" customFormat="1" ht="61.5" x14ac:dyDescent="0.85">
      <c r="A51" s="20">
        <v>1</v>
      </c>
      <c r="B51" s="60">
        <f>SUBTOTAL(103,$A$14:A51)</f>
        <v>26</v>
      </c>
      <c r="C51" s="24" t="s">
        <v>1031</v>
      </c>
      <c r="D51" s="62" t="s">
        <v>1037</v>
      </c>
      <c r="E51" s="63">
        <v>1.008</v>
      </c>
      <c r="F51" s="31">
        <f t="shared" si="4"/>
        <v>89459.11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69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61">
        <f>ROUND(P51*1.5%,2)</f>
        <v>0</v>
      </c>
      <c r="AF51" s="160">
        <v>89459.11</v>
      </c>
      <c r="AG51" s="31">
        <v>0</v>
      </c>
      <c r="AH51" s="34">
        <v>2020</v>
      </c>
      <c r="AI51" s="34" t="s">
        <v>268</v>
      </c>
      <c r="AJ51" s="34" t="s">
        <v>268</v>
      </c>
    </row>
    <row r="52" spans="1:36" s="20" customFormat="1" ht="61.5" x14ac:dyDescent="0.85">
      <c r="B52" s="265" t="s">
        <v>857</v>
      </c>
      <c r="C52" s="24"/>
      <c r="D52" s="62" t="s">
        <v>890</v>
      </c>
      <c r="E52" s="63">
        <f>AVERAGE(E53)</f>
        <v>1.0001</v>
      </c>
      <c r="F52" s="31">
        <f>F53</f>
        <v>3168456.39</v>
      </c>
      <c r="G52" s="31">
        <f t="shared" ref="G52:AG52" si="16">G53</f>
        <v>0</v>
      </c>
      <c r="H52" s="31">
        <f t="shared" si="16"/>
        <v>0</v>
      </c>
      <c r="I52" s="31">
        <f t="shared" si="16"/>
        <v>0</v>
      </c>
      <c r="J52" s="31">
        <f t="shared" si="16"/>
        <v>0</v>
      </c>
      <c r="K52" s="31">
        <f t="shared" si="16"/>
        <v>0</v>
      </c>
      <c r="L52" s="31">
        <f t="shared" si="16"/>
        <v>0</v>
      </c>
      <c r="M52" s="69">
        <f t="shared" si="16"/>
        <v>0</v>
      </c>
      <c r="N52" s="31">
        <f t="shared" si="16"/>
        <v>0</v>
      </c>
      <c r="O52" s="31">
        <f t="shared" si="16"/>
        <v>874</v>
      </c>
      <c r="P52" s="31">
        <f t="shared" si="16"/>
        <v>3070274</v>
      </c>
      <c r="Q52" s="31">
        <f t="shared" si="16"/>
        <v>0</v>
      </c>
      <c r="R52" s="31">
        <f t="shared" si="16"/>
        <v>0</v>
      </c>
      <c r="S52" s="31">
        <f t="shared" si="16"/>
        <v>0</v>
      </c>
      <c r="T52" s="31">
        <f t="shared" si="16"/>
        <v>0</v>
      </c>
      <c r="U52" s="31">
        <f t="shared" si="16"/>
        <v>0</v>
      </c>
      <c r="V52" s="31">
        <f t="shared" si="16"/>
        <v>0</v>
      </c>
      <c r="W52" s="31">
        <f t="shared" si="16"/>
        <v>0</v>
      </c>
      <c r="X52" s="31">
        <f t="shared" si="16"/>
        <v>0</v>
      </c>
      <c r="Y52" s="31">
        <f t="shared" si="16"/>
        <v>0</v>
      </c>
      <c r="Z52" s="31">
        <f t="shared" si="16"/>
        <v>0</v>
      </c>
      <c r="AA52" s="31">
        <f t="shared" si="16"/>
        <v>0</v>
      </c>
      <c r="AB52" s="31">
        <f t="shared" si="16"/>
        <v>0</v>
      </c>
      <c r="AC52" s="31">
        <f t="shared" si="16"/>
        <v>0</v>
      </c>
      <c r="AD52" s="31">
        <f t="shared" si="16"/>
        <v>0</v>
      </c>
      <c r="AE52" s="61">
        <f t="shared" si="16"/>
        <v>0</v>
      </c>
      <c r="AF52" s="61">
        <f t="shared" si="16"/>
        <v>98182.39</v>
      </c>
      <c r="AG52" s="31">
        <f t="shared" si="16"/>
        <v>0</v>
      </c>
      <c r="AH52" s="34" t="s">
        <v>890</v>
      </c>
      <c r="AI52" s="34" t="s">
        <v>890</v>
      </c>
      <c r="AJ52" s="34" t="s">
        <v>890</v>
      </c>
    </row>
    <row r="53" spans="1:36" s="20" customFormat="1" ht="61.5" x14ac:dyDescent="0.85">
      <c r="A53" s="20">
        <v>1</v>
      </c>
      <c r="B53" s="60">
        <f>SUBTOTAL(103,$A$14:A53)</f>
        <v>27</v>
      </c>
      <c r="C53" s="24" t="s">
        <v>1034</v>
      </c>
      <c r="D53" s="62" t="s">
        <v>1039</v>
      </c>
      <c r="E53" s="63">
        <v>1.0001</v>
      </c>
      <c r="F53" s="31">
        <f t="shared" si="4"/>
        <v>3168456.39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69">
        <v>0</v>
      </c>
      <c r="N53" s="31">
        <v>0</v>
      </c>
      <c r="O53" s="38">
        <v>874</v>
      </c>
      <c r="P53" s="38">
        <v>3070274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61">
        <v>0</v>
      </c>
      <c r="AF53" s="160">
        <v>98182.39</v>
      </c>
      <c r="AG53" s="31">
        <v>0</v>
      </c>
      <c r="AH53" s="34">
        <v>2020</v>
      </c>
      <c r="AI53" s="34">
        <v>2020</v>
      </c>
      <c r="AJ53" s="34" t="s">
        <v>268</v>
      </c>
    </row>
    <row r="54" spans="1:36" s="20" customFormat="1" ht="61.5" x14ac:dyDescent="0.85">
      <c r="B54" s="265" t="s">
        <v>859</v>
      </c>
      <c r="C54" s="24"/>
      <c r="D54" s="62" t="s">
        <v>890</v>
      </c>
      <c r="E54" s="63">
        <f>AVERAGE(E55:E56)</f>
        <v>1.0058</v>
      </c>
      <c r="F54" s="31">
        <f>F56+F55+F57</f>
        <v>4966030.97</v>
      </c>
      <c r="G54" s="31">
        <f t="shared" ref="G54:AG54" si="17">G56+G55+G57</f>
        <v>0</v>
      </c>
      <c r="H54" s="31">
        <f t="shared" si="17"/>
        <v>0</v>
      </c>
      <c r="I54" s="31">
        <f t="shared" si="17"/>
        <v>0</v>
      </c>
      <c r="J54" s="31">
        <f t="shared" si="17"/>
        <v>0</v>
      </c>
      <c r="K54" s="31">
        <f t="shared" si="17"/>
        <v>0</v>
      </c>
      <c r="L54" s="31">
        <f t="shared" si="17"/>
        <v>0</v>
      </c>
      <c r="M54" s="69">
        <f t="shared" si="17"/>
        <v>0</v>
      </c>
      <c r="N54" s="31">
        <f t="shared" si="17"/>
        <v>0</v>
      </c>
      <c r="O54" s="31">
        <f t="shared" si="17"/>
        <v>880.82999999999993</v>
      </c>
      <c r="P54" s="31">
        <f t="shared" si="17"/>
        <v>3232706.81</v>
      </c>
      <c r="Q54" s="31">
        <f t="shared" si="17"/>
        <v>0</v>
      </c>
      <c r="R54" s="31">
        <f t="shared" si="17"/>
        <v>0</v>
      </c>
      <c r="S54" s="31">
        <f t="shared" si="17"/>
        <v>438.58</v>
      </c>
      <c r="T54" s="31">
        <f t="shared" si="17"/>
        <v>1586717.02</v>
      </c>
      <c r="U54" s="31">
        <f t="shared" si="17"/>
        <v>0</v>
      </c>
      <c r="V54" s="31">
        <f t="shared" si="17"/>
        <v>0</v>
      </c>
      <c r="W54" s="31">
        <f t="shared" si="17"/>
        <v>0</v>
      </c>
      <c r="X54" s="31">
        <f t="shared" si="17"/>
        <v>0</v>
      </c>
      <c r="Y54" s="31">
        <f t="shared" si="17"/>
        <v>0</v>
      </c>
      <c r="Z54" s="31">
        <f t="shared" si="17"/>
        <v>0</v>
      </c>
      <c r="AA54" s="31">
        <f t="shared" si="17"/>
        <v>0</v>
      </c>
      <c r="AB54" s="31">
        <f t="shared" si="17"/>
        <v>0</v>
      </c>
      <c r="AC54" s="31">
        <f t="shared" si="17"/>
        <v>0</v>
      </c>
      <c r="AD54" s="31">
        <f t="shared" si="17"/>
        <v>0</v>
      </c>
      <c r="AE54" s="31">
        <f t="shared" si="17"/>
        <v>62168.57</v>
      </c>
      <c r="AF54" s="31">
        <f t="shared" si="17"/>
        <v>84438.57</v>
      </c>
      <c r="AG54" s="31">
        <f t="shared" si="17"/>
        <v>0</v>
      </c>
      <c r="AH54" s="34" t="s">
        <v>890</v>
      </c>
      <c r="AI54" s="34" t="s">
        <v>890</v>
      </c>
      <c r="AJ54" s="34" t="s">
        <v>890</v>
      </c>
    </row>
    <row r="55" spans="1:36" s="20" customFormat="1" ht="61.5" x14ac:dyDescent="0.85">
      <c r="A55" s="20">
        <v>1</v>
      </c>
      <c r="B55" s="60">
        <f>SUBTOTAL(103,$A$14:A55)</f>
        <v>28</v>
      </c>
      <c r="C55" s="24" t="s">
        <v>1077</v>
      </c>
      <c r="D55" s="62" t="s">
        <v>1036</v>
      </c>
      <c r="E55" s="63">
        <v>1</v>
      </c>
      <c r="F55" s="31">
        <f>G55+H55+I55+J55+K55+L55+N55+P55+R55+T55+V55+W55+X55+Y55+Z55+AA55+AB55+AC55+AD55+AE55+AF55+AG55</f>
        <v>1924066.04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69">
        <v>0</v>
      </c>
      <c r="N55" s="31">
        <v>0</v>
      </c>
      <c r="O55" s="38">
        <v>571.88</v>
      </c>
      <c r="P55" s="144">
        <v>1899561.69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144">
        <v>24504.35</v>
      </c>
      <c r="AF55" s="61">
        <v>0</v>
      </c>
      <c r="AG55" s="31">
        <v>0</v>
      </c>
      <c r="AH55" s="34" t="s">
        <v>268</v>
      </c>
      <c r="AI55" s="34">
        <v>2020</v>
      </c>
      <c r="AJ55" s="34">
        <v>2020</v>
      </c>
    </row>
    <row r="56" spans="1:36" s="20" customFormat="1" ht="61.5" x14ac:dyDescent="0.85">
      <c r="A56" s="20">
        <v>1</v>
      </c>
      <c r="B56" s="60">
        <f>SUBTOTAL(103,$A$14:A56)</f>
        <v>29</v>
      </c>
      <c r="C56" s="24" t="s">
        <v>1032</v>
      </c>
      <c r="D56" s="62" t="s">
        <v>1042</v>
      </c>
      <c r="E56" s="63">
        <v>1.0116000000000001</v>
      </c>
      <c r="F56" s="31">
        <f t="shared" si="4"/>
        <v>1650932.93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69">
        <v>0</v>
      </c>
      <c r="N56" s="31">
        <v>0</v>
      </c>
      <c r="O56" s="31">
        <v>0</v>
      </c>
      <c r="P56" s="31">
        <f>O56*4800</f>
        <v>0</v>
      </c>
      <c r="Q56" s="31">
        <v>0</v>
      </c>
      <c r="R56" s="31">
        <v>0</v>
      </c>
      <c r="S56" s="38">
        <v>438.58</v>
      </c>
      <c r="T56" s="38">
        <v>1586717.02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8">
        <v>20468.650000000001</v>
      </c>
      <c r="AF56" s="160">
        <v>43747.26</v>
      </c>
      <c r="AG56" s="31">
        <v>0</v>
      </c>
      <c r="AH56" s="34">
        <v>2020</v>
      </c>
      <c r="AI56" s="34">
        <v>2020</v>
      </c>
      <c r="AJ56" s="34">
        <v>2020</v>
      </c>
    </row>
    <row r="57" spans="1:36" s="20" customFormat="1" ht="61.5" x14ac:dyDescent="0.85">
      <c r="A57" s="20">
        <v>1</v>
      </c>
      <c r="B57" s="60">
        <f>SUBTOTAL(103,$A$14:A57)</f>
        <v>30</v>
      </c>
      <c r="C57" s="24" t="s">
        <v>191</v>
      </c>
      <c r="D57" s="62" t="s">
        <v>1038</v>
      </c>
      <c r="E57" s="63">
        <v>1</v>
      </c>
      <c r="F57" s="31">
        <f t="shared" si="4"/>
        <v>1391032.0000000002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69">
        <v>0</v>
      </c>
      <c r="N57" s="31">
        <v>0</v>
      </c>
      <c r="O57" s="38">
        <v>308.95</v>
      </c>
      <c r="P57" s="38">
        <v>1333145.1200000001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8">
        <v>17195.57</v>
      </c>
      <c r="AF57" s="38">
        <v>40691.31</v>
      </c>
      <c r="AG57" s="31">
        <v>0</v>
      </c>
      <c r="AH57" s="34">
        <v>2020</v>
      </c>
      <c r="AI57" s="34">
        <v>2020</v>
      </c>
      <c r="AJ57" s="34">
        <v>2020</v>
      </c>
    </row>
    <row r="58" spans="1:36" s="20" customFormat="1" ht="61.5" x14ac:dyDescent="0.85">
      <c r="B58" s="265" t="s">
        <v>858</v>
      </c>
      <c r="C58" s="24"/>
      <c r="D58" s="62" t="s">
        <v>890</v>
      </c>
      <c r="E58" s="63">
        <f>AVERAGE(E59)</f>
        <v>1</v>
      </c>
      <c r="F58" s="31">
        <f>F59</f>
        <v>1661171.06</v>
      </c>
      <c r="G58" s="31">
        <f t="shared" ref="G58:AG58" si="18">G59</f>
        <v>0</v>
      </c>
      <c r="H58" s="31">
        <f t="shared" si="18"/>
        <v>0</v>
      </c>
      <c r="I58" s="31">
        <f t="shared" si="18"/>
        <v>0</v>
      </c>
      <c r="J58" s="31">
        <f t="shared" si="18"/>
        <v>0</v>
      </c>
      <c r="K58" s="31">
        <f t="shared" si="18"/>
        <v>0</v>
      </c>
      <c r="L58" s="31">
        <f t="shared" si="18"/>
        <v>0</v>
      </c>
      <c r="M58" s="69">
        <f t="shared" si="18"/>
        <v>0</v>
      </c>
      <c r="N58" s="31">
        <f t="shared" si="18"/>
        <v>0</v>
      </c>
      <c r="O58" s="31">
        <f t="shared" si="18"/>
        <v>546.45000000000005</v>
      </c>
      <c r="P58" s="31">
        <f t="shared" si="18"/>
        <v>1569811.07</v>
      </c>
      <c r="Q58" s="31">
        <f t="shared" si="18"/>
        <v>0</v>
      </c>
      <c r="R58" s="31">
        <f t="shared" si="18"/>
        <v>0</v>
      </c>
      <c r="S58" s="31">
        <f t="shared" si="18"/>
        <v>0</v>
      </c>
      <c r="T58" s="31">
        <f t="shared" si="18"/>
        <v>0</v>
      </c>
      <c r="U58" s="31">
        <f t="shared" si="18"/>
        <v>0</v>
      </c>
      <c r="V58" s="31">
        <f t="shared" si="18"/>
        <v>0</v>
      </c>
      <c r="W58" s="31">
        <f t="shared" si="18"/>
        <v>0</v>
      </c>
      <c r="X58" s="31">
        <f t="shared" si="18"/>
        <v>0</v>
      </c>
      <c r="Y58" s="31">
        <f t="shared" si="18"/>
        <v>0</v>
      </c>
      <c r="Z58" s="31">
        <f t="shared" si="18"/>
        <v>0</v>
      </c>
      <c r="AA58" s="31">
        <f t="shared" si="18"/>
        <v>0</v>
      </c>
      <c r="AB58" s="31">
        <f t="shared" si="18"/>
        <v>0</v>
      </c>
      <c r="AC58" s="31">
        <f t="shared" si="18"/>
        <v>0</v>
      </c>
      <c r="AD58" s="31">
        <f t="shared" si="18"/>
        <v>0</v>
      </c>
      <c r="AE58" s="61">
        <f t="shared" si="18"/>
        <v>20250.560000000001</v>
      </c>
      <c r="AF58" s="61">
        <f t="shared" si="18"/>
        <v>71109.429999999993</v>
      </c>
      <c r="AG58" s="31">
        <f t="shared" si="18"/>
        <v>0</v>
      </c>
      <c r="AH58" s="34" t="s">
        <v>890</v>
      </c>
      <c r="AI58" s="34" t="s">
        <v>890</v>
      </c>
      <c r="AJ58" s="34" t="s">
        <v>890</v>
      </c>
    </row>
    <row r="59" spans="1:36" s="20" customFormat="1" ht="61.5" x14ac:dyDescent="0.85">
      <c r="A59" s="20">
        <v>1</v>
      </c>
      <c r="B59" s="60">
        <f>SUBTOTAL(103,$A$14:A59)</f>
        <v>31</v>
      </c>
      <c r="C59" s="24" t="s">
        <v>1068</v>
      </c>
      <c r="D59" s="62" t="s">
        <v>1041</v>
      </c>
      <c r="E59" s="63">
        <v>1</v>
      </c>
      <c r="F59" s="31">
        <f t="shared" si="4"/>
        <v>1661171.06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69">
        <v>0</v>
      </c>
      <c r="N59" s="31">
        <v>0</v>
      </c>
      <c r="O59" s="38">
        <v>546.45000000000005</v>
      </c>
      <c r="P59" s="144">
        <v>1569811.07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144">
        <v>20250.560000000001</v>
      </c>
      <c r="AF59" s="160">
        <v>71109.429999999993</v>
      </c>
      <c r="AG59" s="31">
        <v>0</v>
      </c>
      <c r="AH59" s="34">
        <v>2020</v>
      </c>
      <c r="AI59" s="34">
        <v>2020</v>
      </c>
      <c r="AJ59" s="34">
        <v>2020</v>
      </c>
    </row>
    <row r="60" spans="1:36" s="20" customFormat="1" ht="61.5" x14ac:dyDescent="0.85">
      <c r="B60" s="265" t="s">
        <v>834</v>
      </c>
      <c r="C60" s="24"/>
      <c r="D60" s="62" t="s">
        <v>890</v>
      </c>
      <c r="E60" s="63">
        <f>E61</f>
        <v>1.009761876417796</v>
      </c>
      <c r="F60" s="31">
        <f>F61</f>
        <v>105794.97</v>
      </c>
      <c r="G60" s="31">
        <f t="shared" ref="G60:AG60" si="19">G61</f>
        <v>0</v>
      </c>
      <c r="H60" s="31">
        <f t="shared" si="19"/>
        <v>0</v>
      </c>
      <c r="I60" s="31">
        <f t="shared" si="19"/>
        <v>0</v>
      </c>
      <c r="J60" s="31">
        <f t="shared" si="19"/>
        <v>0</v>
      </c>
      <c r="K60" s="31">
        <f t="shared" si="19"/>
        <v>0</v>
      </c>
      <c r="L60" s="31">
        <f t="shared" si="19"/>
        <v>0</v>
      </c>
      <c r="M60" s="69">
        <f t="shared" si="19"/>
        <v>0</v>
      </c>
      <c r="N60" s="31">
        <f t="shared" si="19"/>
        <v>0</v>
      </c>
      <c r="O60" s="31">
        <f t="shared" si="19"/>
        <v>0</v>
      </c>
      <c r="P60" s="31">
        <f t="shared" si="19"/>
        <v>0</v>
      </c>
      <c r="Q60" s="31">
        <f t="shared" si="19"/>
        <v>0</v>
      </c>
      <c r="R60" s="31">
        <f t="shared" si="19"/>
        <v>0</v>
      </c>
      <c r="S60" s="31">
        <f t="shared" si="19"/>
        <v>0</v>
      </c>
      <c r="T60" s="31">
        <f t="shared" si="19"/>
        <v>0</v>
      </c>
      <c r="U60" s="31">
        <f t="shared" si="19"/>
        <v>0</v>
      </c>
      <c r="V60" s="31">
        <f t="shared" si="19"/>
        <v>0</v>
      </c>
      <c r="W60" s="31">
        <f t="shared" si="19"/>
        <v>0</v>
      </c>
      <c r="X60" s="31">
        <f t="shared" si="19"/>
        <v>0</v>
      </c>
      <c r="Y60" s="31">
        <f t="shared" si="19"/>
        <v>0</v>
      </c>
      <c r="Z60" s="31">
        <f t="shared" si="19"/>
        <v>0</v>
      </c>
      <c r="AA60" s="31">
        <f t="shared" si="19"/>
        <v>0</v>
      </c>
      <c r="AB60" s="31">
        <f t="shared" si="19"/>
        <v>0</v>
      </c>
      <c r="AC60" s="31">
        <f t="shared" si="19"/>
        <v>0</v>
      </c>
      <c r="AD60" s="31">
        <f t="shared" si="19"/>
        <v>0</v>
      </c>
      <c r="AE60" s="31">
        <f t="shared" si="19"/>
        <v>0</v>
      </c>
      <c r="AF60" s="31">
        <f t="shared" si="19"/>
        <v>105794.97</v>
      </c>
      <c r="AG60" s="31">
        <f t="shared" si="19"/>
        <v>0</v>
      </c>
      <c r="AH60" s="34" t="s">
        <v>890</v>
      </c>
      <c r="AI60" s="34" t="s">
        <v>890</v>
      </c>
      <c r="AJ60" s="34" t="s">
        <v>890</v>
      </c>
    </row>
    <row r="61" spans="1:36" s="20" customFormat="1" ht="61.5" x14ac:dyDescent="0.85">
      <c r="A61" s="20">
        <v>1</v>
      </c>
      <c r="B61" s="60">
        <f>SUBTOTAL(103,$A$14:A61)</f>
        <v>32</v>
      </c>
      <c r="C61" s="24" t="s">
        <v>1401</v>
      </c>
      <c r="D61" s="62" t="s">
        <v>1041</v>
      </c>
      <c r="E61" s="63">
        <v>1.009761876417796</v>
      </c>
      <c r="F61" s="31">
        <f>G61+H61+I61+J61+K61+L61+N61+P61+R61+T61+V61+W61+X61+Y61+Z61+AA61+AB61+AC61+AD61+AE61+AF61+AG61</f>
        <v>105794.97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69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1">
        <f>ROUND(P61*1.5%,2)</f>
        <v>0</v>
      </c>
      <c r="AF61" s="268">
        <v>105794.97</v>
      </c>
      <c r="AG61" s="31">
        <v>0</v>
      </c>
      <c r="AH61" s="34">
        <v>2020</v>
      </c>
      <c r="AI61" s="34" t="s">
        <v>268</v>
      </c>
      <c r="AJ61" s="34" t="s">
        <v>268</v>
      </c>
    </row>
    <row r="62" spans="1:36" s="20" customFormat="1" ht="61.5" x14ac:dyDescent="0.85">
      <c r="B62" s="265" t="s">
        <v>870</v>
      </c>
      <c r="C62" s="24"/>
      <c r="D62" s="62" t="s">
        <v>890</v>
      </c>
      <c r="E62" s="63">
        <f>E63</f>
        <v>1.0869557735329547</v>
      </c>
      <c r="F62" s="31">
        <f>F63</f>
        <v>603261.75</v>
      </c>
      <c r="G62" s="31">
        <f t="shared" ref="G62:AG62" si="20">G63</f>
        <v>0</v>
      </c>
      <c r="H62" s="31">
        <f t="shared" si="20"/>
        <v>0</v>
      </c>
      <c r="I62" s="31">
        <f t="shared" si="20"/>
        <v>0</v>
      </c>
      <c r="J62" s="31">
        <f t="shared" si="20"/>
        <v>0</v>
      </c>
      <c r="K62" s="31">
        <f t="shared" si="20"/>
        <v>597348</v>
      </c>
      <c r="L62" s="31">
        <f t="shared" si="20"/>
        <v>0</v>
      </c>
      <c r="M62" s="69">
        <f t="shared" si="20"/>
        <v>0</v>
      </c>
      <c r="N62" s="31">
        <f t="shared" si="20"/>
        <v>0</v>
      </c>
      <c r="O62" s="31">
        <f t="shared" si="20"/>
        <v>0</v>
      </c>
      <c r="P62" s="31">
        <f t="shared" si="20"/>
        <v>0</v>
      </c>
      <c r="Q62" s="31">
        <f t="shared" si="20"/>
        <v>0</v>
      </c>
      <c r="R62" s="31">
        <f t="shared" si="20"/>
        <v>0</v>
      </c>
      <c r="S62" s="31">
        <f t="shared" si="20"/>
        <v>0</v>
      </c>
      <c r="T62" s="31">
        <f t="shared" si="20"/>
        <v>0</v>
      </c>
      <c r="U62" s="31">
        <f t="shared" si="20"/>
        <v>0</v>
      </c>
      <c r="V62" s="31">
        <f t="shared" si="20"/>
        <v>0</v>
      </c>
      <c r="W62" s="31">
        <f t="shared" si="20"/>
        <v>0</v>
      </c>
      <c r="X62" s="31">
        <f t="shared" si="20"/>
        <v>0</v>
      </c>
      <c r="Y62" s="31">
        <f t="shared" si="20"/>
        <v>0</v>
      </c>
      <c r="Z62" s="31">
        <f t="shared" si="20"/>
        <v>0</v>
      </c>
      <c r="AA62" s="31">
        <f t="shared" si="20"/>
        <v>0</v>
      </c>
      <c r="AB62" s="31">
        <f t="shared" si="20"/>
        <v>0</v>
      </c>
      <c r="AC62" s="31">
        <f t="shared" si="20"/>
        <v>0</v>
      </c>
      <c r="AD62" s="31">
        <f t="shared" si="20"/>
        <v>0</v>
      </c>
      <c r="AE62" s="31">
        <f t="shared" si="20"/>
        <v>5913.75</v>
      </c>
      <c r="AF62" s="31">
        <f t="shared" si="20"/>
        <v>0</v>
      </c>
      <c r="AG62" s="31">
        <f t="shared" si="20"/>
        <v>0</v>
      </c>
      <c r="AH62" s="34" t="s">
        <v>890</v>
      </c>
      <c r="AI62" s="34" t="s">
        <v>890</v>
      </c>
      <c r="AJ62" s="34" t="s">
        <v>890</v>
      </c>
    </row>
    <row r="63" spans="1:36" s="20" customFormat="1" ht="61.5" x14ac:dyDescent="0.85">
      <c r="A63" s="20">
        <v>1</v>
      </c>
      <c r="B63" s="60">
        <f>SUBTOTAL(103,$A$14:A63)</f>
        <v>33</v>
      </c>
      <c r="C63" s="24" t="s">
        <v>1402</v>
      </c>
      <c r="D63" s="62" t="s">
        <v>1041</v>
      </c>
      <c r="E63" s="63">
        <v>1.0869557735329547</v>
      </c>
      <c r="F63" s="31">
        <f t="shared" si="4"/>
        <v>603261.75</v>
      </c>
      <c r="G63" s="31">
        <v>0</v>
      </c>
      <c r="H63" s="31">
        <v>0</v>
      </c>
      <c r="I63" s="31">
        <v>0</v>
      </c>
      <c r="J63" s="31">
        <v>0</v>
      </c>
      <c r="K63" s="38">
        <v>597348</v>
      </c>
      <c r="L63" s="31">
        <v>0</v>
      </c>
      <c r="M63" s="69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8">
        <v>5913.75</v>
      </c>
      <c r="AF63" s="31">
        <v>0</v>
      </c>
      <c r="AG63" s="31">
        <v>0</v>
      </c>
      <c r="AH63" s="34" t="s">
        <v>268</v>
      </c>
      <c r="AI63" s="34">
        <v>2020</v>
      </c>
      <c r="AJ63" s="34">
        <v>2020</v>
      </c>
    </row>
    <row r="64" spans="1:36" s="66" customFormat="1" ht="61.5" x14ac:dyDescent="0.85">
      <c r="B64" s="159" t="s">
        <v>1940</v>
      </c>
      <c r="C64" s="67"/>
      <c r="D64" s="62" t="s">
        <v>890</v>
      </c>
      <c r="E64" s="63">
        <f>AVERAGE(E65:E82)</f>
        <v>1.0170814814814815</v>
      </c>
      <c r="F64" s="31">
        <f>F65+F69+F71+F73+F77+F79+F81+F83</f>
        <v>30583220.379999999</v>
      </c>
      <c r="G64" s="31">
        <f t="shared" ref="G64:AG64" si="21">G65+G69+G71+G73+G77+G79+G81+G83</f>
        <v>0</v>
      </c>
      <c r="H64" s="31">
        <f t="shared" si="21"/>
        <v>0</v>
      </c>
      <c r="I64" s="31">
        <f t="shared" si="21"/>
        <v>0</v>
      </c>
      <c r="J64" s="31">
        <f t="shared" si="21"/>
        <v>0</v>
      </c>
      <c r="K64" s="31">
        <f t="shared" si="21"/>
        <v>0</v>
      </c>
      <c r="L64" s="31">
        <f t="shared" si="21"/>
        <v>0</v>
      </c>
      <c r="M64" s="69">
        <f t="shared" si="21"/>
        <v>0</v>
      </c>
      <c r="N64" s="31">
        <f t="shared" si="21"/>
        <v>0</v>
      </c>
      <c r="O64" s="31">
        <f t="shared" si="21"/>
        <v>5336.14</v>
      </c>
      <c r="P64" s="31">
        <f t="shared" si="21"/>
        <v>27278968.400000002</v>
      </c>
      <c r="Q64" s="31">
        <f t="shared" si="21"/>
        <v>0</v>
      </c>
      <c r="R64" s="31">
        <f t="shared" si="21"/>
        <v>0</v>
      </c>
      <c r="S64" s="31">
        <f t="shared" si="21"/>
        <v>521.92999999999995</v>
      </c>
      <c r="T64" s="31">
        <f t="shared" si="21"/>
        <v>2556716.71</v>
      </c>
      <c r="U64" s="31">
        <f t="shared" si="21"/>
        <v>0</v>
      </c>
      <c r="V64" s="31">
        <f t="shared" si="21"/>
        <v>0</v>
      </c>
      <c r="W64" s="31">
        <f t="shared" si="21"/>
        <v>0</v>
      </c>
      <c r="X64" s="31">
        <f t="shared" si="21"/>
        <v>0</v>
      </c>
      <c r="Y64" s="31">
        <f t="shared" si="21"/>
        <v>0</v>
      </c>
      <c r="Z64" s="31">
        <f t="shared" si="21"/>
        <v>0</v>
      </c>
      <c r="AA64" s="31">
        <f t="shared" si="21"/>
        <v>0</v>
      </c>
      <c r="AB64" s="31">
        <f t="shared" si="21"/>
        <v>0</v>
      </c>
      <c r="AC64" s="31">
        <f t="shared" si="21"/>
        <v>0</v>
      </c>
      <c r="AD64" s="31">
        <f t="shared" si="21"/>
        <v>0</v>
      </c>
      <c r="AE64" s="31">
        <f t="shared" si="21"/>
        <v>447535.26999999996</v>
      </c>
      <c r="AF64" s="31">
        <f t="shared" si="21"/>
        <v>300000</v>
      </c>
      <c r="AG64" s="31">
        <f t="shared" si="21"/>
        <v>0</v>
      </c>
      <c r="AH64" s="34" t="s">
        <v>890</v>
      </c>
      <c r="AI64" s="34" t="s">
        <v>890</v>
      </c>
      <c r="AJ64" s="34" t="s">
        <v>890</v>
      </c>
    </row>
    <row r="65" spans="1:36" s="20" customFormat="1" ht="61.5" x14ac:dyDescent="0.85">
      <c r="B65" s="265" t="s">
        <v>1044</v>
      </c>
      <c r="C65" s="24"/>
      <c r="D65" s="62" t="s">
        <v>890</v>
      </c>
      <c r="E65" s="63">
        <f>AVERAGE(E66:E68)</f>
        <v>1.0022</v>
      </c>
      <c r="F65" s="31">
        <f t="shared" ref="F65:AG65" si="22">SUM(F66:F68)</f>
        <v>5103149.49</v>
      </c>
      <c r="G65" s="31">
        <f t="shared" si="22"/>
        <v>0</v>
      </c>
      <c r="H65" s="31">
        <f t="shared" si="22"/>
        <v>0</v>
      </c>
      <c r="I65" s="31">
        <f t="shared" si="22"/>
        <v>0</v>
      </c>
      <c r="J65" s="31">
        <f t="shared" si="22"/>
        <v>0</v>
      </c>
      <c r="K65" s="31">
        <f t="shared" si="22"/>
        <v>0</v>
      </c>
      <c r="L65" s="31">
        <f t="shared" si="22"/>
        <v>0</v>
      </c>
      <c r="M65" s="69">
        <f t="shared" si="22"/>
        <v>0</v>
      </c>
      <c r="N65" s="31">
        <f t="shared" si="22"/>
        <v>0</v>
      </c>
      <c r="O65" s="31">
        <f t="shared" si="22"/>
        <v>631.93000000000006</v>
      </c>
      <c r="P65" s="31">
        <f t="shared" si="22"/>
        <v>2471016.7799999998</v>
      </c>
      <c r="Q65" s="31">
        <f t="shared" si="22"/>
        <v>0</v>
      </c>
      <c r="R65" s="31">
        <f t="shared" si="22"/>
        <v>0</v>
      </c>
      <c r="S65" s="31">
        <f t="shared" si="22"/>
        <v>521.92999999999995</v>
      </c>
      <c r="T65" s="31">
        <f t="shared" si="22"/>
        <v>2556716.71</v>
      </c>
      <c r="U65" s="31">
        <f t="shared" si="22"/>
        <v>0</v>
      </c>
      <c r="V65" s="31">
        <f t="shared" si="22"/>
        <v>0</v>
      </c>
      <c r="W65" s="31">
        <f t="shared" si="22"/>
        <v>0</v>
      </c>
      <c r="X65" s="31">
        <f t="shared" si="22"/>
        <v>0</v>
      </c>
      <c r="Y65" s="31">
        <f t="shared" si="22"/>
        <v>0</v>
      </c>
      <c r="Z65" s="31">
        <f t="shared" si="22"/>
        <v>0</v>
      </c>
      <c r="AA65" s="31">
        <f t="shared" si="22"/>
        <v>0</v>
      </c>
      <c r="AB65" s="31">
        <f t="shared" si="22"/>
        <v>0</v>
      </c>
      <c r="AC65" s="31">
        <f t="shared" si="22"/>
        <v>0</v>
      </c>
      <c r="AD65" s="31">
        <f t="shared" si="22"/>
        <v>0</v>
      </c>
      <c r="AE65" s="31">
        <f t="shared" si="22"/>
        <v>75416</v>
      </c>
      <c r="AF65" s="31">
        <f t="shared" si="22"/>
        <v>0</v>
      </c>
      <c r="AG65" s="31">
        <f t="shared" si="22"/>
        <v>0</v>
      </c>
      <c r="AH65" s="34" t="s">
        <v>890</v>
      </c>
      <c r="AI65" s="34" t="s">
        <v>890</v>
      </c>
      <c r="AJ65" s="34" t="s">
        <v>890</v>
      </c>
    </row>
    <row r="66" spans="1:36" s="20" customFormat="1" ht="61.5" x14ac:dyDescent="0.85">
      <c r="A66" s="20">
        <v>1</v>
      </c>
      <c r="B66" s="60">
        <f>SUBTOTAL(103,$A$65:A66)</f>
        <v>1</v>
      </c>
      <c r="C66" s="24" t="s">
        <v>1020</v>
      </c>
      <c r="D66" s="62" t="s">
        <v>1038</v>
      </c>
      <c r="E66" s="63">
        <v>1.0003</v>
      </c>
      <c r="F66" s="31">
        <f>G66+H66+I66+J66+K66+L66+N66+P66+R66+T66+V66+W66+X66+Y66+Z66+AA66+AB66+AC66+AD66+AE66+AF66+AG66</f>
        <v>1063050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69">
        <v>0</v>
      </c>
      <c r="N66" s="31">
        <v>0</v>
      </c>
      <c r="O66" s="31">
        <v>257</v>
      </c>
      <c r="P66" s="31">
        <v>1047339.9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61">
        <f>ROUND(P66*1.5%,2)</f>
        <v>15710.1</v>
      </c>
      <c r="AF66" s="61">
        <v>0</v>
      </c>
      <c r="AG66" s="61">
        <v>0</v>
      </c>
      <c r="AH66" s="34" t="s">
        <v>268</v>
      </c>
      <c r="AI66" s="34">
        <v>2021</v>
      </c>
      <c r="AJ66" s="34">
        <v>2021</v>
      </c>
    </row>
    <row r="67" spans="1:36" s="20" customFormat="1" ht="61.5" x14ac:dyDescent="0.85">
      <c r="A67" s="20">
        <v>1</v>
      </c>
      <c r="B67" s="60">
        <f>SUBTOTAL(103,$A$65:A67)</f>
        <v>2</v>
      </c>
      <c r="C67" s="24" t="s">
        <v>1083</v>
      </c>
      <c r="D67" s="62" t="s">
        <v>1039</v>
      </c>
      <c r="E67" s="63">
        <v>1.0026999999999999</v>
      </c>
      <c r="F67" s="31">
        <f>G67+H67+I67+J67+K67+L67+N67+P67+R67+T67+V67+W67+X67+Y67+Z67+AA67+AB67+AC67+AD67+AE67+AF67+AG67</f>
        <v>2595067.46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69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521.92999999999995</v>
      </c>
      <c r="T67" s="31">
        <v>2556716.71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61">
        <f>ROUND(T67*1.5%,2)</f>
        <v>38350.75</v>
      </c>
      <c r="AF67" s="61">
        <v>0</v>
      </c>
      <c r="AG67" s="61">
        <v>0</v>
      </c>
      <c r="AH67" s="34" t="s">
        <v>268</v>
      </c>
      <c r="AI67" s="34">
        <v>2021</v>
      </c>
      <c r="AJ67" s="34">
        <v>2021</v>
      </c>
    </row>
    <row r="68" spans="1:36" s="20" customFormat="1" ht="61.5" x14ac:dyDescent="0.85">
      <c r="A68" s="20">
        <v>1</v>
      </c>
      <c r="B68" s="60">
        <f>SUBTOTAL(103,$A$65:A68)</f>
        <v>3</v>
      </c>
      <c r="C68" s="24" t="s">
        <v>1399</v>
      </c>
      <c r="D68" s="62" t="s">
        <v>1037</v>
      </c>
      <c r="E68" s="63">
        <v>1.0036</v>
      </c>
      <c r="F68" s="31">
        <f>G68+H68+I68+J68+K68+L68+N68+P68+R68+T68+V68+W68+X68+Y68+Z68+AA68+AB68+AC68+AD68+AE68+AF68+AG68</f>
        <v>1445032.0299999998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69">
        <v>0</v>
      </c>
      <c r="N68" s="31">
        <v>0</v>
      </c>
      <c r="O68" s="31">
        <v>374.93</v>
      </c>
      <c r="P68" s="31">
        <v>1423676.88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61">
        <f>ROUND(P68*1.5%,2)</f>
        <v>21355.15</v>
      </c>
      <c r="AF68" s="61">
        <v>0</v>
      </c>
      <c r="AG68" s="61">
        <v>0</v>
      </c>
      <c r="AH68" s="34" t="s">
        <v>268</v>
      </c>
      <c r="AI68" s="34">
        <v>2021</v>
      </c>
      <c r="AJ68" s="34">
        <v>2021</v>
      </c>
    </row>
    <row r="69" spans="1:36" s="20" customFormat="1" ht="61.5" x14ac:dyDescent="0.85">
      <c r="B69" s="265" t="s">
        <v>824</v>
      </c>
      <c r="C69" s="24"/>
      <c r="D69" s="62" t="s">
        <v>890</v>
      </c>
      <c r="E69" s="63">
        <f>AVERAGE(E70)</f>
        <v>1.0308999999999999</v>
      </c>
      <c r="F69" s="31">
        <f>F70</f>
        <v>1450562.89</v>
      </c>
      <c r="G69" s="31">
        <f t="shared" ref="G69:AG69" si="23">G70</f>
        <v>0</v>
      </c>
      <c r="H69" s="31">
        <f t="shared" si="23"/>
        <v>0</v>
      </c>
      <c r="I69" s="31">
        <f t="shared" si="23"/>
        <v>0</v>
      </c>
      <c r="J69" s="31">
        <f t="shared" si="23"/>
        <v>0</v>
      </c>
      <c r="K69" s="31">
        <f t="shared" si="23"/>
        <v>0</v>
      </c>
      <c r="L69" s="31">
        <f t="shared" si="23"/>
        <v>0</v>
      </c>
      <c r="M69" s="69">
        <f t="shared" si="23"/>
        <v>0</v>
      </c>
      <c r="N69" s="31">
        <f t="shared" si="23"/>
        <v>0</v>
      </c>
      <c r="O69" s="31">
        <f t="shared" si="23"/>
        <v>292.8</v>
      </c>
      <c r="P69" s="31">
        <f t="shared" si="23"/>
        <v>1429126</v>
      </c>
      <c r="Q69" s="31">
        <f t="shared" si="23"/>
        <v>0</v>
      </c>
      <c r="R69" s="31">
        <f t="shared" si="23"/>
        <v>0</v>
      </c>
      <c r="S69" s="31">
        <f t="shared" si="23"/>
        <v>0</v>
      </c>
      <c r="T69" s="31">
        <f t="shared" si="23"/>
        <v>0</v>
      </c>
      <c r="U69" s="31">
        <f t="shared" si="23"/>
        <v>0</v>
      </c>
      <c r="V69" s="31">
        <f t="shared" si="23"/>
        <v>0</v>
      </c>
      <c r="W69" s="31">
        <f t="shared" si="23"/>
        <v>0</v>
      </c>
      <c r="X69" s="31">
        <f t="shared" si="23"/>
        <v>0</v>
      </c>
      <c r="Y69" s="31">
        <f t="shared" si="23"/>
        <v>0</v>
      </c>
      <c r="Z69" s="31">
        <f t="shared" si="23"/>
        <v>0</v>
      </c>
      <c r="AA69" s="31">
        <f t="shared" si="23"/>
        <v>0</v>
      </c>
      <c r="AB69" s="31">
        <f t="shared" si="23"/>
        <v>0</v>
      </c>
      <c r="AC69" s="31">
        <f t="shared" si="23"/>
        <v>0</v>
      </c>
      <c r="AD69" s="31">
        <f t="shared" si="23"/>
        <v>0</v>
      </c>
      <c r="AE69" s="61">
        <f t="shared" si="23"/>
        <v>21436.89</v>
      </c>
      <c r="AF69" s="61">
        <f t="shared" si="23"/>
        <v>0</v>
      </c>
      <c r="AG69" s="31">
        <f t="shared" si="23"/>
        <v>0</v>
      </c>
      <c r="AH69" s="34" t="s">
        <v>890</v>
      </c>
      <c r="AI69" s="34" t="s">
        <v>890</v>
      </c>
      <c r="AJ69" s="34" t="s">
        <v>890</v>
      </c>
    </row>
    <row r="70" spans="1:36" s="20" customFormat="1" ht="61.5" x14ac:dyDescent="0.85">
      <c r="A70" s="20">
        <v>1</v>
      </c>
      <c r="B70" s="60">
        <f>SUBTOTAL(103,$A$65:A70)</f>
        <v>4</v>
      </c>
      <c r="C70" s="24" t="s">
        <v>1021</v>
      </c>
      <c r="D70" s="62" t="s">
        <v>1036</v>
      </c>
      <c r="E70" s="63">
        <v>1.0308999999999999</v>
      </c>
      <c r="F70" s="31">
        <f>G70+H70+I70+J70+K70+L70+N70+P70+R70+T70+V70+W70+X70+Y70+Z70+AA70+AB70+AC70+AD70+AE70+AF70+AG70</f>
        <v>1450562.89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69">
        <v>0</v>
      </c>
      <c r="N70" s="31">
        <v>0</v>
      </c>
      <c r="O70" s="31">
        <v>292.8</v>
      </c>
      <c r="P70" s="31">
        <v>1429126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61">
        <f>ROUND(P70*1.5%,2)</f>
        <v>21436.89</v>
      </c>
      <c r="AF70" s="61">
        <v>0</v>
      </c>
      <c r="AG70" s="31">
        <v>0</v>
      </c>
      <c r="AH70" s="34" t="s">
        <v>268</v>
      </c>
      <c r="AI70" s="34">
        <v>2021</v>
      </c>
      <c r="AJ70" s="34">
        <v>2021</v>
      </c>
    </row>
    <row r="71" spans="1:36" s="20" customFormat="1" ht="61.5" x14ac:dyDescent="0.85">
      <c r="B71" s="265" t="s">
        <v>1045</v>
      </c>
      <c r="C71" s="24"/>
      <c r="D71" s="62" t="s">
        <v>890</v>
      </c>
      <c r="E71" s="63">
        <f>AVERAGE(E72:E72)</f>
        <v>1.0385</v>
      </c>
      <c r="F71" s="31">
        <f t="shared" ref="F71:AG71" si="24">SUM(F72:F72)</f>
        <v>2607490.21</v>
      </c>
      <c r="G71" s="31">
        <f t="shared" si="24"/>
        <v>0</v>
      </c>
      <c r="H71" s="31">
        <f t="shared" si="24"/>
        <v>0</v>
      </c>
      <c r="I71" s="31">
        <f t="shared" si="24"/>
        <v>0</v>
      </c>
      <c r="J71" s="31">
        <f t="shared" si="24"/>
        <v>0</v>
      </c>
      <c r="K71" s="31">
        <f t="shared" si="24"/>
        <v>0</v>
      </c>
      <c r="L71" s="31">
        <f t="shared" si="24"/>
        <v>0</v>
      </c>
      <c r="M71" s="69">
        <f t="shared" si="24"/>
        <v>0</v>
      </c>
      <c r="N71" s="31">
        <f t="shared" si="24"/>
        <v>0</v>
      </c>
      <c r="O71" s="31">
        <f t="shared" si="24"/>
        <v>344.84</v>
      </c>
      <c r="P71" s="31">
        <f t="shared" si="24"/>
        <v>2421172.62</v>
      </c>
      <c r="Q71" s="31">
        <f t="shared" si="24"/>
        <v>0</v>
      </c>
      <c r="R71" s="31">
        <f t="shared" si="24"/>
        <v>0</v>
      </c>
      <c r="S71" s="31">
        <f t="shared" si="24"/>
        <v>0</v>
      </c>
      <c r="T71" s="31">
        <f t="shared" si="24"/>
        <v>0</v>
      </c>
      <c r="U71" s="31">
        <f t="shared" si="24"/>
        <v>0</v>
      </c>
      <c r="V71" s="31">
        <f t="shared" si="24"/>
        <v>0</v>
      </c>
      <c r="W71" s="31">
        <f t="shared" si="24"/>
        <v>0</v>
      </c>
      <c r="X71" s="31">
        <f t="shared" si="24"/>
        <v>0</v>
      </c>
      <c r="Y71" s="31">
        <f t="shared" si="24"/>
        <v>0</v>
      </c>
      <c r="Z71" s="31">
        <f t="shared" si="24"/>
        <v>0</v>
      </c>
      <c r="AA71" s="31">
        <f t="shared" si="24"/>
        <v>0</v>
      </c>
      <c r="AB71" s="31">
        <f t="shared" si="24"/>
        <v>0</v>
      </c>
      <c r="AC71" s="31">
        <f t="shared" si="24"/>
        <v>0</v>
      </c>
      <c r="AD71" s="31">
        <f t="shared" si="24"/>
        <v>0</v>
      </c>
      <c r="AE71" s="61">
        <f t="shared" si="24"/>
        <v>36317.589999999997</v>
      </c>
      <c r="AF71" s="61">
        <f t="shared" si="24"/>
        <v>150000</v>
      </c>
      <c r="AG71" s="31">
        <f t="shared" si="24"/>
        <v>0</v>
      </c>
      <c r="AH71" s="34" t="s">
        <v>890</v>
      </c>
      <c r="AI71" s="34" t="s">
        <v>890</v>
      </c>
      <c r="AJ71" s="34" t="s">
        <v>890</v>
      </c>
    </row>
    <row r="72" spans="1:36" s="20" customFormat="1" ht="61.5" x14ac:dyDescent="0.85">
      <c r="A72" s="20">
        <v>1</v>
      </c>
      <c r="B72" s="60">
        <f>SUBTOTAL(103,$A$65:A72)</f>
        <v>5</v>
      </c>
      <c r="C72" s="24" t="s">
        <v>1941</v>
      </c>
      <c r="D72" s="62" t="s">
        <v>1039</v>
      </c>
      <c r="E72" s="63">
        <v>1.0385</v>
      </c>
      <c r="F72" s="31">
        <f>G72+H72+I72+J72+K72+L72+N72+P72+R72+T72+V72+W72+X72+Y72+Z72+AA72+AB72+AC72+AD72+AE72+AF72+AG72</f>
        <v>2607490.21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69">
        <v>0</v>
      </c>
      <c r="N72" s="31">
        <v>0</v>
      </c>
      <c r="O72" s="31">
        <v>344.84</v>
      </c>
      <c r="P72" s="31">
        <v>2421172.62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61">
        <f>ROUND(P72*1.5%,2)</f>
        <v>36317.589999999997</v>
      </c>
      <c r="AF72" s="160">
        <v>150000</v>
      </c>
      <c r="AG72" s="31">
        <v>0</v>
      </c>
      <c r="AH72" s="34">
        <v>2021</v>
      </c>
      <c r="AI72" s="34">
        <v>2021</v>
      </c>
      <c r="AJ72" s="34">
        <v>2021</v>
      </c>
    </row>
    <row r="73" spans="1:36" s="20" customFormat="1" ht="61.5" x14ac:dyDescent="0.85">
      <c r="B73" s="265" t="s">
        <v>760</v>
      </c>
      <c r="C73" s="24"/>
      <c r="D73" s="62" t="s">
        <v>890</v>
      </c>
      <c r="E73" s="63">
        <f>AVERAGE(E74:E76)</f>
        <v>1.0097666666666667</v>
      </c>
      <c r="F73" s="31">
        <f>SUM(F74:F76)</f>
        <v>6106153.4399999995</v>
      </c>
      <c r="G73" s="31">
        <f t="shared" ref="G73:AG73" si="25">SUM(G74:G76)</f>
        <v>0</v>
      </c>
      <c r="H73" s="31">
        <f t="shared" si="25"/>
        <v>0</v>
      </c>
      <c r="I73" s="31">
        <f t="shared" si="25"/>
        <v>0</v>
      </c>
      <c r="J73" s="31">
        <f t="shared" si="25"/>
        <v>0</v>
      </c>
      <c r="K73" s="31">
        <f t="shared" si="25"/>
        <v>0</v>
      </c>
      <c r="L73" s="31">
        <f t="shared" si="25"/>
        <v>0</v>
      </c>
      <c r="M73" s="69">
        <f t="shared" si="25"/>
        <v>0</v>
      </c>
      <c r="N73" s="31">
        <f t="shared" si="25"/>
        <v>0</v>
      </c>
      <c r="O73" s="31">
        <f t="shared" si="25"/>
        <v>1299.6399999999999</v>
      </c>
      <c r="P73" s="31">
        <f t="shared" si="25"/>
        <v>6015914.7200000007</v>
      </c>
      <c r="Q73" s="31">
        <f t="shared" si="25"/>
        <v>0</v>
      </c>
      <c r="R73" s="31">
        <f t="shared" si="25"/>
        <v>0</v>
      </c>
      <c r="S73" s="31">
        <f t="shared" si="25"/>
        <v>0</v>
      </c>
      <c r="T73" s="31">
        <f t="shared" si="25"/>
        <v>0</v>
      </c>
      <c r="U73" s="31">
        <f t="shared" si="25"/>
        <v>0</v>
      </c>
      <c r="V73" s="31">
        <f t="shared" si="25"/>
        <v>0</v>
      </c>
      <c r="W73" s="31">
        <f t="shared" si="25"/>
        <v>0</v>
      </c>
      <c r="X73" s="31">
        <f t="shared" si="25"/>
        <v>0</v>
      </c>
      <c r="Y73" s="31">
        <f t="shared" si="25"/>
        <v>0</v>
      </c>
      <c r="Z73" s="31">
        <f t="shared" si="25"/>
        <v>0</v>
      </c>
      <c r="AA73" s="31">
        <f t="shared" si="25"/>
        <v>0</v>
      </c>
      <c r="AB73" s="31">
        <f t="shared" si="25"/>
        <v>0</v>
      </c>
      <c r="AC73" s="31">
        <f t="shared" si="25"/>
        <v>0</v>
      </c>
      <c r="AD73" s="31">
        <f t="shared" si="25"/>
        <v>0</v>
      </c>
      <c r="AE73" s="61">
        <f t="shared" si="25"/>
        <v>90238.720000000001</v>
      </c>
      <c r="AF73" s="61">
        <f t="shared" si="25"/>
        <v>0</v>
      </c>
      <c r="AG73" s="31">
        <f t="shared" si="25"/>
        <v>0</v>
      </c>
      <c r="AH73" s="34" t="s">
        <v>890</v>
      </c>
      <c r="AI73" s="34" t="s">
        <v>890</v>
      </c>
      <c r="AJ73" s="34" t="s">
        <v>890</v>
      </c>
    </row>
    <row r="74" spans="1:36" s="20" customFormat="1" ht="61.5" x14ac:dyDescent="0.85">
      <c r="A74" s="20">
        <v>1</v>
      </c>
      <c r="B74" s="60">
        <f>SUBTOTAL(103,$A$65:A74)</f>
        <v>6</v>
      </c>
      <c r="C74" s="24" t="s">
        <v>1025</v>
      </c>
      <c r="D74" s="62" t="s">
        <v>1038</v>
      </c>
      <c r="E74" s="63">
        <v>1.0043</v>
      </c>
      <c r="F74" s="31">
        <f>G74+H74+I74+J74+K74+L74+N74+P74+R74+T74+V74+W74+X74+Y74+Z74+AA74+AB74+AC74+AD74+AE74+AF74+AG74</f>
        <v>1005353.44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69">
        <v>0</v>
      </c>
      <c r="N74" s="31">
        <v>0</v>
      </c>
      <c r="O74" s="38">
        <v>290.64</v>
      </c>
      <c r="P74" s="38">
        <v>990496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61">
        <f>ROUND(P74*1.5%,2)</f>
        <v>14857.44</v>
      </c>
      <c r="AF74" s="61">
        <v>0</v>
      </c>
      <c r="AG74" s="31">
        <v>0</v>
      </c>
      <c r="AH74" s="34" t="s">
        <v>268</v>
      </c>
      <c r="AI74" s="34">
        <v>2021</v>
      </c>
      <c r="AJ74" s="34">
        <v>2021</v>
      </c>
    </row>
    <row r="75" spans="1:36" s="20" customFormat="1" ht="61.5" x14ac:dyDescent="0.85">
      <c r="A75" s="20">
        <v>1</v>
      </c>
      <c r="B75" s="60">
        <f>SUBTOTAL(103,$A$65:A75)</f>
        <v>7</v>
      </c>
      <c r="C75" s="24" t="s">
        <v>784</v>
      </c>
      <c r="D75" s="62" t="s">
        <v>1038</v>
      </c>
      <c r="E75" s="63">
        <v>1.0185999999999999</v>
      </c>
      <c r="F75" s="31">
        <f>G75+H75+I75+J75+K75+L75+N75+P75+R75+T75+V75+W75+X75+Y75+Z75+AA75+AB75+AC75+AD75+AE75+AF75+AG75</f>
        <v>2664800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69">
        <v>0</v>
      </c>
      <c r="N75" s="31">
        <v>0</v>
      </c>
      <c r="O75" s="31">
        <v>576</v>
      </c>
      <c r="P75" s="31">
        <v>2625418.7200000002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61">
        <f>ROUND(P75*1.5%,2)</f>
        <v>39381.279999999999</v>
      </c>
      <c r="AF75" s="61">
        <v>0</v>
      </c>
      <c r="AG75" s="31">
        <v>0</v>
      </c>
      <c r="AH75" s="34" t="s">
        <v>268</v>
      </c>
      <c r="AI75" s="34">
        <v>2021</v>
      </c>
      <c r="AJ75" s="34">
        <v>2021</v>
      </c>
    </row>
    <row r="76" spans="1:36" s="20" customFormat="1" ht="61.5" x14ac:dyDescent="0.85">
      <c r="A76" s="20">
        <v>1</v>
      </c>
      <c r="B76" s="60">
        <f>SUBTOTAL(103,$A$65:A76)</f>
        <v>8</v>
      </c>
      <c r="C76" s="24" t="s">
        <v>776</v>
      </c>
      <c r="D76" s="62" t="s">
        <v>1038</v>
      </c>
      <c r="E76" s="63">
        <v>1.0064</v>
      </c>
      <c r="F76" s="31">
        <f>G76+H76+I76+J76+K76+L76+N76+P76+R76+T76+V76+W76+X76+Y76+Z76+AA76+AB76+AC76+AD76+AE76+AF76+AG76</f>
        <v>2436000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69">
        <v>0</v>
      </c>
      <c r="N76" s="31">
        <v>0</v>
      </c>
      <c r="O76" s="31">
        <v>433</v>
      </c>
      <c r="P76" s="31">
        <v>2400000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61">
        <f>ROUND(P76*1.5%,2)</f>
        <v>36000</v>
      </c>
      <c r="AF76" s="61">
        <v>0</v>
      </c>
      <c r="AG76" s="31">
        <v>0</v>
      </c>
      <c r="AH76" s="34" t="s">
        <v>268</v>
      </c>
      <c r="AI76" s="34">
        <v>2021</v>
      </c>
      <c r="AJ76" s="34">
        <v>2021</v>
      </c>
    </row>
    <row r="77" spans="1:36" s="20" customFormat="1" ht="61.5" x14ac:dyDescent="0.85">
      <c r="B77" s="265" t="s">
        <v>840</v>
      </c>
      <c r="C77" s="24"/>
      <c r="D77" s="62" t="s">
        <v>890</v>
      </c>
      <c r="E77" s="63">
        <f>AVERAGE(E78)</f>
        <v>1</v>
      </c>
      <c r="F77" s="31">
        <f>F78</f>
        <v>5538174.9500000002</v>
      </c>
      <c r="G77" s="31">
        <f t="shared" ref="G77:AG79" si="26">G78</f>
        <v>0</v>
      </c>
      <c r="H77" s="31">
        <f t="shared" si="26"/>
        <v>0</v>
      </c>
      <c r="I77" s="31">
        <f t="shared" si="26"/>
        <v>0</v>
      </c>
      <c r="J77" s="31">
        <f t="shared" si="26"/>
        <v>0</v>
      </c>
      <c r="K77" s="31">
        <f t="shared" si="26"/>
        <v>0</v>
      </c>
      <c r="L77" s="31">
        <f t="shared" si="26"/>
        <v>0</v>
      </c>
      <c r="M77" s="69">
        <f t="shared" si="26"/>
        <v>0</v>
      </c>
      <c r="N77" s="31">
        <f t="shared" si="26"/>
        <v>0</v>
      </c>
      <c r="O77" s="31">
        <f t="shared" si="26"/>
        <v>1034.83</v>
      </c>
      <c r="P77" s="31">
        <f t="shared" si="26"/>
        <v>5456330</v>
      </c>
      <c r="Q77" s="31">
        <f t="shared" si="26"/>
        <v>0</v>
      </c>
      <c r="R77" s="31">
        <f t="shared" si="26"/>
        <v>0</v>
      </c>
      <c r="S77" s="31">
        <f t="shared" si="26"/>
        <v>0</v>
      </c>
      <c r="T77" s="31">
        <f t="shared" si="26"/>
        <v>0</v>
      </c>
      <c r="U77" s="31">
        <f t="shared" si="26"/>
        <v>0</v>
      </c>
      <c r="V77" s="31">
        <f t="shared" si="26"/>
        <v>0</v>
      </c>
      <c r="W77" s="31">
        <f t="shared" si="26"/>
        <v>0</v>
      </c>
      <c r="X77" s="31">
        <f t="shared" si="26"/>
        <v>0</v>
      </c>
      <c r="Y77" s="31">
        <f t="shared" si="26"/>
        <v>0</v>
      </c>
      <c r="Z77" s="31">
        <f t="shared" si="26"/>
        <v>0</v>
      </c>
      <c r="AA77" s="31">
        <f t="shared" si="26"/>
        <v>0</v>
      </c>
      <c r="AB77" s="31">
        <f t="shared" si="26"/>
        <v>0</v>
      </c>
      <c r="AC77" s="31">
        <f t="shared" si="26"/>
        <v>0</v>
      </c>
      <c r="AD77" s="31">
        <f t="shared" si="26"/>
        <v>0</v>
      </c>
      <c r="AE77" s="61">
        <f t="shared" si="26"/>
        <v>81844.95</v>
      </c>
      <c r="AF77" s="61">
        <f t="shared" si="26"/>
        <v>0</v>
      </c>
      <c r="AG77" s="31">
        <f t="shared" si="26"/>
        <v>0</v>
      </c>
      <c r="AH77" s="34" t="s">
        <v>890</v>
      </c>
      <c r="AI77" s="34" t="s">
        <v>890</v>
      </c>
      <c r="AJ77" s="34" t="s">
        <v>890</v>
      </c>
    </row>
    <row r="78" spans="1:36" s="20" customFormat="1" ht="61.5" x14ac:dyDescent="0.85">
      <c r="A78" s="20">
        <v>1</v>
      </c>
      <c r="B78" s="60">
        <f>SUBTOTAL(103,$A$65:A78)</f>
        <v>9</v>
      </c>
      <c r="C78" s="24" t="s">
        <v>1027</v>
      </c>
      <c r="D78" s="62" t="s">
        <v>1039</v>
      </c>
      <c r="E78" s="63">
        <v>1</v>
      </c>
      <c r="F78" s="31">
        <f>G78+H78+I78+J78+K78+L78+N78+P78+R78+T78+V78+W78+X78+Y78+Z78+AA78+AB78+AC78+AD78+AE78+AF78+AG78</f>
        <v>5538174.9500000002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69">
        <v>0</v>
      </c>
      <c r="N78" s="31">
        <v>0</v>
      </c>
      <c r="O78" s="31">
        <v>1034.83</v>
      </c>
      <c r="P78" s="31">
        <v>5456330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61">
        <f>ROUND(P78*1.5%,2)</f>
        <v>81844.95</v>
      </c>
      <c r="AF78" s="61">
        <v>0</v>
      </c>
      <c r="AG78" s="31">
        <v>0</v>
      </c>
      <c r="AH78" s="34" t="s">
        <v>268</v>
      </c>
      <c r="AI78" s="34">
        <v>2021</v>
      </c>
      <c r="AJ78" s="34">
        <v>2021</v>
      </c>
    </row>
    <row r="79" spans="1:36" s="20" customFormat="1" ht="61.5" x14ac:dyDescent="0.85">
      <c r="B79" s="265" t="s">
        <v>1701</v>
      </c>
      <c r="C79" s="24"/>
      <c r="D79" s="62" t="s">
        <v>890</v>
      </c>
      <c r="E79" s="63">
        <f>AVERAGE(E80)</f>
        <v>1.0524</v>
      </c>
      <c r="F79" s="31">
        <f>F80</f>
        <v>3672464.4</v>
      </c>
      <c r="G79" s="31">
        <f t="shared" si="26"/>
        <v>0</v>
      </c>
      <c r="H79" s="31">
        <f t="shared" si="26"/>
        <v>0</v>
      </c>
      <c r="I79" s="31">
        <f t="shared" si="26"/>
        <v>0</v>
      </c>
      <c r="J79" s="31">
        <f t="shared" si="26"/>
        <v>0</v>
      </c>
      <c r="K79" s="31">
        <f t="shared" si="26"/>
        <v>0</v>
      </c>
      <c r="L79" s="31">
        <f t="shared" si="26"/>
        <v>0</v>
      </c>
      <c r="M79" s="69">
        <f t="shared" si="26"/>
        <v>0</v>
      </c>
      <c r="N79" s="31">
        <f t="shared" si="26"/>
        <v>0</v>
      </c>
      <c r="O79" s="31">
        <f t="shared" si="26"/>
        <v>664.6</v>
      </c>
      <c r="P79" s="31">
        <f t="shared" si="26"/>
        <v>3470408.28</v>
      </c>
      <c r="Q79" s="31">
        <f t="shared" si="26"/>
        <v>0</v>
      </c>
      <c r="R79" s="31">
        <f t="shared" si="26"/>
        <v>0</v>
      </c>
      <c r="S79" s="31">
        <f t="shared" si="26"/>
        <v>0</v>
      </c>
      <c r="T79" s="31">
        <f t="shared" si="26"/>
        <v>0</v>
      </c>
      <c r="U79" s="31">
        <f t="shared" si="26"/>
        <v>0</v>
      </c>
      <c r="V79" s="31">
        <f t="shared" si="26"/>
        <v>0</v>
      </c>
      <c r="W79" s="31">
        <f t="shared" si="26"/>
        <v>0</v>
      </c>
      <c r="X79" s="31">
        <f t="shared" si="26"/>
        <v>0</v>
      </c>
      <c r="Y79" s="31">
        <f t="shared" si="26"/>
        <v>0</v>
      </c>
      <c r="Z79" s="31">
        <f t="shared" si="26"/>
        <v>0</v>
      </c>
      <c r="AA79" s="31">
        <f t="shared" si="26"/>
        <v>0</v>
      </c>
      <c r="AB79" s="31">
        <f t="shared" si="26"/>
        <v>0</v>
      </c>
      <c r="AC79" s="31">
        <f t="shared" si="26"/>
        <v>0</v>
      </c>
      <c r="AD79" s="31">
        <f t="shared" si="26"/>
        <v>0</v>
      </c>
      <c r="AE79" s="61">
        <f t="shared" si="26"/>
        <v>52056.12</v>
      </c>
      <c r="AF79" s="61">
        <f t="shared" si="26"/>
        <v>150000</v>
      </c>
      <c r="AG79" s="31">
        <f t="shared" si="26"/>
        <v>0</v>
      </c>
      <c r="AH79" s="34" t="s">
        <v>890</v>
      </c>
      <c r="AI79" s="34" t="s">
        <v>890</v>
      </c>
      <c r="AJ79" s="34" t="s">
        <v>890</v>
      </c>
    </row>
    <row r="80" spans="1:36" s="20" customFormat="1" ht="61.5" x14ac:dyDescent="0.85">
      <c r="A80" s="20">
        <v>1</v>
      </c>
      <c r="B80" s="60">
        <f>SUBTOTAL(103,$A$65:A80)</f>
        <v>10</v>
      </c>
      <c r="C80" s="24" t="s">
        <v>1700</v>
      </c>
      <c r="D80" s="62" t="s">
        <v>1039</v>
      </c>
      <c r="E80" s="63">
        <v>1.0524</v>
      </c>
      <c r="F80" s="31">
        <f>G80+H80+I80+J80+K80+L80+N80+P80+R80+T80+V80+W80+X80+Y80+Z80+AA80+AB80+AC80+AD80+AE80+AF80+AG80</f>
        <v>3672464.4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69">
        <v>0</v>
      </c>
      <c r="N80" s="31">
        <v>0</v>
      </c>
      <c r="O80" s="31">
        <v>664.6</v>
      </c>
      <c r="P80" s="31">
        <v>3470408.28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61">
        <f>ROUND(P80*1.5%,2)</f>
        <v>52056.12</v>
      </c>
      <c r="AF80" s="102">
        <v>150000</v>
      </c>
      <c r="AG80" s="31">
        <v>0</v>
      </c>
      <c r="AH80" s="34">
        <v>2021</v>
      </c>
      <c r="AI80" s="34">
        <v>2021</v>
      </c>
      <c r="AJ80" s="34">
        <v>2021</v>
      </c>
    </row>
    <row r="81" spans="1:40" s="20" customFormat="1" ht="61.5" x14ac:dyDescent="0.85">
      <c r="B81" s="265" t="s">
        <v>851</v>
      </c>
      <c r="C81" s="24"/>
      <c r="D81" s="62" t="s">
        <v>890</v>
      </c>
      <c r="E81" s="63">
        <f>AVERAGE(E82)</f>
        <v>1.008</v>
      </c>
      <c r="F81" s="31">
        <f>F82</f>
        <v>2476600</v>
      </c>
      <c r="G81" s="31">
        <f t="shared" ref="G81:AG81" si="27">G82</f>
        <v>0</v>
      </c>
      <c r="H81" s="31">
        <f t="shared" si="27"/>
        <v>0</v>
      </c>
      <c r="I81" s="31">
        <f t="shared" si="27"/>
        <v>0</v>
      </c>
      <c r="J81" s="31">
        <f t="shared" si="27"/>
        <v>0</v>
      </c>
      <c r="K81" s="31">
        <f t="shared" si="27"/>
        <v>0</v>
      </c>
      <c r="L81" s="31">
        <f t="shared" si="27"/>
        <v>0</v>
      </c>
      <c r="M81" s="69">
        <f t="shared" si="27"/>
        <v>0</v>
      </c>
      <c r="N81" s="31">
        <f t="shared" si="27"/>
        <v>0</v>
      </c>
      <c r="O81" s="31">
        <f t="shared" si="27"/>
        <v>352.5</v>
      </c>
      <c r="P81" s="31">
        <f t="shared" si="27"/>
        <v>2440000</v>
      </c>
      <c r="Q81" s="31">
        <f t="shared" si="27"/>
        <v>0</v>
      </c>
      <c r="R81" s="31">
        <f t="shared" si="27"/>
        <v>0</v>
      </c>
      <c r="S81" s="31">
        <f t="shared" si="27"/>
        <v>0</v>
      </c>
      <c r="T81" s="31">
        <f t="shared" si="27"/>
        <v>0</v>
      </c>
      <c r="U81" s="31">
        <f t="shared" si="27"/>
        <v>0</v>
      </c>
      <c r="V81" s="31">
        <f t="shared" si="27"/>
        <v>0</v>
      </c>
      <c r="W81" s="31">
        <f t="shared" si="27"/>
        <v>0</v>
      </c>
      <c r="X81" s="31">
        <f t="shared" si="27"/>
        <v>0</v>
      </c>
      <c r="Y81" s="31">
        <f t="shared" si="27"/>
        <v>0</v>
      </c>
      <c r="Z81" s="31">
        <f t="shared" si="27"/>
        <v>0</v>
      </c>
      <c r="AA81" s="31">
        <f t="shared" si="27"/>
        <v>0</v>
      </c>
      <c r="AB81" s="31">
        <f t="shared" si="27"/>
        <v>0</v>
      </c>
      <c r="AC81" s="31">
        <f t="shared" si="27"/>
        <v>0</v>
      </c>
      <c r="AD81" s="31">
        <f t="shared" si="27"/>
        <v>0</v>
      </c>
      <c r="AE81" s="61">
        <f t="shared" si="27"/>
        <v>36600</v>
      </c>
      <c r="AF81" s="61">
        <f t="shared" si="27"/>
        <v>0</v>
      </c>
      <c r="AG81" s="31">
        <f t="shared" si="27"/>
        <v>0</v>
      </c>
      <c r="AH81" s="34" t="s">
        <v>890</v>
      </c>
      <c r="AI81" s="34" t="s">
        <v>890</v>
      </c>
      <c r="AJ81" s="34" t="s">
        <v>890</v>
      </c>
    </row>
    <row r="82" spans="1:40" s="20" customFormat="1" ht="61.5" x14ac:dyDescent="0.85">
      <c r="A82" s="20">
        <v>1</v>
      </c>
      <c r="B82" s="60">
        <f>SUBTOTAL(103,$A$65:A82)</f>
        <v>11</v>
      </c>
      <c r="C82" s="24" t="s">
        <v>1031</v>
      </c>
      <c r="D82" s="62" t="s">
        <v>1037</v>
      </c>
      <c r="E82" s="63">
        <v>1.008</v>
      </c>
      <c r="F82" s="31">
        <f>G82+H82+I82+J82+K82+L82+N82+P82+R82+T82+V82+W82+X82+Y82+Z82+AA82+AB82+AC82+AD82+AE82+AF82+AG82</f>
        <v>2476600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69">
        <v>0</v>
      </c>
      <c r="N82" s="31">
        <v>0</v>
      </c>
      <c r="O82" s="31">
        <v>352.5</v>
      </c>
      <c r="P82" s="31">
        <v>2440000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61">
        <f>ROUND(P82*1.5%,2)</f>
        <v>36600</v>
      </c>
      <c r="AF82" s="61">
        <v>0</v>
      </c>
      <c r="AG82" s="31">
        <v>0</v>
      </c>
      <c r="AH82" s="34" t="s">
        <v>268</v>
      </c>
      <c r="AI82" s="34">
        <v>2021</v>
      </c>
      <c r="AJ82" s="34">
        <v>2021</v>
      </c>
    </row>
    <row r="83" spans="1:40" s="20" customFormat="1" ht="61.5" x14ac:dyDescent="0.85">
      <c r="B83" s="265" t="s">
        <v>834</v>
      </c>
      <c r="C83" s="24"/>
      <c r="D83" s="62" t="s">
        <v>890</v>
      </c>
      <c r="E83" s="63">
        <f>E84</f>
        <v>1.009761876417796</v>
      </c>
      <c r="F83" s="31">
        <f>F84</f>
        <v>3628625</v>
      </c>
      <c r="G83" s="31">
        <f t="shared" ref="G83:AG83" si="28">G84</f>
        <v>0</v>
      </c>
      <c r="H83" s="31">
        <f t="shared" si="28"/>
        <v>0</v>
      </c>
      <c r="I83" s="31">
        <f t="shared" si="28"/>
        <v>0</v>
      </c>
      <c r="J83" s="31">
        <f t="shared" si="28"/>
        <v>0</v>
      </c>
      <c r="K83" s="31">
        <f t="shared" si="28"/>
        <v>0</v>
      </c>
      <c r="L83" s="31">
        <f t="shared" si="28"/>
        <v>0</v>
      </c>
      <c r="M83" s="69">
        <f t="shared" si="28"/>
        <v>0</v>
      </c>
      <c r="N83" s="31">
        <f t="shared" si="28"/>
        <v>0</v>
      </c>
      <c r="O83" s="31">
        <f t="shared" si="28"/>
        <v>715</v>
      </c>
      <c r="P83" s="31">
        <f t="shared" si="28"/>
        <v>3575000</v>
      </c>
      <c r="Q83" s="31">
        <f t="shared" si="28"/>
        <v>0</v>
      </c>
      <c r="R83" s="31">
        <f t="shared" si="28"/>
        <v>0</v>
      </c>
      <c r="S83" s="31">
        <f t="shared" si="28"/>
        <v>0</v>
      </c>
      <c r="T83" s="31">
        <f t="shared" si="28"/>
        <v>0</v>
      </c>
      <c r="U83" s="31">
        <f t="shared" si="28"/>
        <v>0</v>
      </c>
      <c r="V83" s="31">
        <f t="shared" si="28"/>
        <v>0</v>
      </c>
      <c r="W83" s="31">
        <f t="shared" si="28"/>
        <v>0</v>
      </c>
      <c r="X83" s="31">
        <f t="shared" si="28"/>
        <v>0</v>
      </c>
      <c r="Y83" s="31">
        <f t="shared" si="28"/>
        <v>0</v>
      </c>
      <c r="Z83" s="31">
        <f t="shared" si="28"/>
        <v>0</v>
      </c>
      <c r="AA83" s="31">
        <f t="shared" si="28"/>
        <v>0</v>
      </c>
      <c r="AB83" s="31">
        <f t="shared" si="28"/>
        <v>0</v>
      </c>
      <c r="AC83" s="31">
        <f t="shared" si="28"/>
        <v>0</v>
      </c>
      <c r="AD83" s="31">
        <f t="shared" si="28"/>
        <v>0</v>
      </c>
      <c r="AE83" s="31">
        <f t="shared" si="28"/>
        <v>53625</v>
      </c>
      <c r="AF83" s="31">
        <f t="shared" si="28"/>
        <v>0</v>
      </c>
      <c r="AG83" s="31">
        <f t="shared" si="28"/>
        <v>0</v>
      </c>
      <c r="AH83" s="34" t="s">
        <v>890</v>
      </c>
      <c r="AI83" s="34" t="s">
        <v>890</v>
      </c>
      <c r="AJ83" s="34" t="s">
        <v>890</v>
      </c>
    </row>
    <row r="84" spans="1:40" s="20" customFormat="1" ht="61.5" x14ac:dyDescent="0.85">
      <c r="A84" s="20">
        <v>1</v>
      </c>
      <c r="B84" s="60">
        <f>SUBTOTAL(103,$A$65:A84)</f>
        <v>12</v>
      </c>
      <c r="C84" s="24" t="s">
        <v>1401</v>
      </c>
      <c r="D84" s="62" t="s">
        <v>1041</v>
      </c>
      <c r="E84" s="63">
        <v>1.009761876417796</v>
      </c>
      <c r="F84" s="31">
        <f>G84+H84+I84+J84+K84+L84+N84+P84+R84+T84+V84+W84+X84+Y84+Z84+AA84+AB84+AC84+AD84+AE84+AF84+AG84</f>
        <v>3628625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>
        <v>0</v>
      </c>
      <c r="M84" s="69">
        <v>0</v>
      </c>
      <c r="N84" s="31">
        <v>0</v>
      </c>
      <c r="O84" s="31">
        <v>715</v>
      </c>
      <c r="P84" s="31">
        <v>3575000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f>ROUND(P84*1.5%,2)</f>
        <v>53625</v>
      </c>
      <c r="AF84" s="61">
        <v>0</v>
      </c>
      <c r="AG84" s="31">
        <v>0</v>
      </c>
      <c r="AH84" s="34" t="s">
        <v>268</v>
      </c>
      <c r="AI84" s="34">
        <v>2021</v>
      </c>
      <c r="AJ84" s="34">
        <v>2021</v>
      </c>
    </row>
    <row r="85" spans="1:40" ht="61.5" x14ac:dyDescent="0.25">
      <c r="B85" s="411" t="s">
        <v>1403</v>
      </c>
      <c r="C85" s="411"/>
      <c r="D85" s="411"/>
      <c r="E85" s="411"/>
      <c r="F85" s="411"/>
      <c r="G85" s="411"/>
      <c r="H85" s="411"/>
      <c r="I85" s="411"/>
      <c r="J85" s="411"/>
      <c r="K85" s="411"/>
      <c r="L85" s="411"/>
      <c r="M85" s="411"/>
      <c r="N85" s="411"/>
      <c r="O85" s="411"/>
      <c r="P85" s="411"/>
      <c r="Q85" s="411"/>
      <c r="R85" s="411"/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</row>
    <row r="86" spans="1:40" ht="61.5" x14ac:dyDescent="0.85">
      <c r="B86" s="418" t="s">
        <v>1048</v>
      </c>
      <c r="C86" s="419"/>
      <c r="D86" s="269" t="s">
        <v>890</v>
      </c>
      <c r="E86" s="63">
        <v>0.89549999999999996</v>
      </c>
      <c r="F86" s="31">
        <f t="shared" ref="F86:AG86" si="29">F87+F96+F100+F117+F125+F130+F157+F173+F180+F183+F186+F188+F194+F196+F199+F202+F206+F208+F210+F212+F217+F219+F221+F223+F225+F227+F229+F232+F234+F238+F236</f>
        <v>43945688.250000022</v>
      </c>
      <c r="G86" s="31">
        <f t="shared" si="29"/>
        <v>0</v>
      </c>
      <c r="H86" s="31">
        <f t="shared" si="29"/>
        <v>0</v>
      </c>
      <c r="I86" s="31">
        <f t="shared" si="29"/>
        <v>204413.62</v>
      </c>
      <c r="J86" s="31">
        <f t="shared" si="29"/>
        <v>0</v>
      </c>
      <c r="K86" s="31">
        <f t="shared" si="29"/>
        <v>262873</v>
      </c>
      <c r="L86" s="31">
        <f t="shared" si="29"/>
        <v>0</v>
      </c>
      <c r="M86" s="31">
        <f t="shared" si="29"/>
        <v>0</v>
      </c>
      <c r="N86" s="31">
        <f t="shared" si="29"/>
        <v>0</v>
      </c>
      <c r="O86" s="31">
        <f t="shared" si="29"/>
        <v>87387.11</v>
      </c>
      <c r="P86" s="31">
        <f t="shared" si="29"/>
        <v>40658376.830000013</v>
      </c>
      <c r="Q86" s="31">
        <f t="shared" si="29"/>
        <v>0</v>
      </c>
      <c r="R86" s="31">
        <f t="shared" si="29"/>
        <v>0</v>
      </c>
      <c r="S86" s="31">
        <f t="shared" si="29"/>
        <v>7478.24</v>
      </c>
      <c r="T86" s="31">
        <f t="shared" si="29"/>
        <v>1670780.8299999998</v>
      </c>
      <c r="U86" s="31">
        <f t="shared" si="29"/>
        <v>143.80000000000001</v>
      </c>
      <c r="V86" s="31">
        <f t="shared" si="29"/>
        <v>109992</v>
      </c>
      <c r="W86" s="31">
        <f t="shared" si="29"/>
        <v>0</v>
      </c>
      <c r="X86" s="31">
        <f t="shared" si="29"/>
        <v>426031.78</v>
      </c>
      <c r="Y86" s="31">
        <f t="shared" si="29"/>
        <v>0</v>
      </c>
      <c r="Z86" s="31">
        <f t="shared" si="29"/>
        <v>0</v>
      </c>
      <c r="AA86" s="31">
        <f t="shared" si="29"/>
        <v>0</v>
      </c>
      <c r="AB86" s="31">
        <f t="shared" si="29"/>
        <v>0</v>
      </c>
      <c r="AC86" s="31">
        <f t="shared" si="29"/>
        <v>0</v>
      </c>
      <c r="AD86" s="31">
        <f t="shared" si="29"/>
        <v>0</v>
      </c>
      <c r="AE86" s="31">
        <f t="shared" si="29"/>
        <v>613220.18999999994</v>
      </c>
      <c r="AF86" s="31">
        <f t="shared" si="29"/>
        <v>0</v>
      </c>
      <c r="AG86" s="31">
        <f t="shared" si="29"/>
        <v>0</v>
      </c>
      <c r="AH86" s="175" t="s">
        <v>890</v>
      </c>
      <c r="AI86" s="175" t="s">
        <v>890</v>
      </c>
      <c r="AJ86" s="175" t="s">
        <v>890</v>
      </c>
    </row>
    <row r="87" spans="1:40" ht="62.25" x14ac:dyDescent="0.9">
      <c r="B87" s="270" t="s">
        <v>815</v>
      </c>
      <c r="C87" s="271"/>
      <c r="D87" s="272" t="s">
        <v>890</v>
      </c>
      <c r="E87" s="63">
        <f>AVERAGE(E88:E93)</f>
        <v>0.82381693240432963</v>
      </c>
      <c r="F87" s="31">
        <f>SUM(F88:F93)</f>
        <v>3100133.77</v>
      </c>
      <c r="G87" s="31">
        <f t="shared" ref="G87:AG87" si="30">SUM(G88:G93)</f>
        <v>0</v>
      </c>
      <c r="H87" s="31">
        <f t="shared" si="30"/>
        <v>0</v>
      </c>
      <c r="I87" s="31">
        <f t="shared" si="30"/>
        <v>0</v>
      </c>
      <c r="J87" s="31">
        <f t="shared" si="30"/>
        <v>0</v>
      </c>
      <c r="K87" s="31">
        <f t="shared" si="30"/>
        <v>0</v>
      </c>
      <c r="L87" s="31">
        <f t="shared" si="30"/>
        <v>0</v>
      </c>
      <c r="M87" s="67">
        <f t="shared" si="30"/>
        <v>0</v>
      </c>
      <c r="N87" s="31">
        <f t="shared" si="30"/>
        <v>0</v>
      </c>
      <c r="O87" s="31">
        <f t="shared" si="30"/>
        <v>4824.3</v>
      </c>
      <c r="P87" s="31">
        <f t="shared" si="30"/>
        <v>2698471.5</v>
      </c>
      <c r="Q87" s="31">
        <f t="shared" si="30"/>
        <v>0</v>
      </c>
      <c r="R87" s="31">
        <f t="shared" si="30"/>
        <v>0</v>
      </c>
      <c r="S87" s="31">
        <f t="shared" si="30"/>
        <v>0</v>
      </c>
      <c r="T87" s="31">
        <f t="shared" si="30"/>
        <v>0</v>
      </c>
      <c r="U87" s="31">
        <f t="shared" si="30"/>
        <v>0</v>
      </c>
      <c r="V87" s="31">
        <f t="shared" si="30"/>
        <v>0</v>
      </c>
      <c r="W87" s="31">
        <f t="shared" si="30"/>
        <v>0</v>
      </c>
      <c r="X87" s="31">
        <f t="shared" si="30"/>
        <v>356033.78</v>
      </c>
      <c r="Y87" s="31">
        <f t="shared" si="30"/>
        <v>0</v>
      </c>
      <c r="Z87" s="31">
        <f t="shared" si="30"/>
        <v>0</v>
      </c>
      <c r="AA87" s="31">
        <f t="shared" si="30"/>
        <v>0</v>
      </c>
      <c r="AB87" s="31">
        <f t="shared" si="30"/>
        <v>0</v>
      </c>
      <c r="AC87" s="31">
        <f t="shared" si="30"/>
        <v>0</v>
      </c>
      <c r="AD87" s="31">
        <f t="shared" si="30"/>
        <v>0</v>
      </c>
      <c r="AE87" s="31">
        <f t="shared" si="30"/>
        <v>45628.490000000005</v>
      </c>
      <c r="AF87" s="31">
        <f t="shared" si="30"/>
        <v>0</v>
      </c>
      <c r="AG87" s="31">
        <f t="shared" si="30"/>
        <v>0</v>
      </c>
      <c r="AH87" s="175" t="s">
        <v>890</v>
      </c>
      <c r="AI87" s="175" t="s">
        <v>890</v>
      </c>
      <c r="AJ87" s="175" t="s">
        <v>890</v>
      </c>
    </row>
    <row r="88" spans="1:40" ht="62.25" x14ac:dyDescent="0.9">
      <c r="A88" s="6">
        <v>1</v>
      </c>
      <c r="B88" s="60">
        <f>SUBTOTAL(103,$A$88:A88)</f>
        <v>1</v>
      </c>
      <c r="C88" s="174" t="s">
        <v>619</v>
      </c>
      <c r="D88" s="65" t="s">
        <v>1880</v>
      </c>
      <c r="E88" s="63">
        <v>0.68103653271030484</v>
      </c>
      <c r="F88" s="31">
        <f t="shared" ref="F88:F181" si="31">G88+H88+I88+J88+K88+L88+N88+P88+R88+T88+V88+W88+X88+Y88+Z88+AA88+AB88+AC88+AD88+AE88+AF88+AG88</f>
        <v>546562.15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  <c r="L88" s="31">
        <v>0</v>
      </c>
      <c r="M88" s="67">
        <v>0</v>
      </c>
      <c r="N88" s="31">
        <v>0</v>
      </c>
      <c r="O88" s="31">
        <v>851.8</v>
      </c>
      <c r="P88" s="31">
        <v>538524.67000000004</v>
      </c>
      <c r="Q88" s="31">
        <v>0</v>
      </c>
      <c r="R88" s="31">
        <v>0</v>
      </c>
      <c r="S88" s="31">
        <v>0</v>
      </c>
      <c r="T88" s="176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8037.48</v>
      </c>
      <c r="AF88" s="31">
        <v>0</v>
      </c>
      <c r="AG88" s="31">
        <v>0</v>
      </c>
      <c r="AH88" s="175" t="s">
        <v>268</v>
      </c>
      <c r="AI88" s="175">
        <v>2020</v>
      </c>
      <c r="AJ88" s="175">
        <v>2020</v>
      </c>
      <c r="AK88" s="58"/>
      <c r="AL88" s="58"/>
      <c r="AM88" s="58"/>
      <c r="AN88" s="58"/>
    </row>
    <row r="89" spans="1:40" ht="62.25" x14ac:dyDescent="0.9">
      <c r="A89" s="6">
        <v>1</v>
      </c>
      <c r="B89" s="60">
        <f>SUBTOTAL(103,$A$88:A89)</f>
        <v>2</v>
      </c>
      <c r="C89" s="174" t="s">
        <v>1407</v>
      </c>
      <c r="D89" s="65" t="s">
        <v>1880</v>
      </c>
      <c r="E89" s="63">
        <v>0.76770000000000005</v>
      </c>
      <c r="F89" s="31">
        <f t="shared" si="31"/>
        <v>491248.27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67">
        <v>0</v>
      </c>
      <c r="N89" s="31">
        <v>0</v>
      </c>
      <c r="O89" s="31">
        <v>901.5</v>
      </c>
      <c r="P89" s="31">
        <v>484024.21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7224.06</v>
      </c>
      <c r="AF89" s="31">
        <v>0</v>
      </c>
      <c r="AG89" s="31">
        <v>0</v>
      </c>
      <c r="AH89" s="175" t="s">
        <v>268</v>
      </c>
      <c r="AI89" s="175">
        <v>2020</v>
      </c>
      <c r="AJ89" s="175">
        <v>2020</v>
      </c>
      <c r="AK89" s="58"/>
      <c r="AL89" s="58"/>
      <c r="AM89" s="58"/>
      <c r="AN89" s="58"/>
    </row>
    <row r="90" spans="1:40" ht="62.25" x14ac:dyDescent="0.9">
      <c r="A90" s="6">
        <v>1</v>
      </c>
      <c r="B90" s="60">
        <f>SUBTOTAL(103,$A$88:A90)</f>
        <v>3</v>
      </c>
      <c r="C90" s="174" t="s">
        <v>1408</v>
      </c>
      <c r="D90" s="65" t="s">
        <v>1880</v>
      </c>
      <c r="E90" s="63">
        <v>0.87790000000000001</v>
      </c>
      <c r="F90" s="31">
        <f t="shared" si="31"/>
        <v>1439722.57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67">
        <v>0</v>
      </c>
      <c r="N90" s="31">
        <v>0</v>
      </c>
      <c r="O90" s="31">
        <v>811</v>
      </c>
      <c r="P90" s="31">
        <v>1418550.7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21171.87</v>
      </c>
      <c r="AF90" s="31">
        <v>0</v>
      </c>
      <c r="AG90" s="31">
        <v>0</v>
      </c>
      <c r="AH90" s="175" t="s">
        <v>268</v>
      </c>
      <c r="AI90" s="175">
        <v>2020</v>
      </c>
      <c r="AJ90" s="175">
        <v>2020</v>
      </c>
      <c r="AK90" s="58"/>
      <c r="AL90" s="58"/>
      <c r="AM90" s="58"/>
      <c r="AN90" s="58"/>
    </row>
    <row r="91" spans="1:40" ht="62.25" x14ac:dyDescent="0.9">
      <c r="A91" s="6">
        <v>1</v>
      </c>
      <c r="B91" s="60">
        <f>SUBTOTAL(103,$A$88:A91)</f>
        <v>4</v>
      </c>
      <c r="C91" s="174" t="s">
        <v>1409</v>
      </c>
      <c r="D91" s="79" t="s">
        <v>1880</v>
      </c>
      <c r="E91" s="63">
        <v>0.74686506171567224</v>
      </c>
      <c r="F91" s="31">
        <f t="shared" si="31"/>
        <v>361374.29000000004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L91" s="31">
        <v>0</v>
      </c>
      <c r="M91" s="67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176">
        <v>0</v>
      </c>
      <c r="U91" s="31">
        <v>0</v>
      </c>
      <c r="V91" s="31">
        <v>0</v>
      </c>
      <c r="W91" s="31">
        <v>0</v>
      </c>
      <c r="X91" s="38">
        <v>356033.78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f>ROUND(X91*1.5%,2)</f>
        <v>5340.51</v>
      </c>
      <c r="AF91" s="31">
        <v>0</v>
      </c>
      <c r="AG91" s="31">
        <v>0</v>
      </c>
      <c r="AH91" s="175" t="s">
        <v>268</v>
      </c>
      <c r="AI91" s="34">
        <v>2021</v>
      </c>
      <c r="AJ91" s="34">
        <v>2021</v>
      </c>
      <c r="AK91" s="58"/>
      <c r="AL91" s="58"/>
      <c r="AM91" s="58"/>
      <c r="AN91" s="58"/>
    </row>
    <row r="92" spans="1:40" ht="62.25" x14ac:dyDescent="0.9">
      <c r="A92" s="6">
        <v>1</v>
      </c>
      <c r="B92" s="60">
        <f>SUBTOTAL(103,$A$88:A92)</f>
        <v>5</v>
      </c>
      <c r="C92" s="174" t="s">
        <v>1410</v>
      </c>
      <c r="D92" s="65" t="s">
        <v>1881</v>
      </c>
      <c r="E92" s="63">
        <v>0.94499999999999995</v>
      </c>
      <c r="F92" s="31">
        <f t="shared" si="31"/>
        <v>179920.82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67">
        <v>0</v>
      </c>
      <c r="N92" s="31">
        <v>0</v>
      </c>
      <c r="O92" s="31">
        <v>1160</v>
      </c>
      <c r="P92" s="31">
        <v>177261.89</v>
      </c>
      <c r="Q92" s="31">
        <v>0</v>
      </c>
      <c r="R92" s="31">
        <v>0</v>
      </c>
      <c r="S92" s="31">
        <v>0</v>
      </c>
      <c r="T92" s="176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f>ROUND(P92*1.5%,2)</f>
        <v>2658.93</v>
      </c>
      <c r="AF92" s="31">
        <v>0</v>
      </c>
      <c r="AG92" s="31">
        <v>0</v>
      </c>
      <c r="AH92" s="175" t="s">
        <v>268</v>
      </c>
      <c r="AI92" s="175">
        <v>2020</v>
      </c>
      <c r="AJ92" s="175">
        <v>2020</v>
      </c>
      <c r="AK92" s="58"/>
      <c r="AL92" s="58"/>
      <c r="AM92" s="58"/>
      <c r="AN92" s="58"/>
    </row>
    <row r="93" spans="1:40" ht="62.25" x14ac:dyDescent="0.9">
      <c r="A93" s="6">
        <v>1</v>
      </c>
      <c r="B93" s="60">
        <f>SUBTOTAL(103,$A$88:A93)</f>
        <v>6</v>
      </c>
      <c r="C93" s="174" t="s">
        <v>1411</v>
      </c>
      <c r="D93" s="65" t="s">
        <v>1881</v>
      </c>
      <c r="E93" s="63">
        <v>0.9244</v>
      </c>
      <c r="F93" s="31">
        <f t="shared" si="31"/>
        <v>81305.67</v>
      </c>
      <c r="G93" s="31">
        <v>0</v>
      </c>
      <c r="H93" s="31">
        <v>0</v>
      </c>
      <c r="I93" s="31">
        <v>0</v>
      </c>
      <c r="J93" s="31">
        <v>0</v>
      </c>
      <c r="K93" s="31">
        <v>0</v>
      </c>
      <c r="L93" s="31">
        <v>0</v>
      </c>
      <c r="M93" s="67">
        <v>0</v>
      </c>
      <c r="N93" s="31">
        <v>0</v>
      </c>
      <c r="O93" s="31">
        <v>1100</v>
      </c>
      <c r="P93" s="31">
        <v>80110.03</v>
      </c>
      <c r="Q93" s="31">
        <v>0</v>
      </c>
      <c r="R93" s="31">
        <v>0</v>
      </c>
      <c r="S93" s="31">
        <v>0</v>
      </c>
      <c r="T93" s="176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1195.6400000000001</v>
      </c>
      <c r="AF93" s="31">
        <v>0</v>
      </c>
      <c r="AG93" s="31">
        <v>0</v>
      </c>
      <c r="AH93" s="175" t="s">
        <v>268</v>
      </c>
      <c r="AI93" s="175">
        <v>2020</v>
      </c>
      <c r="AJ93" s="175">
        <v>2020</v>
      </c>
      <c r="AK93" s="58"/>
      <c r="AL93" s="58"/>
      <c r="AM93" s="58"/>
      <c r="AN93" s="58"/>
    </row>
    <row r="94" spans="1:40" ht="62.25" x14ac:dyDescent="0.9">
      <c r="B94" s="270" t="s">
        <v>816</v>
      </c>
      <c r="C94" s="271"/>
      <c r="D94" s="272" t="s">
        <v>890</v>
      </c>
      <c r="E94" s="63">
        <f t="shared" ref="E94:N94" si="32">E95</f>
        <v>0.88649999999999995</v>
      </c>
      <c r="F94" s="31">
        <f t="shared" si="32"/>
        <v>418959.01</v>
      </c>
      <c r="G94" s="31">
        <f t="shared" si="32"/>
        <v>0</v>
      </c>
      <c r="H94" s="31">
        <f t="shared" si="32"/>
        <v>0</v>
      </c>
      <c r="I94" s="31">
        <f t="shared" si="32"/>
        <v>0</v>
      </c>
      <c r="J94" s="31">
        <f t="shared" si="32"/>
        <v>0</v>
      </c>
      <c r="K94" s="31">
        <f t="shared" si="32"/>
        <v>0</v>
      </c>
      <c r="L94" s="31">
        <f t="shared" si="32"/>
        <v>0</v>
      </c>
      <c r="M94" s="67">
        <f t="shared" si="32"/>
        <v>0</v>
      </c>
      <c r="N94" s="31">
        <f t="shared" si="32"/>
        <v>0</v>
      </c>
      <c r="O94" s="31">
        <f>O95</f>
        <v>819.7</v>
      </c>
      <c r="P94" s="31">
        <f t="shared" ref="P94:AG94" si="33">P95</f>
        <v>412767.5</v>
      </c>
      <c r="Q94" s="31">
        <f t="shared" si="33"/>
        <v>0</v>
      </c>
      <c r="R94" s="31">
        <f t="shared" si="33"/>
        <v>0</v>
      </c>
      <c r="S94" s="31">
        <f t="shared" si="33"/>
        <v>0</v>
      </c>
      <c r="T94" s="31">
        <f t="shared" si="33"/>
        <v>0</v>
      </c>
      <c r="U94" s="31">
        <f t="shared" si="33"/>
        <v>0</v>
      </c>
      <c r="V94" s="31">
        <f t="shared" si="33"/>
        <v>0</v>
      </c>
      <c r="W94" s="31">
        <f t="shared" si="33"/>
        <v>0</v>
      </c>
      <c r="X94" s="31">
        <f t="shared" si="33"/>
        <v>0</v>
      </c>
      <c r="Y94" s="31">
        <f t="shared" si="33"/>
        <v>0</v>
      </c>
      <c r="Z94" s="31">
        <f t="shared" si="33"/>
        <v>0</v>
      </c>
      <c r="AA94" s="31">
        <f t="shared" si="33"/>
        <v>0</v>
      </c>
      <c r="AB94" s="31">
        <f t="shared" si="33"/>
        <v>0</v>
      </c>
      <c r="AC94" s="31">
        <f t="shared" si="33"/>
        <v>0</v>
      </c>
      <c r="AD94" s="31">
        <f t="shared" si="33"/>
        <v>0</v>
      </c>
      <c r="AE94" s="31">
        <f t="shared" si="33"/>
        <v>6191.51</v>
      </c>
      <c r="AF94" s="31">
        <f t="shared" si="33"/>
        <v>0</v>
      </c>
      <c r="AG94" s="31">
        <f t="shared" si="33"/>
        <v>0</v>
      </c>
      <c r="AH94" s="175" t="s">
        <v>890</v>
      </c>
      <c r="AI94" s="175" t="s">
        <v>890</v>
      </c>
      <c r="AJ94" s="175" t="s">
        <v>890</v>
      </c>
    </row>
    <row r="95" spans="1:40" ht="62.25" x14ac:dyDescent="0.9">
      <c r="A95" s="6">
        <v>1</v>
      </c>
      <c r="B95" s="60">
        <f>SUBTOTAL(103,$A$88:A95)</f>
        <v>7</v>
      </c>
      <c r="C95" s="174" t="s">
        <v>1927</v>
      </c>
      <c r="D95" s="65">
        <v>2016</v>
      </c>
      <c r="E95" s="63">
        <v>0.88649999999999995</v>
      </c>
      <c r="F95" s="31">
        <f>G95+H95+I95+J95+K95+L95+N95+P95+R95+T95+V95+W95+X95+Y95+Z95+AA95+AB95+AC95+AD95+AE95+AF95+AG95</f>
        <v>418959.01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0</v>
      </c>
      <c r="M95" s="67">
        <v>0</v>
      </c>
      <c r="N95" s="31">
        <v>0</v>
      </c>
      <c r="O95" s="31">
        <v>819.7</v>
      </c>
      <c r="P95" s="31">
        <v>412767.5</v>
      </c>
      <c r="Q95" s="31">
        <v>0</v>
      </c>
      <c r="R95" s="31">
        <v>0</v>
      </c>
      <c r="S95" s="31">
        <v>0</v>
      </c>
      <c r="T95" s="176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f>ROUND(P95*1.5%,2)</f>
        <v>6191.51</v>
      </c>
      <c r="AF95" s="31">
        <v>0</v>
      </c>
      <c r="AG95" s="31">
        <v>0</v>
      </c>
      <c r="AH95" s="175" t="s">
        <v>268</v>
      </c>
      <c r="AI95" s="175">
        <v>2021</v>
      </c>
      <c r="AJ95" s="175">
        <v>2021</v>
      </c>
      <c r="AK95" s="58"/>
      <c r="AL95" s="58"/>
      <c r="AM95" s="58"/>
      <c r="AN95" s="58"/>
    </row>
    <row r="96" spans="1:40" ht="62.25" x14ac:dyDescent="0.9">
      <c r="B96" s="270" t="s">
        <v>819</v>
      </c>
      <c r="C96" s="271"/>
      <c r="D96" s="272" t="s">
        <v>890</v>
      </c>
      <c r="E96" s="63">
        <f>AVERAGE(E97:E99)</f>
        <v>0.94748668819388027</v>
      </c>
      <c r="F96" s="31">
        <f>F97+F98+F99</f>
        <v>34418.18</v>
      </c>
      <c r="G96" s="31">
        <f t="shared" ref="G96:AG96" si="34">G97+G98+G99</f>
        <v>0</v>
      </c>
      <c r="H96" s="31">
        <f t="shared" si="34"/>
        <v>0</v>
      </c>
      <c r="I96" s="31">
        <f t="shared" si="34"/>
        <v>0</v>
      </c>
      <c r="J96" s="31">
        <f t="shared" si="34"/>
        <v>0</v>
      </c>
      <c r="K96" s="31">
        <f t="shared" si="34"/>
        <v>0</v>
      </c>
      <c r="L96" s="31">
        <f t="shared" si="34"/>
        <v>0</v>
      </c>
      <c r="M96" s="31">
        <f t="shared" si="34"/>
        <v>0</v>
      </c>
      <c r="N96" s="31">
        <f t="shared" si="34"/>
        <v>0</v>
      </c>
      <c r="O96" s="31">
        <f t="shared" si="34"/>
        <v>2012</v>
      </c>
      <c r="P96" s="31">
        <f t="shared" si="34"/>
        <v>34004.050000000003</v>
      </c>
      <c r="Q96" s="31">
        <f t="shared" si="34"/>
        <v>0</v>
      </c>
      <c r="R96" s="31">
        <f t="shared" si="34"/>
        <v>0</v>
      </c>
      <c r="S96" s="31">
        <f t="shared" si="34"/>
        <v>0</v>
      </c>
      <c r="T96" s="31">
        <f t="shared" si="34"/>
        <v>0</v>
      </c>
      <c r="U96" s="31">
        <f t="shared" si="34"/>
        <v>0</v>
      </c>
      <c r="V96" s="31">
        <f t="shared" si="34"/>
        <v>0</v>
      </c>
      <c r="W96" s="31">
        <f t="shared" si="34"/>
        <v>0</v>
      </c>
      <c r="X96" s="31">
        <f t="shared" si="34"/>
        <v>0</v>
      </c>
      <c r="Y96" s="31">
        <f t="shared" si="34"/>
        <v>0</v>
      </c>
      <c r="Z96" s="31">
        <f t="shared" si="34"/>
        <v>0</v>
      </c>
      <c r="AA96" s="31">
        <f t="shared" si="34"/>
        <v>0</v>
      </c>
      <c r="AB96" s="31">
        <f t="shared" si="34"/>
        <v>0</v>
      </c>
      <c r="AC96" s="31">
        <f t="shared" si="34"/>
        <v>0</v>
      </c>
      <c r="AD96" s="31">
        <f t="shared" si="34"/>
        <v>0</v>
      </c>
      <c r="AE96" s="31">
        <f t="shared" si="34"/>
        <v>414.13</v>
      </c>
      <c r="AF96" s="31">
        <f t="shared" si="34"/>
        <v>0</v>
      </c>
      <c r="AG96" s="31">
        <f t="shared" si="34"/>
        <v>0</v>
      </c>
      <c r="AH96" s="175" t="s">
        <v>890</v>
      </c>
      <c r="AI96" s="175" t="s">
        <v>890</v>
      </c>
      <c r="AJ96" s="175" t="s">
        <v>890</v>
      </c>
      <c r="AK96" s="58"/>
      <c r="AL96" s="58"/>
      <c r="AM96" s="58"/>
      <c r="AN96" s="58"/>
    </row>
    <row r="97" spans="1:40" ht="62.25" x14ac:dyDescent="0.9">
      <c r="A97" s="6">
        <v>1</v>
      </c>
      <c r="B97" s="60">
        <f>SUBTOTAL(103,$A$88:A97)</f>
        <v>8</v>
      </c>
      <c r="C97" s="174" t="s">
        <v>1412</v>
      </c>
      <c r="D97" s="65" t="s">
        <v>1881</v>
      </c>
      <c r="E97" s="63">
        <v>0.95197013899993665</v>
      </c>
      <c r="F97" s="31">
        <f t="shared" si="31"/>
        <v>11221.62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67">
        <v>0</v>
      </c>
      <c r="N97" s="31">
        <v>0</v>
      </c>
      <c r="O97" s="31">
        <v>924</v>
      </c>
      <c r="P97" s="31">
        <v>11055.78</v>
      </c>
      <c r="Q97" s="31">
        <v>0</v>
      </c>
      <c r="R97" s="31">
        <v>0</v>
      </c>
      <c r="S97" s="31">
        <v>0</v>
      </c>
      <c r="T97" s="176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f>ROUND(P97*1.5%,2)</f>
        <v>165.84</v>
      </c>
      <c r="AF97" s="31">
        <v>0</v>
      </c>
      <c r="AG97" s="31">
        <v>0</v>
      </c>
      <c r="AH97" s="175" t="s">
        <v>268</v>
      </c>
      <c r="AI97" s="175">
        <v>2020</v>
      </c>
      <c r="AJ97" s="175">
        <v>2020</v>
      </c>
      <c r="AK97" s="58"/>
      <c r="AL97" s="58"/>
      <c r="AM97" s="58"/>
      <c r="AN97" s="58"/>
    </row>
    <row r="98" spans="1:40" ht="62.25" x14ac:dyDescent="0.9">
      <c r="A98" s="6">
        <v>1</v>
      </c>
      <c r="B98" s="60">
        <f>SUBTOTAL(103,$A$88:A98)</f>
        <v>9</v>
      </c>
      <c r="C98" s="174" t="s">
        <v>1413</v>
      </c>
      <c r="D98" s="65" t="s">
        <v>1881</v>
      </c>
      <c r="E98" s="63">
        <v>0.89759999999999995</v>
      </c>
      <c r="F98" s="31">
        <f t="shared" si="31"/>
        <v>19576.66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67">
        <v>0</v>
      </c>
      <c r="N98" s="31">
        <v>0</v>
      </c>
      <c r="O98" s="31">
        <v>746</v>
      </c>
      <c r="P98" s="31">
        <v>19381.87</v>
      </c>
      <c r="Q98" s="31">
        <v>0</v>
      </c>
      <c r="R98" s="31">
        <v>0</v>
      </c>
      <c r="S98" s="31">
        <v>0</v>
      </c>
      <c r="T98" s="176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194.79</v>
      </c>
      <c r="AF98" s="31">
        <v>0</v>
      </c>
      <c r="AG98" s="31">
        <v>0</v>
      </c>
      <c r="AH98" s="175" t="s">
        <v>268</v>
      </c>
      <c r="AI98" s="175">
        <v>2020</v>
      </c>
      <c r="AJ98" s="175">
        <v>2020</v>
      </c>
      <c r="AK98" s="58"/>
      <c r="AL98" s="58"/>
      <c r="AM98" s="58"/>
      <c r="AN98" s="58"/>
    </row>
    <row r="99" spans="1:40" ht="62.25" x14ac:dyDescent="0.9">
      <c r="A99" s="6">
        <v>1</v>
      </c>
      <c r="B99" s="60">
        <f>SUBTOTAL(103,$A$88:A99)</f>
        <v>10</v>
      </c>
      <c r="C99" s="174" t="s">
        <v>1882</v>
      </c>
      <c r="D99" s="65" t="s">
        <v>1880</v>
      </c>
      <c r="E99" s="63">
        <v>0.9928899255817043</v>
      </c>
      <c r="F99" s="31">
        <f>P99+AE99</f>
        <v>3619.9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67">
        <v>0</v>
      </c>
      <c r="N99" s="31">
        <v>0</v>
      </c>
      <c r="O99" s="31">
        <v>342</v>
      </c>
      <c r="P99" s="31">
        <v>3566.4</v>
      </c>
      <c r="Q99" s="31">
        <v>0</v>
      </c>
      <c r="R99" s="31">
        <v>0</v>
      </c>
      <c r="S99" s="31">
        <v>0</v>
      </c>
      <c r="T99" s="176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1">
        <f>ROUND(P99*1.5%,2)</f>
        <v>53.5</v>
      </c>
      <c r="AF99" s="31">
        <v>0</v>
      </c>
      <c r="AG99" s="31">
        <v>0</v>
      </c>
      <c r="AH99" s="175" t="s">
        <v>268</v>
      </c>
      <c r="AI99" s="175">
        <v>2021</v>
      </c>
      <c r="AJ99" s="175">
        <v>2021</v>
      </c>
      <c r="AK99" s="58"/>
      <c r="AL99" s="58"/>
      <c r="AM99" s="58"/>
      <c r="AN99" s="58"/>
    </row>
    <row r="100" spans="1:40" ht="62.25" x14ac:dyDescent="0.9">
      <c r="B100" s="270" t="s">
        <v>1044</v>
      </c>
      <c r="C100" s="271"/>
      <c r="D100" s="272" t="s">
        <v>890</v>
      </c>
      <c r="E100" s="63">
        <f>AVERAGE(E101:E116)</f>
        <v>0.95278854188545492</v>
      </c>
      <c r="F100" s="31">
        <f>SUM(F101:F116)</f>
        <v>1921865.3299999994</v>
      </c>
      <c r="G100" s="31">
        <f t="shared" ref="G100:AG100" si="35">SUM(G101:G116)</f>
        <v>0</v>
      </c>
      <c r="H100" s="31">
        <f t="shared" si="35"/>
        <v>0</v>
      </c>
      <c r="I100" s="31">
        <f t="shared" si="35"/>
        <v>0</v>
      </c>
      <c r="J100" s="31">
        <f t="shared" si="35"/>
        <v>0</v>
      </c>
      <c r="K100" s="31">
        <f t="shared" si="35"/>
        <v>0</v>
      </c>
      <c r="L100" s="31">
        <f t="shared" si="35"/>
        <v>0</v>
      </c>
      <c r="M100" s="31">
        <f t="shared" si="35"/>
        <v>0</v>
      </c>
      <c r="N100" s="31">
        <f t="shared" si="35"/>
        <v>0</v>
      </c>
      <c r="O100" s="31">
        <f t="shared" si="35"/>
        <v>10624.560000000001</v>
      </c>
      <c r="P100" s="31">
        <f t="shared" si="35"/>
        <v>1357309.74</v>
      </c>
      <c r="Q100" s="31">
        <f t="shared" si="35"/>
        <v>0</v>
      </c>
      <c r="R100" s="31">
        <f t="shared" si="35"/>
        <v>0</v>
      </c>
      <c r="S100" s="31">
        <f t="shared" si="35"/>
        <v>853.2</v>
      </c>
      <c r="T100" s="31">
        <f t="shared" si="35"/>
        <v>427011.58</v>
      </c>
      <c r="U100" s="31">
        <f t="shared" si="35"/>
        <v>143.80000000000001</v>
      </c>
      <c r="V100" s="31">
        <f t="shared" si="35"/>
        <v>109992</v>
      </c>
      <c r="W100" s="31">
        <f t="shared" si="35"/>
        <v>0</v>
      </c>
      <c r="X100" s="31">
        <f t="shared" si="35"/>
        <v>0</v>
      </c>
      <c r="Y100" s="31">
        <f t="shared" si="35"/>
        <v>0</v>
      </c>
      <c r="Z100" s="31">
        <f t="shared" si="35"/>
        <v>0</v>
      </c>
      <c r="AA100" s="31">
        <f t="shared" si="35"/>
        <v>0</v>
      </c>
      <c r="AB100" s="31">
        <f t="shared" si="35"/>
        <v>0</v>
      </c>
      <c r="AC100" s="31">
        <f t="shared" si="35"/>
        <v>0</v>
      </c>
      <c r="AD100" s="31">
        <f t="shared" si="35"/>
        <v>0</v>
      </c>
      <c r="AE100" s="31">
        <f t="shared" si="35"/>
        <v>27552.01</v>
      </c>
      <c r="AF100" s="31">
        <f t="shared" si="35"/>
        <v>0</v>
      </c>
      <c r="AG100" s="31">
        <f t="shared" si="35"/>
        <v>0</v>
      </c>
      <c r="AH100" s="175" t="s">
        <v>890</v>
      </c>
      <c r="AI100" s="175" t="s">
        <v>890</v>
      </c>
      <c r="AJ100" s="175" t="s">
        <v>890</v>
      </c>
      <c r="AK100" s="58"/>
      <c r="AL100" s="58"/>
      <c r="AM100" s="58"/>
      <c r="AN100" s="58"/>
    </row>
    <row r="101" spans="1:40" ht="62.25" x14ac:dyDescent="0.9">
      <c r="A101" s="6">
        <v>1</v>
      </c>
      <c r="B101" s="60">
        <f>SUBTOTAL(103,$A$88:A101)</f>
        <v>11</v>
      </c>
      <c r="C101" s="174" t="s">
        <v>1414</v>
      </c>
      <c r="D101" s="65" t="s">
        <v>1881</v>
      </c>
      <c r="E101" s="63">
        <v>0.97330000000000005</v>
      </c>
      <c r="F101" s="31">
        <f t="shared" si="31"/>
        <v>9167.9599999999991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67">
        <v>0</v>
      </c>
      <c r="N101" s="31">
        <v>0</v>
      </c>
      <c r="O101" s="31">
        <v>1120</v>
      </c>
      <c r="P101" s="31">
        <v>9032.4699999999993</v>
      </c>
      <c r="Q101" s="31">
        <v>0</v>
      </c>
      <c r="R101" s="31">
        <v>0</v>
      </c>
      <c r="S101" s="31">
        <v>0</v>
      </c>
      <c r="T101" s="176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1">
        <v>135.49</v>
      </c>
      <c r="AF101" s="31">
        <v>0</v>
      </c>
      <c r="AG101" s="31">
        <v>0</v>
      </c>
      <c r="AH101" s="175" t="s">
        <v>268</v>
      </c>
      <c r="AI101" s="175">
        <v>2020</v>
      </c>
      <c r="AJ101" s="175">
        <v>2020</v>
      </c>
      <c r="AK101" s="58"/>
      <c r="AL101" s="58"/>
      <c r="AM101" s="58"/>
      <c r="AN101" s="58"/>
    </row>
    <row r="102" spans="1:40" ht="62.25" x14ac:dyDescent="0.9">
      <c r="A102" s="6">
        <v>1</v>
      </c>
      <c r="B102" s="60">
        <f>SUBTOTAL(103,$A$88:A102)</f>
        <v>12</v>
      </c>
      <c r="C102" s="174" t="s">
        <v>1415</v>
      </c>
      <c r="D102" s="65" t="s">
        <v>1880</v>
      </c>
      <c r="E102" s="63">
        <v>0.86990000000000001</v>
      </c>
      <c r="F102" s="31">
        <f t="shared" si="31"/>
        <v>208365.3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67">
        <v>0</v>
      </c>
      <c r="N102" s="31">
        <v>0</v>
      </c>
      <c r="O102" s="31">
        <v>728.12</v>
      </c>
      <c r="P102" s="31">
        <v>205529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8">
        <v>2836.3</v>
      </c>
      <c r="AF102" s="31">
        <v>0</v>
      </c>
      <c r="AG102" s="31">
        <v>0</v>
      </c>
      <c r="AH102" s="175" t="s">
        <v>268</v>
      </c>
      <c r="AI102" s="175">
        <v>2020</v>
      </c>
      <c r="AJ102" s="175">
        <v>2020</v>
      </c>
      <c r="AK102" s="58"/>
      <c r="AL102" s="58"/>
      <c r="AM102" s="58"/>
      <c r="AN102" s="58"/>
    </row>
    <row r="103" spans="1:40" ht="62.25" x14ac:dyDescent="0.9">
      <c r="A103" s="6">
        <v>1</v>
      </c>
      <c r="B103" s="60">
        <f>SUBTOTAL(103,$A$88:A103)</f>
        <v>13</v>
      </c>
      <c r="C103" s="174" t="s">
        <v>1416</v>
      </c>
      <c r="D103" s="65" t="s">
        <v>1881</v>
      </c>
      <c r="E103" s="63">
        <v>0.95440000000000003</v>
      </c>
      <c r="F103" s="31">
        <f t="shared" si="31"/>
        <v>170151.06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67">
        <v>0</v>
      </c>
      <c r="N103" s="31">
        <v>0</v>
      </c>
      <c r="O103" s="31">
        <v>755</v>
      </c>
      <c r="P103" s="31">
        <v>167636.51</v>
      </c>
      <c r="Q103" s="31">
        <v>0</v>
      </c>
      <c r="R103" s="31">
        <v>0</v>
      </c>
      <c r="S103" s="31">
        <v>0</v>
      </c>
      <c r="T103" s="176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1">
        <v>2514.5500000000002</v>
      </c>
      <c r="AF103" s="31">
        <v>0</v>
      </c>
      <c r="AG103" s="31">
        <v>0</v>
      </c>
      <c r="AH103" s="175" t="s">
        <v>268</v>
      </c>
      <c r="AI103" s="175">
        <v>2020</v>
      </c>
      <c r="AJ103" s="175">
        <v>2020</v>
      </c>
      <c r="AK103" s="58"/>
      <c r="AL103" s="58"/>
      <c r="AM103" s="58"/>
      <c r="AN103" s="58"/>
    </row>
    <row r="104" spans="1:40" ht="62.25" x14ac:dyDescent="0.9">
      <c r="A104" s="6">
        <v>1</v>
      </c>
      <c r="B104" s="60">
        <f>SUBTOTAL(103,$A$88:A104)</f>
        <v>14</v>
      </c>
      <c r="C104" s="174" t="s">
        <v>1417</v>
      </c>
      <c r="D104" s="65" t="s">
        <v>1881</v>
      </c>
      <c r="E104" s="63">
        <v>1.0023</v>
      </c>
      <c r="F104" s="31">
        <f t="shared" si="31"/>
        <v>39070.28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67">
        <v>0</v>
      </c>
      <c r="N104" s="31">
        <v>0</v>
      </c>
      <c r="O104" s="31">
        <v>497</v>
      </c>
      <c r="P104" s="31">
        <v>38538.449999999997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8">
        <v>531.83000000000004</v>
      </c>
      <c r="AF104" s="31">
        <v>0</v>
      </c>
      <c r="AG104" s="31">
        <v>0</v>
      </c>
      <c r="AH104" s="175" t="s">
        <v>268</v>
      </c>
      <c r="AI104" s="175">
        <v>2020</v>
      </c>
      <c r="AJ104" s="175">
        <v>2020</v>
      </c>
      <c r="AK104" s="58"/>
      <c r="AL104" s="58"/>
      <c r="AM104" s="58"/>
      <c r="AN104" s="58"/>
    </row>
    <row r="105" spans="1:40" ht="62.25" x14ac:dyDescent="0.9">
      <c r="A105" s="6">
        <v>1</v>
      </c>
      <c r="B105" s="60">
        <f>SUBTOTAL(103,$A$88:A105)</f>
        <v>15</v>
      </c>
      <c r="C105" s="174" t="s">
        <v>1418</v>
      </c>
      <c r="D105" s="65" t="s">
        <v>1880</v>
      </c>
      <c r="E105" s="63">
        <v>0.96599999999999997</v>
      </c>
      <c r="F105" s="31">
        <f t="shared" si="31"/>
        <v>35421.97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67">
        <v>0</v>
      </c>
      <c r="N105" s="31">
        <v>0</v>
      </c>
      <c r="O105" s="31">
        <v>636</v>
      </c>
      <c r="P105" s="31">
        <v>34939.800000000003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E105" s="38">
        <v>482.17</v>
      </c>
      <c r="AF105" s="31">
        <v>0</v>
      </c>
      <c r="AG105" s="31">
        <v>0</v>
      </c>
      <c r="AH105" s="175" t="s">
        <v>268</v>
      </c>
      <c r="AI105" s="175">
        <v>2020</v>
      </c>
      <c r="AJ105" s="175">
        <v>2020</v>
      </c>
      <c r="AK105" s="58"/>
      <c r="AL105" s="58"/>
      <c r="AM105" s="58"/>
      <c r="AN105" s="58"/>
    </row>
    <row r="106" spans="1:40" ht="62.25" x14ac:dyDescent="0.9">
      <c r="A106" s="6">
        <v>1</v>
      </c>
      <c r="B106" s="60">
        <f>SUBTOTAL(103,$A$88:A106)</f>
        <v>16</v>
      </c>
      <c r="C106" s="174" t="s">
        <v>1419</v>
      </c>
      <c r="D106" s="65" t="s">
        <v>1881</v>
      </c>
      <c r="E106" s="63">
        <v>0.90890000000000004</v>
      </c>
      <c r="F106" s="31">
        <f t="shared" si="31"/>
        <v>381944.5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67">
        <v>0</v>
      </c>
      <c r="N106" s="31">
        <v>0</v>
      </c>
      <c r="O106" s="31">
        <v>645</v>
      </c>
      <c r="P106" s="31">
        <v>376300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f>ROUND(P106*1.5%,2)</f>
        <v>5644.5</v>
      </c>
      <c r="AF106" s="31">
        <v>0</v>
      </c>
      <c r="AG106" s="31">
        <v>0</v>
      </c>
      <c r="AH106" s="175" t="s">
        <v>268</v>
      </c>
      <c r="AI106" s="34">
        <v>2021</v>
      </c>
      <c r="AJ106" s="34">
        <v>2021</v>
      </c>
      <c r="AK106" s="58"/>
      <c r="AL106" s="58"/>
      <c r="AM106" s="58"/>
      <c r="AN106" s="58"/>
    </row>
    <row r="107" spans="1:40" ht="62.25" x14ac:dyDescent="0.9">
      <c r="A107" s="6">
        <v>1</v>
      </c>
      <c r="B107" s="60">
        <f>SUBTOTAL(103,$A$88:A107)</f>
        <v>17</v>
      </c>
      <c r="C107" s="174" t="s">
        <v>1420</v>
      </c>
      <c r="D107" s="65" t="s">
        <v>1880</v>
      </c>
      <c r="E107" s="63">
        <v>0.97260000000000002</v>
      </c>
      <c r="F107" s="31">
        <f t="shared" si="31"/>
        <v>7571.98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67">
        <v>0</v>
      </c>
      <c r="N107" s="31">
        <v>0</v>
      </c>
      <c r="O107" s="31">
        <v>691.81</v>
      </c>
      <c r="P107" s="31">
        <v>7460.08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f>ROUND(P107*1.5%,2)</f>
        <v>111.9</v>
      </c>
      <c r="AF107" s="31">
        <v>0</v>
      </c>
      <c r="AG107" s="31">
        <v>0</v>
      </c>
      <c r="AH107" s="175" t="s">
        <v>268</v>
      </c>
      <c r="AI107" s="175">
        <v>2020</v>
      </c>
      <c r="AJ107" s="175">
        <v>2020</v>
      </c>
      <c r="AK107" s="58"/>
      <c r="AL107" s="58"/>
      <c r="AM107" s="58"/>
      <c r="AN107" s="58"/>
    </row>
    <row r="108" spans="1:40" ht="62.25" x14ac:dyDescent="0.9">
      <c r="A108" s="6">
        <v>1</v>
      </c>
      <c r="B108" s="60">
        <f>SUBTOTAL(103,$A$88:A108)</f>
        <v>18</v>
      </c>
      <c r="C108" s="174" t="s">
        <v>1421</v>
      </c>
      <c r="D108" s="79" t="s">
        <v>1881</v>
      </c>
      <c r="E108" s="63">
        <v>0.9919</v>
      </c>
      <c r="F108" s="31">
        <f t="shared" si="31"/>
        <v>433416.75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67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853.2</v>
      </c>
      <c r="T108" s="176">
        <v>427011.58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6405.17</v>
      </c>
      <c r="AF108" s="31">
        <v>0</v>
      </c>
      <c r="AG108" s="31">
        <v>0</v>
      </c>
      <c r="AH108" s="175" t="s">
        <v>268</v>
      </c>
      <c r="AI108" s="175">
        <v>2020</v>
      </c>
      <c r="AJ108" s="175">
        <v>2020</v>
      </c>
      <c r="AK108" s="58"/>
      <c r="AL108" s="58"/>
      <c r="AM108" s="58"/>
      <c r="AN108" s="58"/>
    </row>
    <row r="109" spans="1:40" ht="62.25" x14ac:dyDescent="0.9">
      <c r="A109" s="6">
        <v>1</v>
      </c>
      <c r="B109" s="60">
        <f>SUBTOTAL(103,$A$88:A109)</f>
        <v>19</v>
      </c>
      <c r="C109" s="174" t="s">
        <v>1117</v>
      </c>
      <c r="D109" s="65" t="s">
        <v>1525</v>
      </c>
      <c r="E109" s="63">
        <v>0.96870000000000001</v>
      </c>
      <c r="F109" s="31">
        <f t="shared" si="31"/>
        <v>167825.19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67">
        <v>0</v>
      </c>
      <c r="N109" s="31">
        <v>0</v>
      </c>
      <c r="O109" s="31">
        <v>404</v>
      </c>
      <c r="P109" s="31">
        <v>165540.73000000001</v>
      </c>
      <c r="Q109" s="31">
        <v>0</v>
      </c>
      <c r="R109" s="31">
        <v>0</v>
      </c>
      <c r="S109" s="31">
        <v>0</v>
      </c>
      <c r="T109" s="176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2284.46</v>
      </c>
      <c r="AF109" s="31">
        <v>0</v>
      </c>
      <c r="AG109" s="31">
        <v>0</v>
      </c>
      <c r="AH109" s="175" t="s">
        <v>268</v>
      </c>
      <c r="AI109" s="175">
        <v>2020</v>
      </c>
      <c r="AJ109" s="175">
        <v>2020</v>
      </c>
      <c r="AK109" s="58"/>
      <c r="AL109" s="58"/>
      <c r="AM109" s="58"/>
      <c r="AN109" s="58"/>
    </row>
    <row r="110" spans="1:40" ht="62.25" x14ac:dyDescent="0.9">
      <c r="A110" s="6">
        <v>1</v>
      </c>
      <c r="B110" s="60">
        <f>SUBTOTAL(103,$A$88:A110)</f>
        <v>20</v>
      </c>
      <c r="C110" s="174" t="s">
        <v>1422</v>
      </c>
      <c r="D110" s="65" t="s">
        <v>1883</v>
      </c>
      <c r="E110" s="63">
        <v>1.0038</v>
      </c>
      <c r="F110" s="31">
        <f t="shared" si="31"/>
        <v>11003.900000000001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67">
        <v>0</v>
      </c>
      <c r="N110" s="31">
        <v>0</v>
      </c>
      <c r="O110" s="31">
        <v>1156</v>
      </c>
      <c r="P110" s="31">
        <v>10854.11</v>
      </c>
      <c r="Q110" s="31">
        <v>0</v>
      </c>
      <c r="R110" s="31">
        <v>0</v>
      </c>
      <c r="S110" s="31">
        <v>0</v>
      </c>
      <c r="T110" s="176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8">
        <v>149.79</v>
      </c>
      <c r="AF110" s="31">
        <v>0</v>
      </c>
      <c r="AG110" s="31">
        <v>0</v>
      </c>
      <c r="AH110" s="175" t="s">
        <v>268</v>
      </c>
      <c r="AI110" s="175">
        <v>2020</v>
      </c>
      <c r="AJ110" s="175">
        <v>2020</v>
      </c>
      <c r="AK110" s="58"/>
      <c r="AL110" s="58"/>
      <c r="AM110" s="58"/>
      <c r="AN110" s="58"/>
    </row>
    <row r="111" spans="1:40" ht="62.25" x14ac:dyDescent="0.9">
      <c r="A111" s="6">
        <v>1</v>
      </c>
      <c r="B111" s="60">
        <f>SUBTOTAL(103,$A$88:A111)</f>
        <v>21</v>
      </c>
      <c r="C111" s="174" t="s">
        <v>1489</v>
      </c>
      <c r="D111" s="79" t="s">
        <v>1525</v>
      </c>
      <c r="E111" s="63">
        <v>0.97260000000000002</v>
      </c>
      <c r="F111" s="31">
        <f t="shared" si="31"/>
        <v>111509.89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67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176">
        <v>0</v>
      </c>
      <c r="U111" s="31">
        <v>143.80000000000001</v>
      </c>
      <c r="V111" s="31">
        <v>109992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1517.89</v>
      </c>
      <c r="AF111" s="31">
        <v>0</v>
      </c>
      <c r="AG111" s="31">
        <v>0</v>
      </c>
      <c r="AH111" s="175" t="s">
        <v>268</v>
      </c>
      <c r="AI111" s="175">
        <v>2020</v>
      </c>
      <c r="AJ111" s="175">
        <v>2020</v>
      </c>
      <c r="AK111" s="58"/>
      <c r="AL111" s="58"/>
      <c r="AM111" s="58"/>
      <c r="AN111" s="58"/>
    </row>
    <row r="112" spans="1:40" ht="62.25" x14ac:dyDescent="0.9">
      <c r="A112" s="6">
        <v>1</v>
      </c>
      <c r="B112" s="60">
        <f>SUBTOTAL(103,$A$88:A112)</f>
        <v>22</v>
      </c>
      <c r="C112" s="174" t="s">
        <v>1490</v>
      </c>
      <c r="D112" s="65" t="s">
        <v>1880</v>
      </c>
      <c r="E112" s="63">
        <v>0.9859</v>
      </c>
      <c r="F112" s="31">
        <f t="shared" si="31"/>
        <v>155632.46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67">
        <v>0</v>
      </c>
      <c r="N112" s="31">
        <v>0</v>
      </c>
      <c r="O112" s="31">
        <v>622.63</v>
      </c>
      <c r="P112" s="31">
        <v>153513.97</v>
      </c>
      <c r="Q112" s="31">
        <v>0</v>
      </c>
      <c r="R112" s="31">
        <v>0</v>
      </c>
      <c r="S112" s="31">
        <v>0</v>
      </c>
      <c r="T112" s="176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8">
        <v>2118.4899999999998</v>
      </c>
      <c r="AF112" s="31">
        <v>0</v>
      </c>
      <c r="AG112" s="31">
        <v>0</v>
      </c>
      <c r="AH112" s="175" t="s">
        <v>268</v>
      </c>
      <c r="AI112" s="175">
        <v>2020</v>
      </c>
      <c r="AJ112" s="175">
        <v>2020</v>
      </c>
      <c r="AK112" s="58"/>
      <c r="AL112" s="58"/>
      <c r="AM112" s="58"/>
      <c r="AN112" s="58"/>
    </row>
    <row r="113" spans="1:40" ht="62.25" x14ac:dyDescent="0.9">
      <c r="A113" s="6">
        <v>1</v>
      </c>
      <c r="B113" s="60">
        <f>SUBTOTAL(103,$A$88:A113)</f>
        <v>23</v>
      </c>
      <c r="C113" s="174" t="s">
        <v>1491</v>
      </c>
      <c r="D113" s="65" t="s">
        <v>1881</v>
      </c>
      <c r="E113" s="63">
        <v>1.0001</v>
      </c>
      <c r="F113" s="31">
        <f t="shared" si="31"/>
        <v>7503.39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67">
        <v>0</v>
      </c>
      <c r="N113" s="31">
        <v>0</v>
      </c>
      <c r="O113" s="31">
        <v>550</v>
      </c>
      <c r="P113" s="31">
        <v>7392.5</v>
      </c>
      <c r="Q113" s="31">
        <v>0</v>
      </c>
      <c r="R113" s="31">
        <v>0</v>
      </c>
      <c r="S113" s="31">
        <v>0</v>
      </c>
      <c r="T113" s="176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f>ROUND(P113*1.5%,2)</f>
        <v>110.89</v>
      </c>
      <c r="AF113" s="31">
        <v>0</v>
      </c>
      <c r="AG113" s="31">
        <v>0</v>
      </c>
      <c r="AH113" s="175" t="s">
        <v>268</v>
      </c>
      <c r="AI113" s="175">
        <v>2020</v>
      </c>
      <c r="AJ113" s="175">
        <v>2020</v>
      </c>
      <c r="AK113" s="58"/>
      <c r="AL113" s="58"/>
      <c r="AM113" s="58"/>
      <c r="AN113" s="58"/>
    </row>
    <row r="114" spans="1:40" ht="62.25" x14ac:dyDescent="0.9">
      <c r="A114" s="6">
        <v>1</v>
      </c>
      <c r="B114" s="60">
        <f>SUBTOTAL(103,$A$88:A114)</f>
        <v>24</v>
      </c>
      <c r="C114" s="174" t="s">
        <v>1492</v>
      </c>
      <c r="D114" s="65" t="s">
        <v>1883</v>
      </c>
      <c r="E114" s="63">
        <v>0.95650000000000002</v>
      </c>
      <c r="F114" s="31">
        <f t="shared" si="31"/>
        <v>48190.02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67">
        <v>0</v>
      </c>
      <c r="N114" s="31">
        <v>0</v>
      </c>
      <c r="O114" s="31">
        <v>807</v>
      </c>
      <c r="P114" s="31">
        <v>47477.85</v>
      </c>
      <c r="Q114" s="31">
        <v>0</v>
      </c>
      <c r="R114" s="31">
        <v>0</v>
      </c>
      <c r="S114" s="31">
        <v>0</v>
      </c>
      <c r="T114" s="176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f>ROUND(P114*1.5%,2)</f>
        <v>712.17</v>
      </c>
      <c r="AF114" s="31">
        <v>0</v>
      </c>
      <c r="AG114" s="31">
        <v>0</v>
      </c>
      <c r="AH114" s="175" t="s">
        <v>268</v>
      </c>
      <c r="AI114" s="175">
        <v>2020</v>
      </c>
      <c r="AJ114" s="175">
        <v>2020</v>
      </c>
      <c r="AK114" s="58"/>
      <c r="AL114" s="58"/>
      <c r="AM114" s="58"/>
      <c r="AN114" s="58"/>
    </row>
    <row r="115" spans="1:40" ht="62.25" x14ac:dyDescent="0.9">
      <c r="A115" s="6">
        <v>1</v>
      </c>
      <c r="B115" s="60">
        <f>SUBTOTAL(103,$A$88:A115)</f>
        <v>25</v>
      </c>
      <c r="C115" s="174" t="s">
        <v>1598</v>
      </c>
      <c r="D115" s="65" t="s">
        <v>1881</v>
      </c>
      <c r="E115" s="63">
        <v>0.76249999999999996</v>
      </c>
      <c r="F115" s="31">
        <f t="shared" si="31"/>
        <v>91476.549999999988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67">
        <v>0</v>
      </c>
      <c r="N115" s="31">
        <v>0</v>
      </c>
      <c r="O115" s="31">
        <v>1059</v>
      </c>
      <c r="P115" s="31">
        <v>90124.68</v>
      </c>
      <c r="Q115" s="31">
        <v>0</v>
      </c>
      <c r="R115" s="31">
        <v>0</v>
      </c>
      <c r="S115" s="31">
        <v>0</v>
      </c>
      <c r="T115" s="176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1351.87</v>
      </c>
      <c r="AF115" s="31">
        <v>0</v>
      </c>
      <c r="AG115" s="31">
        <v>0</v>
      </c>
      <c r="AH115" s="175" t="s">
        <v>268</v>
      </c>
      <c r="AI115" s="175">
        <v>2020</v>
      </c>
      <c r="AJ115" s="175">
        <v>2020</v>
      </c>
      <c r="AK115" s="58"/>
      <c r="AL115" s="58"/>
      <c r="AM115" s="58"/>
      <c r="AN115" s="58"/>
    </row>
    <row r="116" spans="1:40" ht="62.25" x14ac:dyDescent="0.9">
      <c r="A116" s="6">
        <v>1</v>
      </c>
      <c r="B116" s="60">
        <f>SUBTOTAL(103,$A$88:A116)</f>
        <v>26</v>
      </c>
      <c r="C116" s="174" t="s">
        <v>1884</v>
      </c>
      <c r="D116" s="65" t="s">
        <v>1883</v>
      </c>
      <c r="E116" s="63">
        <v>0.95521667016728007</v>
      </c>
      <c r="F116" s="31">
        <f>P116+AE116</f>
        <v>43614.13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67">
        <v>0</v>
      </c>
      <c r="N116" s="31">
        <v>0</v>
      </c>
      <c r="O116" s="31">
        <v>953</v>
      </c>
      <c r="P116" s="31">
        <v>42969.59</v>
      </c>
      <c r="Q116" s="31">
        <v>0</v>
      </c>
      <c r="R116" s="31">
        <v>0</v>
      </c>
      <c r="S116" s="31">
        <v>0</v>
      </c>
      <c r="T116" s="176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1">
        <f>ROUND(P116*1.5%,2)</f>
        <v>644.54</v>
      </c>
      <c r="AF116" s="31">
        <v>0</v>
      </c>
      <c r="AG116" s="31">
        <v>0</v>
      </c>
      <c r="AH116" s="175" t="s">
        <v>268</v>
      </c>
      <c r="AI116" s="175">
        <v>2020</v>
      </c>
      <c r="AJ116" s="175">
        <v>2020</v>
      </c>
      <c r="AK116" s="58"/>
      <c r="AL116" s="58"/>
      <c r="AM116" s="58"/>
      <c r="AN116" s="58"/>
    </row>
    <row r="117" spans="1:40" ht="62.25" x14ac:dyDescent="0.9">
      <c r="B117" s="270" t="s">
        <v>823</v>
      </c>
      <c r="C117" s="271"/>
      <c r="D117" s="272" t="s">
        <v>890</v>
      </c>
      <c r="E117" s="63">
        <f>AVERAGE(E118:E124)</f>
        <v>0.79046997917439299</v>
      </c>
      <c r="F117" s="31">
        <f>SUM(F118:F124)</f>
        <v>2680155.8899999997</v>
      </c>
      <c r="G117" s="31">
        <f t="shared" ref="G117:AG117" si="36">SUM(G118:G124)</f>
        <v>0</v>
      </c>
      <c r="H117" s="31">
        <f t="shared" si="36"/>
        <v>0</v>
      </c>
      <c r="I117" s="31">
        <f t="shared" si="36"/>
        <v>0</v>
      </c>
      <c r="J117" s="31">
        <f t="shared" si="36"/>
        <v>0</v>
      </c>
      <c r="K117" s="31">
        <f t="shared" si="36"/>
        <v>0</v>
      </c>
      <c r="L117" s="31">
        <f t="shared" si="36"/>
        <v>0</v>
      </c>
      <c r="M117" s="31">
        <f t="shared" si="36"/>
        <v>0</v>
      </c>
      <c r="N117" s="31">
        <f t="shared" si="36"/>
        <v>0</v>
      </c>
      <c r="O117" s="31">
        <f t="shared" si="36"/>
        <v>6319.26</v>
      </c>
      <c r="P117" s="31">
        <f t="shared" si="36"/>
        <v>2644410.02</v>
      </c>
      <c r="Q117" s="31">
        <f t="shared" si="36"/>
        <v>0</v>
      </c>
      <c r="R117" s="31">
        <f t="shared" si="36"/>
        <v>0</v>
      </c>
      <c r="S117" s="31">
        <f t="shared" si="36"/>
        <v>0</v>
      </c>
      <c r="T117" s="31">
        <f t="shared" si="36"/>
        <v>0</v>
      </c>
      <c r="U117" s="31">
        <f t="shared" si="36"/>
        <v>0</v>
      </c>
      <c r="V117" s="31">
        <f t="shared" si="36"/>
        <v>0</v>
      </c>
      <c r="W117" s="31">
        <f t="shared" si="36"/>
        <v>0</v>
      </c>
      <c r="X117" s="31">
        <f t="shared" si="36"/>
        <v>0</v>
      </c>
      <c r="Y117" s="31">
        <f t="shared" si="36"/>
        <v>0</v>
      </c>
      <c r="Z117" s="31">
        <f t="shared" si="36"/>
        <v>0</v>
      </c>
      <c r="AA117" s="31">
        <f t="shared" si="36"/>
        <v>0</v>
      </c>
      <c r="AB117" s="31">
        <f t="shared" si="36"/>
        <v>0</v>
      </c>
      <c r="AC117" s="31">
        <f t="shared" si="36"/>
        <v>0</v>
      </c>
      <c r="AD117" s="31">
        <f t="shared" si="36"/>
        <v>0</v>
      </c>
      <c r="AE117" s="31">
        <f t="shared" si="36"/>
        <v>35745.869999999995</v>
      </c>
      <c r="AF117" s="31">
        <f t="shared" si="36"/>
        <v>0</v>
      </c>
      <c r="AG117" s="31">
        <f t="shared" si="36"/>
        <v>0</v>
      </c>
      <c r="AH117" s="175" t="s">
        <v>890</v>
      </c>
      <c r="AI117" s="175" t="s">
        <v>890</v>
      </c>
      <c r="AJ117" s="175" t="s">
        <v>890</v>
      </c>
      <c r="AK117" s="58"/>
      <c r="AL117" s="58"/>
      <c r="AM117" s="58"/>
      <c r="AN117" s="58"/>
    </row>
    <row r="118" spans="1:40" ht="62.25" x14ac:dyDescent="0.9">
      <c r="A118" s="6">
        <v>1</v>
      </c>
      <c r="B118" s="60">
        <f>SUBTOTAL(103,$A$88:A118)</f>
        <v>27</v>
      </c>
      <c r="C118" s="174" t="s">
        <v>1423</v>
      </c>
      <c r="D118" s="65" t="s">
        <v>1881</v>
      </c>
      <c r="E118" s="63">
        <v>0.79441212856856191</v>
      </c>
      <c r="F118" s="31">
        <f t="shared" si="31"/>
        <v>502837.5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67">
        <v>0</v>
      </c>
      <c r="N118" s="31">
        <v>0</v>
      </c>
      <c r="O118" s="31">
        <v>1148</v>
      </c>
      <c r="P118" s="31">
        <v>497834.27</v>
      </c>
      <c r="Q118" s="31">
        <v>0</v>
      </c>
      <c r="R118" s="31">
        <v>0</v>
      </c>
      <c r="S118" s="31">
        <v>0</v>
      </c>
      <c r="T118" s="176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8">
        <v>5003.2299999999996</v>
      </c>
      <c r="AF118" s="31">
        <v>0</v>
      </c>
      <c r="AG118" s="31">
        <v>0</v>
      </c>
      <c r="AH118" s="175" t="s">
        <v>268</v>
      </c>
      <c r="AI118" s="175">
        <v>2020</v>
      </c>
      <c r="AJ118" s="175">
        <v>2020</v>
      </c>
      <c r="AK118" s="58"/>
      <c r="AL118" s="58"/>
      <c r="AM118" s="58"/>
      <c r="AN118" s="58"/>
    </row>
    <row r="119" spans="1:40" ht="62.25" x14ac:dyDescent="0.9">
      <c r="A119" s="6">
        <v>1</v>
      </c>
      <c r="B119" s="60">
        <f>SUBTOTAL(103,$A$88:A119)</f>
        <v>28</v>
      </c>
      <c r="C119" s="174" t="s">
        <v>1424</v>
      </c>
      <c r="D119" s="65" t="s">
        <v>1881</v>
      </c>
      <c r="E119" s="63">
        <v>0.77911652932310516</v>
      </c>
      <c r="F119" s="31">
        <f t="shared" si="31"/>
        <v>1853524.39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67">
        <v>0</v>
      </c>
      <c r="N119" s="31">
        <v>0</v>
      </c>
      <c r="O119" s="31">
        <v>812.5</v>
      </c>
      <c r="P119" s="31">
        <v>1826132.4</v>
      </c>
      <c r="Q119" s="31">
        <v>0</v>
      </c>
      <c r="R119" s="31">
        <v>0</v>
      </c>
      <c r="S119" s="31">
        <v>0</v>
      </c>
      <c r="T119" s="176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f t="shared" ref="AE119:AE124" si="37">ROUND(P119*1.5%,2)</f>
        <v>27391.99</v>
      </c>
      <c r="AF119" s="31">
        <v>0</v>
      </c>
      <c r="AG119" s="31">
        <v>0</v>
      </c>
      <c r="AH119" s="175" t="s">
        <v>268</v>
      </c>
      <c r="AI119" s="34">
        <v>2021</v>
      </c>
      <c r="AJ119" s="34">
        <v>2021</v>
      </c>
      <c r="AK119" s="58"/>
      <c r="AL119" s="58"/>
      <c r="AM119" s="58"/>
      <c r="AN119" s="58"/>
    </row>
    <row r="120" spans="1:40" ht="62.25" x14ac:dyDescent="0.9">
      <c r="A120" s="6">
        <v>1</v>
      </c>
      <c r="B120" s="60">
        <f>SUBTOTAL(103,$A$88:A120)</f>
        <v>29</v>
      </c>
      <c r="C120" s="174" t="s">
        <v>1425</v>
      </c>
      <c r="D120" s="65" t="s">
        <v>1525</v>
      </c>
      <c r="E120" s="63">
        <v>0.64500000000000002</v>
      </c>
      <c r="F120" s="31">
        <f t="shared" si="31"/>
        <v>57982.38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67">
        <v>0</v>
      </c>
      <c r="N120" s="31">
        <v>0</v>
      </c>
      <c r="O120" s="31">
        <v>1240.56</v>
      </c>
      <c r="P120" s="176">
        <v>57405.46</v>
      </c>
      <c r="Q120" s="31">
        <v>0</v>
      </c>
      <c r="R120" s="31">
        <v>0</v>
      </c>
      <c r="S120" s="31">
        <v>0</v>
      </c>
      <c r="T120" s="176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576.91999999999996</v>
      </c>
      <c r="AF120" s="31">
        <v>0</v>
      </c>
      <c r="AG120" s="31">
        <v>0</v>
      </c>
      <c r="AH120" s="175" t="s">
        <v>268</v>
      </c>
      <c r="AI120" s="175">
        <v>2020</v>
      </c>
      <c r="AJ120" s="175">
        <v>2020</v>
      </c>
      <c r="AK120" s="58"/>
      <c r="AL120" s="58"/>
      <c r="AM120" s="58"/>
      <c r="AN120" s="58"/>
    </row>
    <row r="121" spans="1:40" ht="62.25" x14ac:dyDescent="0.9">
      <c r="A121" s="6">
        <v>1</v>
      </c>
      <c r="B121" s="60">
        <f>SUBTOTAL(103,$A$88:A121)</f>
        <v>30</v>
      </c>
      <c r="C121" s="174" t="s">
        <v>1426</v>
      </c>
      <c r="D121" s="65" t="s">
        <v>1881</v>
      </c>
      <c r="E121" s="63">
        <v>0.88700000000000001</v>
      </c>
      <c r="F121" s="31">
        <f t="shared" si="31"/>
        <v>175548.91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67">
        <v>0</v>
      </c>
      <c r="N121" s="31">
        <v>0</v>
      </c>
      <c r="O121" s="31">
        <v>838</v>
      </c>
      <c r="P121" s="31">
        <v>173802.2</v>
      </c>
      <c r="Q121" s="31">
        <v>0</v>
      </c>
      <c r="R121" s="31">
        <v>0</v>
      </c>
      <c r="S121" s="31">
        <v>0</v>
      </c>
      <c r="T121" s="176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1746.71</v>
      </c>
      <c r="AF121" s="31">
        <v>0</v>
      </c>
      <c r="AG121" s="31">
        <v>0</v>
      </c>
      <c r="AH121" s="175" t="s">
        <v>268</v>
      </c>
      <c r="AI121" s="175">
        <v>2020</v>
      </c>
      <c r="AJ121" s="175">
        <v>2020</v>
      </c>
      <c r="AK121" s="58"/>
      <c r="AL121" s="58"/>
      <c r="AM121" s="58"/>
      <c r="AN121" s="58"/>
    </row>
    <row r="122" spans="1:40" ht="62.25" x14ac:dyDescent="0.9">
      <c r="A122" s="6">
        <v>1</v>
      </c>
      <c r="B122" s="60">
        <f>SUBTOTAL(103,$A$88:A122)</f>
        <v>31</v>
      </c>
      <c r="C122" s="174" t="s">
        <v>1427</v>
      </c>
      <c r="D122" s="65" t="s">
        <v>1881</v>
      </c>
      <c r="E122" s="63">
        <v>0.78459999999999996</v>
      </c>
      <c r="F122" s="31">
        <f t="shared" si="31"/>
        <v>63565.37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  <c r="L122" s="31">
        <v>0</v>
      </c>
      <c r="M122" s="67">
        <v>0</v>
      </c>
      <c r="N122" s="31">
        <v>0</v>
      </c>
      <c r="O122" s="31">
        <v>823.2</v>
      </c>
      <c r="P122" s="31">
        <v>62932.89</v>
      </c>
      <c r="Q122" s="31">
        <v>0</v>
      </c>
      <c r="R122" s="31">
        <v>0</v>
      </c>
      <c r="S122" s="31">
        <v>0</v>
      </c>
      <c r="T122" s="176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1">
        <v>632.48</v>
      </c>
      <c r="AF122" s="31">
        <v>0</v>
      </c>
      <c r="AG122" s="31">
        <v>0</v>
      </c>
      <c r="AH122" s="175" t="s">
        <v>268</v>
      </c>
      <c r="AI122" s="175">
        <v>2020</v>
      </c>
      <c r="AJ122" s="175">
        <v>2020</v>
      </c>
      <c r="AK122" s="58"/>
      <c r="AL122" s="58"/>
      <c r="AM122" s="58"/>
      <c r="AN122" s="58"/>
    </row>
    <row r="123" spans="1:40" ht="62.25" x14ac:dyDescent="0.9">
      <c r="A123" s="6">
        <v>1</v>
      </c>
      <c r="B123" s="60">
        <f>SUBTOTAL(103,$A$88:A123)</f>
        <v>32</v>
      </c>
      <c r="C123" s="174" t="s">
        <v>1428</v>
      </c>
      <c r="D123" s="65" t="s">
        <v>1881</v>
      </c>
      <c r="E123" s="63">
        <v>0.70240000000000002</v>
      </c>
      <c r="F123" s="31">
        <f t="shared" si="31"/>
        <v>2454.27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67">
        <v>0</v>
      </c>
      <c r="N123" s="31">
        <v>0</v>
      </c>
      <c r="O123" s="31">
        <v>472</v>
      </c>
      <c r="P123" s="31">
        <v>2418</v>
      </c>
      <c r="Q123" s="31">
        <v>0</v>
      </c>
      <c r="R123" s="31">
        <v>0</v>
      </c>
      <c r="S123" s="31">
        <v>0</v>
      </c>
      <c r="T123" s="176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1">
        <f t="shared" si="37"/>
        <v>36.270000000000003</v>
      </c>
      <c r="AF123" s="31">
        <v>0</v>
      </c>
      <c r="AG123" s="31">
        <v>0</v>
      </c>
      <c r="AH123" s="175" t="s">
        <v>268</v>
      </c>
      <c r="AI123" s="175">
        <v>2020</v>
      </c>
      <c r="AJ123" s="175">
        <v>2020</v>
      </c>
      <c r="AK123" s="58"/>
      <c r="AL123" s="58"/>
      <c r="AM123" s="58"/>
      <c r="AN123" s="58"/>
    </row>
    <row r="124" spans="1:40" ht="62.25" x14ac:dyDescent="0.9">
      <c r="A124" s="6">
        <v>1</v>
      </c>
      <c r="B124" s="60">
        <f>SUBTOTAL(103,$A$88:A124)</f>
        <v>33</v>
      </c>
      <c r="C124" s="174" t="s">
        <v>1885</v>
      </c>
      <c r="D124" s="65" t="s">
        <v>1525</v>
      </c>
      <c r="E124" s="63">
        <v>0.94076119632908406</v>
      </c>
      <c r="F124" s="31">
        <f>P124+AE124</f>
        <v>24243.07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67">
        <v>0</v>
      </c>
      <c r="N124" s="31">
        <v>0</v>
      </c>
      <c r="O124" s="31">
        <v>985</v>
      </c>
      <c r="P124" s="31">
        <v>23884.799999999999</v>
      </c>
      <c r="Q124" s="31">
        <v>0</v>
      </c>
      <c r="R124" s="31">
        <v>0</v>
      </c>
      <c r="S124" s="31">
        <v>0</v>
      </c>
      <c r="T124" s="176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1">
        <f t="shared" si="37"/>
        <v>358.27</v>
      </c>
      <c r="AF124" s="31">
        <v>0</v>
      </c>
      <c r="AG124" s="31">
        <v>0</v>
      </c>
      <c r="AH124" s="175" t="s">
        <v>268</v>
      </c>
      <c r="AI124" s="175">
        <v>2021</v>
      </c>
      <c r="AJ124" s="175">
        <v>2021</v>
      </c>
      <c r="AK124" s="58"/>
      <c r="AL124" s="58"/>
      <c r="AM124" s="58"/>
      <c r="AN124" s="58"/>
    </row>
    <row r="125" spans="1:40" ht="62.25" x14ac:dyDescent="0.9">
      <c r="B125" s="270" t="s">
        <v>822</v>
      </c>
      <c r="C125" s="271"/>
      <c r="D125" s="272" t="s">
        <v>890</v>
      </c>
      <c r="E125" s="63">
        <f>AVERAGE(E126:E129)</f>
        <v>0.6400023136337607</v>
      </c>
      <c r="F125" s="31">
        <f>SUM(F126:F129)</f>
        <v>3091318.25</v>
      </c>
      <c r="G125" s="31">
        <f t="shared" ref="G125:AG125" si="38">SUM(G126:G129)</f>
        <v>0</v>
      </c>
      <c r="H125" s="31">
        <f t="shared" si="38"/>
        <v>0</v>
      </c>
      <c r="I125" s="31">
        <f t="shared" si="38"/>
        <v>0</v>
      </c>
      <c r="J125" s="31">
        <f t="shared" si="38"/>
        <v>0</v>
      </c>
      <c r="K125" s="31">
        <f t="shared" si="38"/>
        <v>0</v>
      </c>
      <c r="L125" s="31">
        <f t="shared" si="38"/>
        <v>0</v>
      </c>
      <c r="M125" s="67">
        <f t="shared" si="38"/>
        <v>0</v>
      </c>
      <c r="N125" s="31">
        <f t="shared" si="38"/>
        <v>0</v>
      </c>
      <c r="O125" s="31">
        <f t="shared" si="38"/>
        <v>1984</v>
      </c>
      <c r="P125" s="31">
        <f t="shared" si="38"/>
        <v>3046165.91</v>
      </c>
      <c r="Q125" s="31">
        <f t="shared" si="38"/>
        <v>0</v>
      </c>
      <c r="R125" s="31">
        <f t="shared" si="38"/>
        <v>0</v>
      </c>
      <c r="S125" s="31">
        <f t="shared" si="38"/>
        <v>0</v>
      </c>
      <c r="T125" s="31">
        <f t="shared" si="38"/>
        <v>0</v>
      </c>
      <c r="U125" s="31">
        <f t="shared" si="38"/>
        <v>0</v>
      </c>
      <c r="V125" s="31">
        <f t="shared" si="38"/>
        <v>0</v>
      </c>
      <c r="W125" s="31">
        <f t="shared" si="38"/>
        <v>0</v>
      </c>
      <c r="X125" s="31">
        <f t="shared" si="38"/>
        <v>0</v>
      </c>
      <c r="Y125" s="31">
        <f t="shared" si="38"/>
        <v>0</v>
      </c>
      <c r="Z125" s="31">
        <f t="shared" si="38"/>
        <v>0</v>
      </c>
      <c r="AA125" s="31">
        <f t="shared" si="38"/>
        <v>0</v>
      </c>
      <c r="AB125" s="31">
        <f t="shared" si="38"/>
        <v>0</v>
      </c>
      <c r="AC125" s="31">
        <f t="shared" si="38"/>
        <v>0</v>
      </c>
      <c r="AD125" s="31">
        <f t="shared" si="38"/>
        <v>0</v>
      </c>
      <c r="AE125" s="31">
        <f t="shared" si="38"/>
        <v>45152.340000000004</v>
      </c>
      <c r="AF125" s="31">
        <f t="shared" si="38"/>
        <v>0</v>
      </c>
      <c r="AG125" s="31">
        <f t="shared" si="38"/>
        <v>0</v>
      </c>
      <c r="AH125" s="175" t="s">
        <v>890</v>
      </c>
      <c r="AI125" s="175" t="s">
        <v>890</v>
      </c>
      <c r="AJ125" s="175" t="s">
        <v>890</v>
      </c>
      <c r="AK125" s="58"/>
      <c r="AL125" s="58"/>
      <c r="AM125" s="58"/>
      <c r="AN125" s="58"/>
    </row>
    <row r="126" spans="1:40" ht="62.25" x14ac:dyDescent="0.9">
      <c r="A126" s="6">
        <v>1</v>
      </c>
      <c r="B126" s="60">
        <f>SUBTOTAL(103,$A$88:A126)</f>
        <v>34</v>
      </c>
      <c r="C126" s="174" t="s">
        <v>1429</v>
      </c>
      <c r="D126" s="65" t="s">
        <v>1881</v>
      </c>
      <c r="E126" s="63">
        <v>0.4062203289705193</v>
      </c>
      <c r="F126" s="31">
        <f t="shared" si="31"/>
        <v>48915.49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67">
        <v>0</v>
      </c>
      <c r="N126" s="31">
        <v>0</v>
      </c>
      <c r="O126" s="86">
        <v>412</v>
      </c>
      <c r="P126" s="31">
        <v>48428.78</v>
      </c>
      <c r="Q126" s="31">
        <v>0</v>
      </c>
      <c r="R126" s="31">
        <v>0</v>
      </c>
      <c r="S126" s="31">
        <v>0</v>
      </c>
      <c r="T126" s="176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1">
        <v>0</v>
      </c>
      <c r="AD126" s="31">
        <v>0</v>
      </c>
      <c r="AE126" s="31">
        <v>486.71</v>
      </c>
      <c r="AF126" s="31">
        <v>0</v>
      </c>
      <c r="AG126" s="31">
        <v>0</v>
      </c>
      <c r="AH126" s="175" t="s">
        <v>268</v>
      </c>
      <c r="AI126" s="175">
        <v>2020</v>
      </c>
      <c r="AJ126" s="175">
        <v>2020</v>
      </c>
      <c r="AK126" s="58"/>
      <c r="AL126" s="58"/>
      <c r="AM126" s="58"/>
      <c r="AN126" s="58"/>
    </row>
    <row r="127" spans="1:40" ht="62.25" x14ac:dyDescent="0.9">
      <c r="A127" s="6">
        <v>1</v>
      </c>
      <c r="B127" s="60">
        <f>SUBTOTAL(103,$A$88:A127)</f>
        <v>35</v>
      </c>
      <c r="C127" s="174" t="s">
        <v>1430</v>
      </c>
      <c r="D127" s="65" t="s">
        <v>1881</v>
      </c>
      <c r="E127" s="63">
        <v>0.69908892556452351</v>
      </c>
      <c r="F127" s="31">
        <f t="shared" si="31"/>
        <v>14682.87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67">
        <v>0</v>
      </c>
      <c r="N127" s="31">
        <v>0</v>
      </c>
      <c r="O127" s="31">
        <v>508</v>
      </c>
      <c r="P127" s="31">
        <v>14536.78</v>
      </c>
      <c r="Q127" s="31">
        <v>0</v>
      </c>
      <c r="R127" s="31">
        <v>0</v>
      </c>
      <c r="S127" s="31">
        <v>0</v>
      </c>
      <c r="T127" s="176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146.09</v>
      </c>
      <c r="AF127" s="31">
        <v>0</v>
      </c>
      <c r="AG127" s="31">
        <v>0</v>
      </c>
      <c r="AH127" s="175" t="s">
        <v>268</v>
      </c>
      <c r="AI127" s="175">
        <v>2020</v>
      </c>
      <c r="AJ127" s="175">
        <v>2020</v>
      </c>
      <c r="AK127" s="58"/>
      <c r="AL127" s="58"/>
      <c r="AM127" s="58"/>
      <c r="AN127" s="58"/>
    </row>
    <row r="128" spans="1:40" ht="62.25" x14ac:dyDescent="0.9">
      <c r="A128" s="6">
        <v>1</v>
      </c>
      <c r="B128" s="60">
        <f>SUBTOTAL(103,$A$88:A128)</f>
        <v>36</v>
      </c>
      <c r="C128" s="174" t="s">
        <v>1431</v>
      </c>
      <c r="D128" s="65" t="s">
        <v>1881</v>
      </c>
      <c r="E128" s="63">
        <v>0.53310000000000002</v>
      </c>
      <c r="F128" s="31">
        <f t="shared" si="31"/>
        <v>2981100.72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67">
        <v>0</v>
      </c>
      <c r="N128" s="31">
        <v>0</v>
      </c>
      <c r="O128" s="31">
        <v>730</v>
      </c>
      <c r="P128" s="31">
        <v>2937045.04</v>
      </c>
      <c r="Q128" s="31">
        <v>0</v>
      </c>
      <c r="R128" s="31">
        <v>0</v>
      </c>
      <c r="S128" s="31">
        <v>0</v>
      </c>
      <c r="T128" s="176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1">
        <v>0</v>
      </c>
      <c r="AD128" s="31">
        <v>0</v>
      </c>
      <c r="AE128" s="31">
        <f>ROUND(P128*1.5%,2)</f>
        <v>44055.68</v>
      </c>
      <c r="AF128" s="31">
        <v>0</v>
      </c>
      <c r="AG128" s="31">
        <v>0</v>
      </c>
      <c r="AH128" s="175" t="s">
        <v>268</v>
      </c>
      <c r="AI128" s="34">
        <v>2021</v>
      </c>
      <c r="AJ128" s="34">
        <v>2021</v>
      </c>
      <c r="AK128" s="58"/>
      <c r="AL128" s="58"/>
      <c r="AM128" s="58"/>
      <c r="AN128" s="58"/>
    </row>
    <row r="129" spans="1:40" ht="62.25" x14ac:dyDescent="0.9">
      <c r="A129" s="6">
        <v>1</v>
      </c>
      <c r="B129" s="60">
        <f>SUBTOTAL(103,$A$88:A129)</f>
        <v>37</v>
      </c>
      <c r="C129" s="174" t="s">
        <v>1432</v>
      </c>
      <c r="D129" s="65" t="s">
        <v>1880</v>
      </c>
      <c r="E129" s="63">
        <v>0.92159999999999997</v>
      </c>
      <c r="F129" s="31">
        <f t="shared" si="31"/>
        <v>46619.17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  <c r="L129" s="31">
        <v>0</v>
      </c>
      <c r="M129" s="67">
        <v>0</v>
      </c>
      <c r="N129" s="31">
        <v>0</v>
      </c>
      <c r="O129" s="31">
        <v>334</v>
      </c>
      <c r="P129" s="31">
        <v>46155.31</v>
      </c>
      <c r="Q129" s="31">
        <v>0</v>
      </c>
      <c r="R129" s="31">
        <v>0</v>
      </c>
      <c r="S129" s="31">
        <v>0</v>
      </c>
      <c r="T129" s="176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1">
        <v>463.86</v>
      </c>
      <c r="AF129" s="31">
        <v>0</v>
      </c>
      <c r="AG129" s="31">
        <v>0</v>
      </c>
      <c r="AH129" s="175" t="s">
        <v>268</v>
      </c>
      <c r="AI129" s="175">
        <v>2020</v>
      </c>
      <c r="AJ129" s="175">
        <v>2020</v>
      </c>
      <c r="AK129" s="58"/>
      <c r="AL129" s="58"/>
      <c r="AM129" s="58"/>
      <c r="AN129" s="58"/>
    </row>
    <row r="130" spans="1:40" ht="62.25" x14ac:dyDescent="0.9">
      <c r="B130" s="270" t="s">
        <v>760</v>
      </c>
      <c r="C130" s="271"/>
      <c r="D130" s="272" t="s">
        <v>890</v>
      </c>
      <c r="E130" s="63">
        <f>AVERAGE(E131:E156)</f>
        <v>0.86442015186858057</v>
      </c>
      <c r="F130" s="31">
        <f t="shared" ref="F130:AG130" si="39">SUM(F131:F156)</f>
        <v>8824746.5700000003</v>
      </c>
      <c r="G130" s="31">
        <f t="shared" si="39"/>
        <v>0</v>
      </c>
      <c r="H130" s="31">
        <f t="shared" si="39"/>
        <v>0</v>
      </c>
      <c r="I130" s="31">
        <f t="shared" si="39"/>
        <v>0</v>
      </c>
      <c r="J130" s="31">
        <f t="shared" si="39"/>
        <v>0</v>
      </c>
      <c r="K130" s="31">
        <f t="shared" si="39"/>
        <v>262873</v>
      </c>
      <c r="L130" s="31">
        <f t="shared" si="39"/>
        <v>0</v>
      </c>
      <c r="M130" s="31">
        <f t="shared" si="39"/>
        <v>0</v>
      </c>
      <c r="N130" s="31">
        <f t="shared" si="39"/>
        <v>0</v>
      </c>
      <c r="O130" s="31">
        <f t="shared" si="39"/>
        <v>16005.94</v>
      </c>
      <c r="P130" s="31">
        <f t="shared" si="39"/>
        <v>7793291.0300000012</v>
      </c>
      <c r="Q130" s="31">
        <f t="shared" si="39"/>
        <v>0</v>
      </c>
      <c r="R130" s="31">
        <f t="shared" si="39"/>
        <v>0</v>
      </c>
      <c r="S130" s="31">
        <f t="shared" si="39"/>
        <v>5134.45</v>
      </c>
      <c r="T130" s="31">
        <f t="shared" si="39"/>
        <v>645132.4800000001</v>
      </c>
      <c r="U130" s="31">
        <f t="shared" si="39"/>
        <v>0</v>
      </c>
      <c r="V130" s="31">
        <f t="shared" si="39"/>
        <v>0</v>
      </c>
      <c r="W130" s="31">
        <f t="shared" si="39"/>
        <v>0</v>
      </c>
      <c r="X130" s="31">
        <f t="shared" si="39"/>
        <v>0</v>
      </c>
      <c r="Y130" s="31">
        <f t="shared" si="39"/>
        <v>0</v>
      </c>
      <c r="Z130" s="31">
        <f t="shared" si="39"/>
        <v>0</v>
      </c>
      <c r="AA130" s="31">
        <f t="shared" si="39"/>
        <v>0</v>
      </c>
      <c r="AB130" s="31">
        <f t="shared" si="39"/>
        <v>0</v>
      </c>
      <c r="AC130" s="31">
        <f t="shared" si="39"/>
        <v>0</v>
      </c>
      <c r="AD130" s="31">
        <f t="shared" si="39"/>
        <v>0</v>
      </c>
      <c r="AE130" s="31">
        <f t="shared" si="39"/>
        <v>123450.06</v>
      </c>
      <c r="AF130" s="31">
        <f t="shared" si="39"/>
        <v>0</v>
      </c>
      <c r="AG130" s="31">
        <f t="shared" si="39"/>
        <v>0</v>
      </c>
      <c r="AH130" s="175" t="s">
        <v>890</v>
      </c>
      <c r="AI130" s="175" t="s">
        <v>890</v>
      </c>
      <c r="AJ130" s="175" t="s">
        <v>890</v>
      </c>
      <c r="AK130" s="58"/>
      <c r="AL130" s="58"/>
      <c r="AM130" s="58"/>
      <c r="AN130" s="58"/>
    </row>
    <row r="131" spans="1:40" ht="62.25" x14ac:dyDescent="0.9">
      <c r="A131" s="6">
        <v>1</v>
      </c>
      <c r="B131" s="60">
        <f>SUBTOTAL(103,$A$88:A131)</f>
        <v>38</v>
      </c>
      <c r="C131" s="174" t="s">
        <v>1433</v>
      </c>
      <c r="D131" s="65" t="s">
        <v>1880</v>
      </c>
      <c r="E131" s="63">
        <v>0.87120114478643584</v>
      </c>
      <c r="F131" s="31">
        <f t="shared" si="31"/>
        <v>13000.44</v>
      </c>
      <c r="G131" s="31">
        <v>0</v>
      </c>
      <c r="H131" s="31">
        <v>0</v>
      </c>
      <c r="I131" s="31">
        <v>0</v>
      </c>
      <c r="J131" s="31">
        <v>0</v>
      </c>
      <c r="K131" s="31">
        <v>12873</v>
      </c>
      <c r="L131" s="31">
        <v>0</v>
      </c>
      <c r="M131" s="67">
        <v>0</v>
      </c>
      <c r="N131" s="31">
        <v>0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176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1">
        <v>127.44</v>
      </c>
      <c r="AF131" s="31">
        <v>0</v>
      </c>
      <c r="AG131" s="31">
        <v>0</v>
      </c>
      <c r="AH131" s="175" t="s">
        <v>268</v>
      </c>
      <c r="AI131" s="175">
        <v>2020</v>
      </c>
      <c r="AJ131" s="175">
        <v>2020</v>
      </c>
      <c r="AK131" s="58"/>
      <c r="AL131" s="58"/>
      <c r="AM131" s="58"/>
      <c r="AN131" s="58"/>
    </row>
    <row r="132" spans="1:40" ht="62.25" x14ac:dyDescent="0.9">
      <c r="A132" s="6">
        <v>1</v>
      </c>
      <c r="B132" s="60">
        <f>SUBTOTAL(103,$A$88:A132)</f>
        <v>39</v>
      </c>
      <c r="C132" s="174" t="s">
        <v>1434</v>
      </c>
      <c r="D132" s="65" t="s">
        <v>1880</v>
      </c>
      <c r="E132" s="63">
        <v>0.88725132075072177</v>
      </c>
      <c r="F132" s="31">
        <f t="shared" si="31"/>
        <v>2190830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67">
        <v>0</v>
      </c>
      <c r="N132" s="31">
        <v>0</v>
      </c>
      <c r="O132" s="31">
        <v>1600</v>
      </c>
      <c r="P132" s="31">
        <v>2158453.2000000002</v>
      </c>
      <c r="Q132" s="31">
        <v>0</v>
      </c>
      <c r="R132" s="31">
        <v>0</v>
      </c>
      <c r="S132" s="31">
        <v>0</v>
      </c>
      <c r="T132" s="176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1">
        <f>ROUND(P132*1.5%,2)</f>
        <v>32376.799999999999</v>
      </c>
      <c r="AF132" s="31">
        <v>0</v>
      </c>
      <c r="AG132" s="31">
        <v>0</v>
      </c>
      <c r="AH132" s="175" t="s">
        <v>268</v>
      </c>
      <c r="AI132" s="34">
        <v>2021</v>
      </c>
      <c r="AJ132" s="34">
        <v>2021</v>
      </c>
      <c r="AK132" s="58"/>
      <c r="AL132" s="58"/>
      <c r="AM132" s="58"/>
      <c r="AN132" s="58"/>
    </row>
    <row r="133" spans="1:40" ht="62.25" x14ac:dyDescent="0.9">
      <c r="A133" s="6">
        <v>1</v>
      </c>
      <c r="B133" s="60">
        <f>SUBTOTAL(103,$A$88:A133)</f>
        <v>40</v>
      </c>
      <c r="C133" s="174" t="s">
        <v>1435</v>
      </c>
      <c r="D133" s="65" t="s">
        <v>1525</v>
      </c>
      <c r="E133" s="63">
        <v>0.86073469797958557</v>
      </c>
      <c r="F133" s="31">
        <f t="shared" si="31"/>
        <v>485978.33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67">
        <v>0</v>
      </c>
      <c r="N133" s="31">
        <v>0</v>
      </c>
      <c r="O133" s="31">
        <v>824.88</v>
      </c>
      <c r="P133" s="31">
        <v>478796.38</v>
      </c>
      <c r="Q133" s="31">
        <v>0</v>
      </c>
      <c r="R133" s="31">
        <v>0</v>
      </c>
      <c r="S133" s="31">
        <v>0</v>
      </c>
      <c r="T133" s="176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f>ROUND(P133*1.5%,2)</f>
        <v>7181.95</v>
      </c>
      <c r="AF133" s="31">
        <v>0</v>
      </c>
      <c r="AG133" s="31">
        <v>0</v>
      </c>
      <c r="AH133" s="175" t="s">
        <v>268</v>
      </c>
      <c r="AI133" s="34">
        <v>2021</v>
      </c>
      <c r="AJ133" s="34">
        <v>2021</v>
      </c>
      <c r="AK133" s="58"/>
      <c r="AL133" s="58"/>
      <c r="AM133" s="58"/>
      <c r="AN133" s="58"/>
    </row>
    <row r="134" spans="1:40" ht="62.25" x14ac:dyDescent="0.9">
      <c r="A134" s="6">
        <v>1</v>
      </c>
      <c r="B134" s="60">
        <f>SUBTOTAL(103,$A$88:A134)</f>
        <v>41</v>
      </c>
      <c r="C134" s="174" t="s">
        <v>1436</v>
      </c>
      <c r="D134" s="65" t="s">
        <v>1881</v>
      </c>
      <c r="E134" s="63">
        <v>0.94940000000000002</v>
      </c>
      <c r="F134" s="31">
        <f t="shared" si="31"/>
        <v>450455.92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67">
        <v>0</v>
      </c>
      <c r="N134" s="31">
        <v>0</v>
      </c>
      <c r="O134" s="31">
        <v>477.6</v>
      </c>
      <c r="P134" s="31">
        <v>443798.94</v>
      </c>
      <c r="Q134" s="31">
        <v>0</v>
      </c>
      <c r="R134" s="31">
        <v>0</v>
      </c>
      <c r="S134" s="31">
        <v>0</v>
      </c>
      <c r="T134" s="176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1">
        <f>ROUND(P134*1.5%,2)</f>
        <v>6656.98</v>
      </c>
      <c r="AF134" s="31">
        <v>0</v>
      </c>
      <c r="AG134" s="31">
        <v>0</v>
      </c>
      <c r="AH134" s="175" t="s">
        <v>268</v>
      </c>
      <c r="AI134" s="34">
        <v>2021</v>
      </c>
      <c r="AJ134" s="34">
        <v>2021</v>
      </c>
      <c r="AK134" s="58"/>
      <c r="AL134" s="58"/>
      <c r="AM134" s="58"/>
      <c r="AN134" s="58"/>
    </row>
    <row r="135" spans="1:40" ht="62.25" x14ac:dyDescent="0.9">
      <c r="A135" s="6">
        <v>1</v>
      </c>
      <c r="B135" s="60">
        <f>SUBTOTAL(103,$A$88:A135)</f>
        <v>42</v>
      </c>
      <c r="C135" s="174" t="s">
        <v>1437</v>
      </c>
      <c r="D135" s="65" t="s">
        <v>1880</v>
      </c>
      <c r="E135" s="63">
        <v>0.50380000000000003</v>
      </c>
      <c r="F135" s="31">
        <f t="shared" si="31"/>
        <v>428766.45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67">
        <v>0</v>
      </c>
      <c r="N135" s="31">
        <v>0</v>
      </c>
      <c r="O135" s="31">
        <v>431.8</v>
      </c>
      <c r="P135" s="31">
        <v>422430</v>
      </c>
      <c r="Q135" s="31">
        <v>0</v>
      </c>
      <c r="R135" s="31">
        <v>0</v>
      </c>
      <c r="S135" s="31">
        <v>0</v>
      </c>
      <c r="T135" s="176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1">
        <f>ROUND(P135*1.5%,2)</f>
        <v>6336.45</v>
      </c>
      <c r="AF135" s="31">
        <v>0</v>
      </c>
      <c r="AG135" s="31">
        <v>0</v>
      </c>
      <c r="AH135" s="175" t="s">
        <v>268</v>
      </c>
      <c r="AI135" s="34">
        <v>2021</v>
      </c>
      <c r="AJ135" s="34">
        <v>2021</v>
      </c>
      <c r="AK135" s="58"/>
      <c r="AL135" s="58"/>
      <c r="AM135" s="58"/>
      <c r="AN135" s="58"/>
    </row>
    <row r="136" spans="1:40" ht="62.25" x14ac:dyDescent="0.9">
      <c r="A136" s="6">
        <v>1</v>
      </c>
      <c r="B136" s="60">
        <f>SUBTOTAL(103,$A$88:A136)</f>
        <v>43</v>
      </c>
      <c r="C136" s="174" t="s">
        <v>1438</v>
      </c>
      <c r="D136" s="65" t="s">
        <v>1880</v>
      </c>
      <c r="E136" s="63">
        <v>0.93600000000000005</v>
      </c>
      <c r="F136" s="31">
        <f t="shared" si="31"/>
        <v>1170243.6200000001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67">
        <v>0</v>
      </c>
      <c r="N136" s="31">
        <v>0</v>
      </c>
      <c r="O136" s="31">
        <v>1110</v>
      </c>
      <c r="P136" s="31">
        <v>1158771.78</v>
      </c>
      <c r="Q136" s="31">
        <v>0</v>
      </c>
      <c r="R136" s="31">
        <v>0</v>
      </c>
      <c r="S136" s="31">
        <v>0</v>
      </c>
      <c r="T136" s="176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1">
        <v>11471.84</v>
      </c>
      <c r="AF136" s="31">
        <v>0</v>
      </c>
      <c r="AG136" s="31">
        <v>0</v>
      </c>
      <c r="AH136" s="175" t="s">
        <v>268</v>
      </c>
      <c r="AI136" s="175">
        <v>2020</v>
      </c>
      <c r="AJ136" s="175">
        <v>2020</v>
      </c>
      <c r="AK136" s="58"/>
      <c r="AL136" s="58"/>
      <c r="AM136" s="58"/>
      <c r="AN136" s="58"/>
    </row>
    <row r="137" spans="1:40" ht="62.25" x14ac:dyDescent="0.9">
      <c r="A137" s="6">
        <v>1</v>
      </c>
      <c r="B137" s="60">
        <f>SUBTOTAL(103,$A$88:A137)</f>
        <v>44</v>
      </c>
      <c r="C137" s="174" t="s">
        <v>1439</v>
      </c>
      <c r="D137" s="65" t="s">
        <v>1880</v>
      </c>
      <c r="E137" s="63">
        <v>0.91669999999999996</v>
      </c>
      <c r="F137" s="31">
        <f t="shared" si="31"/>
        <v>82236.160000000003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67">
        <v>0</v>
      </c>
      <c r="N137" s="31">
        <v>0</v>
      </c>
      <c r="O137" s="31">
        <v>1586.2</v>
      </c>
      <c r="P137" s="31">
        <v>81430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1">
        <v>806.16</v>
      </c>
      <c r="AF137" s="31">
        <v>0</v>
      </c>
      <c r="AG137" s="31">
        <v>0</v>
      </c>
      <c r="AH137" s="175" t="s">
        <v>268</v>
      </c>
      <c r="AI137" s="175">
        <v>2020</v>
      </c>
      <c r="AJ137" s="175">
        <v>2020</v>
      </c>
      <c r="AK137" s="58"/>
      <c r="AL137" s="58"/>
      <c r="AM137" s="58"/>
      <c r="AN137" s="58"/>
    </row>
    <row r="138" spans="1:40" ht="62.25" x14ac:dyDescent="0.9">
      <c r="A138" s="6">
        <v>1</v>
      </c>
      <c r="B138" s="60">
        <f>SUBTOTAL(103,$A$88:A138)</f>
        <v>45</v>
      </c>
      <c r="C138" s="174" t="s">
        <v>1440</v>
      </c>
      <c r="D138" s="79" t="s">
        <v>1880</v>
      </c>
      <c r="E138" s="63">
        <v>0.86950000000000005</v>
      </c>
      <c r="F138" s="31">
        <f t="shared" si="31"/>
        <v>253750</v>
      </c>
      <c r="G138" s="31">
        <v>0</v>
      </c>
      <c r="H138" s="31">
        <v>0</v>
      </c>
      <c r="I138" s="31">
        <v>0</v>
      </c>
      <c r="J138" s="31">
        <v>0</v>
      </c>
      <c r="K138" s="31">
        <v>250000</v>
      </c>
      <c r="L138" s="31">
        <v>0</v>
      </c>
      <c r="M138" s="67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f>ROUND(K138*1.5%,2)</f>
        <v>3750</v>
      </c>
      <c r="AF138" s="31">
        <v>0</v>
      </c>
      <c r="AG138" s="31">
        <v>0</v>
      </c>
      <c r="AH138" s="175" t="s">
        <v>268</v>
      </c>
      <c r="AI138" s="34">
        <v>2021</v>
      </c>
      <c r="AJ138" s="34">
        <v>2021</v>
      </c>
      <c r="AK138" s="58"/>
      <c r="AL138" s="58"/>
      <c r="AM138" s="58"/>
      <c r="AN138" s="58"/>
    </row>
    <row r="139" spans="1:40" ht="62.25" x14ac:dyDescent="0.9">
      <c r="A139" s="6">
        <v>1</v>
      </c>
      <c r="B139" s="60">
        <f>SUBTOTAL(103,$A$88:A139)</f>
        <v>46</v>
      </c>
      <c r="C139" s="174" t="s">
        <v>1441</v>
      </c>
      <c r="D139" s="65" t="s">
        <v>1880</v>
      </c>
      <c r="E139" s="63">
        <v>0.94930000000000003</v>
      </c>
      <c r="F139" s="31">
        <f t="shared" si="31"/>
        <v>23581.1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67">
        <v>0</v>
      </c>
      <c r="N139" s="31">
        <v>0</v>
      </c>
      <c r="O139" s="31">
        <v>649.79999999999995</v>
      </c>
      <c r="P139" s="31">
        <v>23349.94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231.16</v>
      </c>
      <c r="AF139" s="31">
        <v>0</v>
      </c>
      <c r="AG139" s="31">
        <v>0</v>
      </c>
      <c r="AH139" s="175" t="s">
        <v>268</v>
      </c>
      <c r="AI139" s="175">
        <v>2020</v>
      </c>
      <c r="AJ139" s="175">
        <v>2020</v>
      </c>
      <c r="AK139" s="58"/>
      <c r="AL139" s="58"/>
      <c r="AM139" s="58"/>
      <c r="AN139" s="58"/>
    </row>
    <row r="140" spans="1:40" ht="62.25" x14ac:dyDescent="0.9">
      <c r="A140" s="6">
        <v>1</v>
      </c>
      <c r="B140" s="60">
        <f>SUBTOTAL(103,$A$88:A140)</f>
        <v>47</v>
      </c>
      <c r="C140" s="174" t="s">
        <v>1442</v>
      </c>
      <c r="D140" s="65" t="s">
        <v>1881</v>
      </c>
      <c r="E140" s="63">
        <v>0.79333438101544396</v>
      </c>
      <c r="F140" s="31">
        <f t="shared" si="31"/>
        <v>650544.2699999999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67">
        <v>0</v>
      </c>
      <c r="N140" s="31">
        <v>0</v>
      </c>
      <c r="O140" s="31">
        <v>1265</v>
      </c>
      <c r="P140" s="31">
        <v>640930.31999999995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f>ROUND(P140*1.5%,2)</f>
        <v>9613.9500000000007</v>
      </c>
      <c r="AF140" s="31">
        <v>0</v>
      </c>
      <c r="AG140" s="31">
        <v>0</v>
      </c>
      <c r="AH140" s="175" t="s">
        <v>268</v>
      </c>
      <c r="AI140" s="175">
        <v>2020</v>
      </c>
      <c r="AJ140" s="175">
        <v>2020</v>
      </c>
      <c r="AK140" s="58"/>
      <c r="AL140" s="58"/>
      <c r="AM140" s="58"/>
      <c r="AN140" s="58"/>
    </row>
    <row r="141" spans="1:40" ht="62.25" x14ac:dyDescent="0.9">
      <c r="A141" s="6">
        <v>1</v>
      </c>
      <c r="B141" s="60">
        <f>SUBTOTAL(103,$A$88:A141)</f>
        <v>48</v>
      </c>
      <c r="C141" s="174" t="s">
        <v>1443</v>
      </c>
      <c r="D141" s="65" t="s">
        <v>1880</v>
      </c>
      <c r="E141" s="63">
        <v>0.91920000000000002</v>
      </c>
      <c r="F141" s="31">
        <f t="shared" si="31"/>
        <v>186610.06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67">
        <v>0</v>
      </c>
      <c r="N141" s="31">
        <v>0</v>
      </c>
      <c r="O141" s="31">
        <v>1166</v>
      </c>
      <c r="P141" s="31">
        <v>183852.28</v>
      </c>
      <c r="Q141" s="31">
        <v>0</v>
      </c>
      <c r="R141" s="31">
        <v>0</v>
      </c>
      <c r="S141" s="31">
        <v>0</v>
      </c>
      <c r="T141" s="176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f>ROUND(P141*1.5%,2)</f>
        <v>2757.78</v>
      </c>
      <c r="AF141" s="31">
        <v>0</v>
      </c>
      <c r="AG141" s="31">
        <v>0</v>
      </c>
      <c r="AH141" s="175" t="s">
        <v>268</v>
      </c>
      <c r="AI141" s="34">
        <v>2021</v>
      </c>
      <c r="AJ141" s="34">
        <v>2021</v>
      </c>
      <c r="AK141" s="58"/>
      <c r="AL141" s="58"/>
      <c r="AM141" s="58"/>
      <c r="AN141" s="58"/>
    </row>
    <row r="142" spans="1:40" ht="62.25" x14ac:dyDescent="0.9">
      <c r="A142" s="6">
        <v>1</v>
      </c>
      <c r="B142" s="60">
        <f>SUBTOTAL(103,$A$88:A142)</f>
        <v>49</v>
      </c>
      <c r="C142" s="174" t="s">
        <v>1444</v>
      </c>
      <c r="D142" s="79" t="s">
        <v>1881</v>
      </c>
      <c r="E142" s="63">
        <v>0.80210000000000004</v>
      </c>
      <c r="F142" s="31">
        <f t="shared" si="31"/>
        <v>69345.69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67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276.85000000000002</v>
      </c>
      <c r="T142" s="31">
        <v>68320.88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f>ROUND(T142*1.5%,2)</f>
        <v>1024.81</v>
      </c>
      <c r="AF142" s="31">
        <v>0</v>
      </c>
      <c r="AG142" s="31">
        <v>0</v>
      </c>
      <c r="AH142" s="175" t="s">
        <v>268</v>
      </c>
      <c r="AI142" s="34">
        <v>2021</v>
      </c>
      <c r="AJ142" s="34">
        <v>2021</v>
      </c>
      <c r="AK142" s="58"/>
      <c r="AL142" s="58"/>
      <c r="AM142" s="58"/>
      <c r="AN142" s="58"/>
    </row>
    <row r="143" spans="1:40" ht="62.25" x14ac:dyDescent="0.9">
      <c r="A143" s="6">
        <v>1</v>
      </c>
      <c r="B143" s="60">
        <f>SUBTOTAL(103,$A$88:A143)</f>
        <v>50</v>
      </c>
      <c r="C143" s="174" t="s">
        <v>1445</v>
      </c>
      <c r="D143" s="65" t="s">
        <v>1881</v>
      </c>
      <c r="E143" s="63">
        <v>0.98829999999999996</v>
      </c>
      <c r="F143" s="31">
        <f t="shared" si="31"/>
        <v>49508.61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67">
        <v>0</v>
      </c>
      <c r="N143" s="31">
        <v>0</v>
      </c>
      <c r="O143" s="31">
        <v>284.39999999999998</v>
      </c>
      <c r="P143" s="31">
        <v>48776.959999999999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f>ROUND(P143*1.5%,2)</f>
        <v>731.65</v>
      </c>
      <c r="AF143" s="31">
        <v>0</v>
      </c>
      <c r="AG143" s="31">
        <v>0</v>
      </c>
      <c r="AH143" s="175" t="s">
        <v>268</v>
      </c>
      <c r="AI143" s="34">
        <v>2021</v>
      </c>
      <c r="AJ143" s="34">
        <v>2021</v>
      </c>
      <c r="AK143" s="58"/>
      <c r="AL143" s="58"/>
      <c r="AM143" s="58"/>
      <c r="AN143" s="58"/>
    </row>
    <row r="144" spans="1:40" ht="62.25" x14ac:dyDescent="0.9">
      <c r="A144" s="6">
        <v>1</v>
      </c>
      <c r="B144" s="60">
        <f>SUBTOTAL(103,$A$88:A144)</f>
        <v>51</v>
      </c>
      <c r="C144" s="174" t="s">
        <v>1446</v>
      </c>
      <c r="D144" s="65" t="s">
        <v>1881</v>
      </c>
      <c r="E144" s="63">
        <v>0.86109999999999998</v>
      </c>
      <c r="F144" s="31">
        <f t="shared" si="31"/>
        <v>194179.65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67">
        <v>0</v>
      </c>
      <c r="N144" s="31">
        <v>0</v>
      </c>
      <c r="O144" s="31">
        <v>1539</v>
      </c>
      <c r="P144" s="31">
        <v>191310</v>
      </c>
      <c r="Q144" s="31">
        <v>0</v>
      </c>
      <c r="R144" s="31">
        <v>0</v>
      </c>
      <c r="S144" s="31">
        <v>0</v>
      </c>
      <c r="T144" s="176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f>ROUND(P144*1.5%,2)</f>
        <v>2869.65</v>
      </c>
      <c r="AF144" s="31">
        <v>0</v>
      </c>
      <c r="AG144" s="31">
        <v>0</v>
      </c>
      <c r="AH144" s="175" t="s">
        <v>268</v>
      </c>
      <c r="AI144" s="34">
        <v>2021</v>
      </c>
      <c r="AJ144" s="34">
        <v>2021</v>
      </c>
      <c r="AK144" s="58"/>
      <c r="AL144" s="58"/>
      <c r="AM144" s="58"/>
      <c r="AN144" s="58"/>
    </row>
    <row r="145" spans="1:40" ht="62.25" x14ac:dyDescent="0.9">
      <c r="A145" s="6">
        <v>1</v>
      </c>
      <c r="B145" s="60">
        <f>SUBTOTAL(103,$A$88:A145)</f>
        <v>52</v>
      </c>
      <c r="C145" s="174" t="s">
        <v>1447</v>
      </c>
      <c r="D145" s="65" t="s">
        <v>1881</v>
      </c>
      <c r="E145" s="63">
        <v>0.85870000000000002</v>
      </c>
      <c r="F145" s="31">
        <f t="shared" si="31"/>
        <v>874380.28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67">
        <v>0</v>
      </c>
      <c r="N145" s="31">
        <v>0</v>
      </c>
      <c r="O145" s="31">
        <v>748</v>
      </c>
      <c r="P145" s="31">
        <v>861458.4</v>
      </c>
      <c r="Q145" s="31">
        <v>0</v>
      </c>
      <c r="R145" s="31">
        <v>0</v>
      </c>
      <c r="S145" s="31">
        <v>0</v>
      </c>
      <c r="T145" s="176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f>ROUND(P145*1.5%,2)</f>
        <v>12921.88</v>
      </c>
      <c r="AF145" s="31">
        <v>0</v>
      </c>
      <c r="AG145" s="31">
        <v>0</v>
      </c>
      <c r="AH145" s="175" t="s">
        <v>268</v>
      </c>
      <c r="AI145" s="34">
        <v>2021</v>
      </c>
      <c r="AJ145" s="34">
        <v>2021</v>
      </c>
      <c r="AK145" s="58"/>
      <c r="AL145" s="58"/>
      <c r="AM145" s="58"/>
      <c r="AN145" s="58"/>
    </row>
    <row r="146" spans="1:40" ht="62.25" x14ac:dyDescent="0.9">
      <c r="A146" s="6">
        <v>1</v>
      </c>
      <c r="B146" s="60">
        <f>SUBTOTAL(103,$A$88:A146)</f>
        <v>53</v>
      </c>
      <c r="C146" s="174" t="s">
        <v>1448</v>
      </c>
      <c r="D146" s="79">
        <v>2015</v>
      </c>
      <c r="E146" s="63">
        <v>0.9476</v>
      </c>
      <c r="F146" s="31">
        <f t="shared" si="31"/>
        <v>37308.06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67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174</v>
      </c>
      <c r="T146" s="176">
        <v>37308.06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175" t="s">
        <v>268</v>
      </c>
      <c r="AI146" s="34">
        <v>2020</v>
      </c>
      <c r="AJ146" s="34" t="s">
        <v>268</v>
      </c>
      <c r="AK146" s="58"/>
      <c r="AL146" s="58"/>
      <c r="AM146" s="58"/>
      <c r="AN146" s="58"/>
    </row>
    <row r="147" spans="1:40" ht="62.25" x14ac:dyDescent="0.9">
      <c r="A147" s="6">
        <v>1</v>
      </c>
      <c r="B147" s="60">
        <f>SUBTOTAL(103,$A$88:A147)</f>
        <v>54</v>
      </c>
      <c r="C147" s="174" t="s">
        <v>1449</v>
      </c>
      <c r="D147" s="65" t="s">
        <v>1881</v>
      </c>
      <c r="E147" s="63">
        <v>0.94679999999999997</v>
      </c>
      <c r="F147" s="31">
        <f t="shared" si="31"/>
        <v>41021.47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67">
        <v>0</v>
      </c>
      <c r="N147" s="31">
        <v>0</v>
      </c>
      <c r="O147" s="31">
        <v>289.66000000000003</v>
      </c>
      <c r="P147" s="31">
        <v>40415.24</v>
      </c>
      <c r="Q147" s="31">
        <v>0</v>
      </c>
      <c r="R147" s="31">
        <v>0</v>
      </c>
      <c r="S147" s="31">
        <v>0</v>
      </c>
      <c r="T147" s="176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f>ROUND(P147*1.5%,2)</f>
        <v>606.23</v>
      </c>
      <c r="AF147" s="31">
        <v>0</v>
      </c>
      <c r="AG147" s="31">
        <v>0</v>
      </c>
      <c r="AH147" s="175" t="s">
        <v>268</v>
      </c>
      <c r="AI147" s="34">
        <v>2021</v>
      </c>
      <c r="AJ147" s="34">
        <v>2021</v>
      </c>
      <c r="AK147" s="58"/>
      <c r="AL147" s="58"/>
      <c r="AM147" s="58"/>
      <c r="AN147" s="58"/>
    </row>
    <row r="148" spans="1:40" ht="62.25" x14ac:dyDescent="0.9">
      <c r="A148" s="6">
        <v>1</v>
      </c>
      <c r="B148" s="60">
        <f>SUBTOTAL(103,$A$88:A148)</f>
        <v>55</v>
      </c>
      <c r="C148" s="174" t="s">
        <v>1450</v>
      </c>
      <c r="D148" s="79" t="s">
        <v>1525</v>
      </c>
      <c r="E148" s="63">
        <v>0.92569999999999997</v>
      </c>
      <c r="F148" s="31">
        <f t="shared" si="31"/>
        <v>504846.64999999997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67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3007.6</v>
      </c>
      <c r="T148" s="176">
        <v>497385.86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f>ROUND(T148*1.5%,2)</f>
        <v>7460.79</v>
      </c>
      <c r="AF148" s="31">
        <v>0</v>
      </c>
      <c r="AG148" s="31">
        <v>0</v>
      </c>
      <c r="AH148" s="175" t="s">
        <v>268</v>
      </c>
      <c r="AI148" s="34">
        <v>2021</v>
      </c>
      <c r="AJ148" s="34">
        <v>2021</v>
      </c>
      <c r="AK148" s="58"/>
      <c r="AL148" s="58"/>
      <c r="AM148" s="58"/>
      <c r="AN148" s="58"/>
    </row>
    <row r="149" spans="1:40" ht="62.25" x14ac:dyDescent="0.9">
      <c r="A149" s="6">
        <v>1</v>
      </c>
      <c r="B149" s="60">
        <f>SUBTOTAL(103,$A$88:A149)</f>
        <v>56</v>
      </c>
      <c r="C149" s="174" t="s">
        <v>1493</v>
      </c>
      <c r="D149" s="79" t="s">
        <v>1525</v>
      </c>
      <c r="E149" s="63">
        <v>0.80649999999999999</v>
      </c>
      <c r="F149" s="31">
        <f t="shared" si="31"/>
        <v>42749.45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67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1676</v>
      </c>
      <c r="T149" s="176">
        <v>42117.68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f>ROUND(T149*1.5%,2)</f>
        <v>631.77</v>
      </c>
      <c r="AF149" s="31">
        <v>0</v>
      </c>
      <c r="AG149" s="31">
        <v>0</v>
      </c>
      <c r="AH149" s="175" t="s">
        <v>268</v>
      </c>
      <c r="AI149" s="34">
        <v>2020</v>
      </c>
      <c r="AJ149" s="34">
        <v>2020</v>
      </c>
      <c r="AK149" s="58"/>
      <c r="AL149" s="58"/>
      <c r="AM149" s="58"/>
      <c r="AN149" s="58"/>
    </row>
    <row r="150" spans="1:40" ht="62.25" x14ac:dyDescent="0.9">
      <c r="A150" s="6">
        <v>1</v>
      </c>
      <c r="B150" s="60">
        <f>SUBTOTAL(103,$A$88:A150)</f>
        <v>57</v>
      </c>
      <c r="C150" s="174" t="s">
        <v>1494</v>
      </c>
      <c r="D150" s="65" t="s">
        <v>1881</v>
      </c>
      <c r="E150" s="63">
        <v>0.79520000000000002</v>
      </c>
      <c r="F150" s="31">
        <f t="shared" si="31"/>
        <v>65602.210000000006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67">
        <v>0</v>
      </c>
      <c r="N150" s="31">
        <v>0</v>
      </c>
      <c r="O150" s="31">
        <v>352</v>
      </c>
      <c r="P150" s="31">
        <v>64632.72</v>
      </c>
      <c r="Q150" s="31">
        <v>0</v>
      </c>
      <c r="R150" s="31">
        <v>0</v>
      </c>
      <c r="S150" s="31">
        <v>0</v>
      </c>
      <c r="T150" s="176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f t="shared" ref="AE150:AE156" si="40">ROUND(P150*1.5%,2)</f>
        <v>969.49</v>
      </c>
      <c r="AF150" s="31">
        <v>0</v>
      </c>
      <c r="AG150" s="31">
        <v>0</v>
      </c>
      <c r="AH150" s="175" t="s">
        <v>268</v>
      </c>
      <c r="AI150" s="175">
        <v>2020</v>
      </c>
      <c r="AJ150" s="175">
        <v>2020</v>
      </c>
      <c r="AK150" s="58"/>
      <c r="AL150" s="58"/>
      <c r="AM150" s="58"/>
      <c r="AN150" s="58"/>
    </row>
    <row r="151" spans="1:40" ht="62.25" x14ac:dyDescent="0.9">
      <c r="A151" s="6">
        <v>1</v>
      </c>
      <c r="B151" s="60">
        <f>SUBTOTAL(103,$A$88:A151)</f>
        <v>58</v>
      </c>
      <c r="C151" s="174" t="s">
        <v>1495</v>
      </c>
      <c r="D151" s="65" t="s">
        <v>1525</v>
      </c>
      <c r="E151" s="63">
        <v>0.76160000000000005</v>
      </c>
      <c r="F151" s="31">
        <f>G151+H151+I151+J151+K151+L151+N151+P151+R151+T151+V151+W151+X151+Y151+Z151+AA151+AB151+AC151+AD151+AE151+AF151+AG151</f>
        <v>7245.74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67">
        <v>0</v>
      </c>
      <c r="N151" s="31">
        <v>0</v>
      </c>
      <c r="O151" s="31">
        <v>910</v>
      </c>
      <c r="P151" s="31">
        <v>7138.66</v>
      </c>
      <c r="Q151" s="31">
        <v>0</v>
      </c>
      <c r="R151" s="31">
        <v>0</v>
      </c>
      <c r="S151" s="31">
        <v>0</v>
      </c>
      <c r="T151" s="176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f t="shared" si="40"/>
        <v>107.08</v>
      </c>
      <c r="AF151" s="31">
        <v>0</v>
      </c>
      <c r="AG151" s="31">
        <v>0</v>
      </c>
      <c r="AH151" s="175" t="s">
        <v>268</v>
      </c>
      <c r="AI151" s="34">
        <v>2021</v>
      </c>
      <c r="AJ151" s="34">
        <v>2021</v>
      </c>
      <c r="AK151" s="58"/>
      <c r="AL151" s="58"/>
      <c r="AM151" s="58"/>
      <c r="AN151" s="58"/>
    </row>
    <row r="152" spans="1:40" ht="62.25" x14ac:dyDescent="0.9">
      <c r="A152" s="6">
        <v>1</v>
      </c>
      <c r="B152" s="60">
        <f>SUBTOTAL(103,$A$88:A152)</f>
        <v>59</v>
      </c>
      <c r="C152" s="174" t="s">
        <v>1670</v>
      </c>
      <c r="D152" s="65" t="s">
        <v>1880</v>
      </c>
      <c r="E152" s="63">
        <v>0.95309999999999995</v>
      </c>
      <c r="F152" s="31">
        <f t="shared" si="31"/>
        <v>16859.560000000001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67">
        <v>0</v>
      </c>
      <c r="N152" s="31">
        <v>0</v>
      </c>
      <c r="O152" s="31">
        <v>900</v>
      </c>
      <c r="P152" s="31">
        <v>16610.400000000001</v>
      </c>
      <c r="Q152" s="31">
        <v>0</v>
      </c>
      <c r="R152" s="31">
        <v>0</v>
      </c>
      <c r="S152" s="31">
        <v>0</v>
      </c>
      <c r="T152" s="176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f t="shared" si="40"/>
        <v>249.16</v>
      </c>
      <c r="AF152" s="31">
        <v>0</v>
      </c>
      <c r="AG152" s="31">
        <v>0</v>
      </c>
      <c r="AH152" s="175" t="s">
        <v>268</v>
      </c>
      <c r="AI152" s="34">
        <v>2021</v>
      </c>
      <c r="AJ152" s="34">
        <v>2021</v>
      </c>
      <c r="AK152" s="58"/>
      <c r="AL152" s="58"/>
      <c r="AM152" s="58"/>
      <c r="AN152" s="58"/>
    </row>
    <row r="153" spans="1:40" ht="62.25" x14ac:dyDescent="0.9">
      <c r="A153" s="6">
        <v>1</v>
      </c>
      <c r="B153" s="60">
        <f>SUBTOTAL(103,$A$88:A153)</f>
        <v>60</v>
      </c>
      <c r="C153" s="174" t="s">
        <v>1886</v>
      </c>
      <c r="D153" s="65" t="s">
        <v>1880</v>
      </c>
      <c r="E153" s="63">
        <v>0.88386686541757653</v>
      </c>
      <c r="F153" s="31">
        <f>P153+AE153</f>
        <v>27161.4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67">
        <v>0</v>
      </c>
      <c r="N153" s="31">
        <v>0</v>
      </c>
      <c r="O153" s="31">
        <v>345.6</v>
      </c>
      <c r="P153" s="31">
        <v>26760</v>
      </c>
      <c r="Q153" s="31">
        <v>0</v>
      </c>
      <c r="R153" s="31">
        <v>0</v>
      </c>
      <c r="S153" s="31">
        <v>0</v>
      </c>
      <c r="T153" s="176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f t="shared" si="40"/>
        <v>401.4</v>
      </c>
      <c r="AF153" s="31">
        <v>0</v>
      </c>
      <c r="AG153" s="31">
        <v>0</v>
      </c>
      <c r="AH153" s="175" t="s">
        <v>268</v>
      </c>
      <c r="AI153" s="175">
        <v>2021</v>
      </c>
      <c r="AJ153" s="175">
        <v>2021</v>
      </c>
      <c r="AK153" s="58"/>
      <c r="AL153" s="58"/>
      <c r="AM153" s="58"/>
      <c r="AN153" s="58"/>
    </row>
    <row r="154" spans="1:40" ht="62.25" x14ac:dyDescent="0.9">
      <c r="A154" s="6">
        <v>1</v>
      </c>
      <c r="B154" s="60">
        <f>SUBTOTAL(103,$A$88:A154)</f>
        <v>61</v>
      </c>
      <c r="C154" s="174" t="s">
        <v>1887</v>
      </c>
      <c r="D154" s="65" t="s">
        <v>1880</v>
      </c>
      <c r="E154" s="63">
        <v>0.90569999999999995</v>
      </c>
      <c r="F154" s="31">
        <f>P154+AE154</f>
        <v>843836.3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67">
        <v>0</v>
      </c>
      <c r="N154" s="31">
        <v>0</v>
      </c>
      <c r="O154" s="31">
        <v>570</v>
      </c>
      <c r="P154" s="31">
        <v>831365.81</v>
      </c>
      <c r="Q154" s="31">
        <v>0</v>
      </c>
      <c r="R154" s="31">
        <v>0</v>
      </c>
      <c r="S154" s="31">
        <v>0</v>
      </c>
      <c r="T154" s="176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f t="shared" si="40"/>
        <v>12470.49</v>
      </c>
      <c r="AF154" s="31">
        <v>0</v>
      </c>
      <c r="AG154" s="31">
        <v>0</v>
      </c>
      <c r="AH154" s="175" t="s">
        <v>268</v>
      </c>
      <c r="AI154" s="175">
        <v>2021</v>
      </c>
      <c r="AJ154" s="175">
        <v>2021</v>
      </c>
      <c r="AK154" s="58"/>
      <c r="AL154" s="58"/>
      <c r="AM154" s="58"/>
      <c r="AN154" s="58"/>
    </row>
    <row r="155" spans="1:40" ht="62.25" x14ac:dyDescent="0.9">
      <c r="A155" s="6">
        <v>1</v>
      </c>
      <c r="B155" s="60">
        <f>SUBTOTAL(103,$A$88:A155)</f>
        <v>62</v>
      </c>
      <c r="C155" s="174" t="s">
        <v>1888</v>
      </c>
      <c r="D155" s="65" t="s">
        <v>1881</v>
      </c>
      <c r="E155" s="63">
        <v>0.76750579810492481</v>
      </c>
      <c r="F155" s="31">
        <f>P155+AE155</f>
        <v>92522.930000000008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67">
        <v>0</v>
      </c>
      <c r="N155" s="31">
        <v>0</v>
      </c>
      <c r="O155" s="31">
        <v>425</v>
      </c>
      <c r="P155" s="31">
        <v>91155.6</v>
      </c>
      <c r="Q155" s="31">
        <v>0</v>
      </c>
      <c r="R155" s="31">
        <v>0</v>
      </c>
      <c r="S155" s="31">
        <v>0</v>
      </c>
      <c r="T155" s="176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f t="shared" si="40"/>
        <v>1367.33</v>
      </c>
      <c r="AF155" s="31">
        <v>0</v>
      </c>
      <c r="AG155" s="31">
        <v>0</v>
      </c>
      <c r="AH155" s="175" t="s">
        <v>268</v>
      </c>
      <c r="AI155" s="175">
        <v>2021</v>
      </c>
      <c r="AJ155" s="175">
        <v>2021</v>
      </c>
      <c r="AK155" s="58"/>
      <c r="AL155" s="58"/>
      <c r="AM155" s="58"/>
      <c r="AN155" s="58"/>
    </row>
    <row r="156" spans="1:40" ht="62.25" x14ac:dyDescent="0.9">
      <c r="A156" s="6">
        <v>1</v>
      </c>
      <c r="B156" s="60">
        <f>SUBTOTAL(103,$A$88:A156)</f>
        <v>63</v>
      </c>
      <c r="C156" s="174" t="s">
        <v>1889</v>
      </c>
      <c r="D156" s="65" t="s">
        <v>1881</v>
      </c>
      <c r="E156" s="63">
        <v>0.81472974052840219</v>
      </c>
      <c r="F156" s="31">
        <f>P156+AE156</f>
        <v>22182.22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67">
        <v>0</v>
      </c>
      <c r="N156" s="31">
        <v>0</v>
      </c>
      <c r="O156" s="31">
        <v>531</v>
      </c>
      <c r="P156" s="31">
        <v>21854.400000000001</v>
      </c>
      <c r="Q156" s="31">
        <v>0</v>
      </c>
      <c r="R156" s="31">
        <v>0</v>
      </c>
      <c r="S156" s="31">
        <v>0</v>
      </c>
      <c r="T156" s="176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f t="shared" si="40"/>
        <v>327.82</v>
      </c>
      <c r="AF156" s="31">
        <v>0</v>
      </c>
      <c r="AG156" s="31">
        <v>0</v>
      </c>
      <c r="AH156" s="175" t="s">
        <v>268</v>
      </c>
      <c r="AI156" s="175">
        <v>2021</v>
      </c>
      <c r="AJ156" s="175">
        <v>2021</v>
      </c>
      <c r="AK156" s="58"/>
      <c r="AL156" s="58"/>
      <c r="AM156" s="58"/>
      <c r="AN156" s="58"/>
    </row>
    <row r="157" spans="1:40" ht="62.25" x14ac:dyDescent="0.9">
      <c r="B157" s="270" t="s">
        <v>1404</v>
      </c>
      <c r="C157" s="271"/>
      <c r="D157" s="272" t="s">
        <v>890</v>
      </c>
      <c r="E157" s="63">
        <f>AVERAGE(E158:E172)</f>
        <v>0.90385558590968551</v>
      </c>
      <c r="F157" s="31">
        <f>SUM(F158:F172)</f>
        <v>5257534.7999999989</v>
      </c>
      <c r="G157" s="31">
        <f t="shared" ref="G157:AG157" si="41">SUM(G158:G172)</f>
        <v>0</v>
      </c>
      <c r="H157" s="31">
        <f t="shared" si="41"/>
        <v>0</v>
      </c>
      <c r="I157" s="31">
        <f t="shared" si="41"/>
        <v>0</v>
      </c>
      <c r="J157" s="31">
        <f t="shared" si="41"/>
        <v>0</v>
      </c>
      <c r="K157" s="31">
        <f t="shared" si="41"/>
        <v>0</v>
      </c>
      <c r="L157" s="31">
        <f t="shared" si="41"/>
        <v>0</v>
      </c>
      <c r="M157" s="31">
        <f t="shared" si="41"/>
        <v>0</v>
      </c>
      <c r="N157" s="31">
        <f t="shared" si="41"/>
        <v>0</v>
      </c>
      <c r="O157" s="31">
        <f t="shared" si="41"/>
        <v>14263</v>
      </c>
      <c r="P157" s="31">
        <f t="shared" si="41"/>
        <v>5110910.43</v>
      </c>
      <c r="Q157" s="31">
        <f t="shared" si="41"/>
        <v>0</v>
      </c>
      <c r="R157" s="31">
        <f t="shared" si="41"/>
        <v>0</v>
      </c>
      <c r="S157" s="31">
        <f t="shared" si="41"/>
        <v>0</v>
      </c>
      <c r="T157" s="31">
        <f t="shared" si="41"/>
        <v>0</v>
      </c>
      <c r="U157" s="31">
        <f t="shared" si="41"/>
        <v>0</v>
      </c>
      <c r="V157" s="31">
        <f t="shared" si="41"/>
        <v>0</v>
      </c>
      <c r="W157" s="31">
        <f t="shared" si="41"/>
        <v>0</v>
      </c>
      <c r="X157" s="31">
        <f t="shared" si="41"/>
        <v>69998</v>
      </c>
      <c r="Y157" s="31">
        <f t="shared" si="41"/>
        <v>0</v>
      </c>
      <c r="Z157" s="31">
        <f t="shared" si="41"/>
        <v>0</v>
      </c>
      <c r="AA157" s="31">
        <f t="shared" si="41"/>
        <v>0</v>
      </c>
      <c r="AB157" s="31">
        <f t="shared" si="41"/>
        <v>0</v>
      </c>
      <c r="AC157" s="31">
        <f t="shared" si="41"/>
        <v>0</v>
      </c>
      <c r="AD157" s="31">
        <f t="shared" si="41"/>
        <v>0</v>
      </c>
      <c r="AE157" s="31">
        <f t="shared" si="41"/>
        <v>76626.37000000001</v>
      </c>
      <c r="AF157" s="31">
        <f t="shared" si="41"/>
        <v>0</v>
      </c>
      <c r="AG157" s="31">
        <f t="shared" si="41"/>
        <v>0</v>
      </c>
      <c r="AH157" s="175" t="s">
        <v>890</v>
      </c>
      <c r="AI157" s="175" t="s">
        <v>890</v>
      </c>
      <c r="AJ157" s="175" t="s">
        <v>890</v>
      </c>
      <c r="AK157" s="58"/>
      <c r="AL157" s="58"/>
      <c r="AM157" s="58"/>
      <c r="AN157" s="58"/>
    </row>
    <row r="158" spans="1:40" ht="62.25" x14ac:dyDescent="0.9">
      <c r="A158" s="6">
        <v>1</v>
      </c>
      <c r="B158" s="60">
        <f>SUBTOTAL(103,$A$88:A158)</f>
        <v>64</v>
      </c>
      <c r="C158" s="174" t="s">
        <v>1451</v>
      </c>
      <c r="D158" s="65" t="s">
        <v>1881</v>
      </c>
      <c r="E158" s="63">
        <v>0.95770131483230581</v>
      </c>
      <c r="F158" s="31">
        <f t="shared" si="31"/>
        <v>1768733.14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67">
        <v>0</v>
      </c>
      <c r="N158" s="31">
        <v>0</v>
      </c>
      <c r="O158" s="31">
        <v>2039</v>
      </c>
      <c r="P158" s="31">
        <v>1742723</v>
      </c>
      <c r="Q158" s="31">
        <v>0</v>
      </c>
      <c r="R158" s="31">
        <v>0</v>
      </c>
      <c r="S158" s="31">
        <v>0</v>
      </c>
      <c r="T158" s="176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26010.14</v>
      </c>
      <c r="AF158" s="31">
        <v>0</v>
      </c>
      <c r="AG158" s="31">
        <v>0</v>
      </c>
      <c r="AH158" s="175" t="s">
        <v>268</v>
      </c>
      <c r="AI158" s="175">
        <v>2020</v>
      </c>
      <c r="AJ158" s="175">
        <v>2020</v>
      </c>
      <c r="AK158" s="58"/>
      <c r="AL158" s="58"/>
      <c r="AM158" s="58"/>
      <c r="AN158" s="58"/>
    </row>
    <row r="159" spans="1:40" ht="62.25" x14ac:dyDescent="0.9">
      <c r="A159" s="6">
        <v>1</v>
      </c>
      <c r="B159" s="60">
        <f>SUBTOTAL(103,$A$88:A159)</f>
        <v>65</v>
      </c>
      <c r="C159" s="174" t="s">
        <v>1452</v>
      </c>
      <c r="D159" s="65" t="s">
        <v>1880</v>
      </c>
      <c r="E159" s="63">
        <v>0.91669999999999996</v>
      </c>
      <c r="F159" s="31">
        <f t="shared" si="31"/>
        <v>224063.98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0</v>
      </c>
      <c r="M159" s="67">
        <v>0</v>
      </c>
      <c r="N159" s="31">
        <v>0</v>
      </c>
      <c r="O159" s="31">
        <v>1135</v>
      </c>
      <c r="P159" s="31">
        <v>220769</v>
      </c>
      <c r="Q159" s="31">
        <v>0</v>
      </c>
      <c r="R159" s="31">
        <v>0</v>
      </c>
      <c r="S159" s="31">
        <v>0</v>
      </c>
      <c r="T159" s="176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3294.98</v>
      </c>
      <c r="AF159" s="31">
        <v>0</v>
      </c>
      <c r="AG159" s="31">
        <v>0</v>
      </c>
      <c r="AH159" s="175" t="s">
        <v>268</v>
      </c>
      <c r="AI159" s="175">
        <v>2020</v>
      </c>
      <c r="AJ159" s="175">
        <v>2020</v>
      </c>
      <c r="AK159" s="58"/>
      <c r="AL159" s="58"/>
      <c r="AM159" s="58"/>
      <c r="AN159" s="58"/>
    </row>
    <row r="160" spans="1:40" ht="62.25" x14ac:dyDescent="0.9">
      <c r="A160" s="6">
        <v>1</v>
      </c>
      <c r="B160" s="60">
        <f>SUBTOTAL(103,$A$88:A160)</f>
        <v>66</v>
      </c>
      <c r="C160" s="174" t="s">
        <v>1453</v>
      </c>
      <c r="D160" s="65" t="s">
        <v>1881</v>
      </c>
      <c r="E160" s="63">
        <v>0.98309999999999997</v>
      </c>
      <c r="F160" s="31">
        <f t="shared" si="31"/>
        <v>31696.09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67">
        <v>0</v>
      </c>
      <c r="N160" s="31">
        <v>0</v>
      </c>
      <c r="O160" s="31">
        <v>1845</v>
      </c>
      <c r="P160" s="31">
        <v>31229.98</v>
      </c>
      <c r="Q160" s="31">
        <v>0</v>
      </c>
      <c r="R160" s="31">
        <v>0</v>
      </c>
      <c r="S160" s="31">
        <v>0</v>
      </c>
      <c r="T160" s="176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1">
        <v>466.11</v>
      </c>
      <c r="AF160" s="31">
        <v>0</v>
      </c>
      <c r="AG160" s="31">
        <v>0</v>
      </c>
      <c r="AH160" s="175" t="s">
        <v>268</v>
      </c>
      <c r="AI160" s="175">
        <v>2020</v>
      </c>
      <c r="AJ160" s="175">
        <v>2020</v>
      </c>
      <c r="AK160" s="58"/>
      <c r="AL160" s="58"/>
      <c r="AM160" s="58"/>
      <c r="AN160" s="58"/>
    </row>
    <row r="161" spans="1:40" ht="62.25" x14ac:dyDescent="0.9">
      <c r="A161" s="6">
        <v>1</v>
      </c>
      <c r="B161" s="60">
        <f>SUBTOTAL(103,$A$88:A161)</f>
        <v>67</v>
      </c>
      <c r="C161" s="174" t="s">
        <v>1454</v>
      </c>
      <c r="D161" s="65" t="s">
        <v>1881</v>
      </c>
      <c r="E161" s="63">
        <v>0.9163</v>
      </c>
      <c r="F161" s="31">
        <f t="shared" si="31"/>
        <v>97154.82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67">
        <v>0</v>
      </c>
      <c r="N161" s="31">
        <v>0</v>
      </c>
      <c r="O161" s="31">
        <v>736</v>
      </c>
      <c r="P161" s="31">
        <v>95726.11</v>
      </c>
      <c r="Q161" s="31">
        <v>0</v>
      </c>
      <c r="R161" s="31">
        <v>0</v>
      </c>
      <c r="S161" s="31">
        <v>0</v>
      </c>
      <c r="T161" s="176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1428.71</v>
      </c>
      <c r="AF161" s="31">
        <v>0</v>
      </c>
      <c r="AG161" s="31">
        <v>0</v>
      </c>
      <c r="AH161" s="175" t="s">
        <v>268</v>
      </c>
      <c r="AI161" s="175">
        <v>2020</v>
      </c>
      <c r="AJ161" s="175">
        <v>2020</v>
      </c>
      <c r="AK161" s="58"/>
      <c r="AL161" s="58"/>
      <c r="AM161" s="58"/>
      <c r="AN161" s="58"/>
    </row>
    <row r="162" spans="1:40" ht="62.25" x14ac:dyDescent="0.9">
      <c r="A162" s="6">
        <v>1</v>
      </c>
      <c r="B162" s="60">
        <f>SUBTOTAL(103,$A$88:A162)</f>
        <v>68</v>
      </c>
      <c r="C162" s="174" t="s">
        <v>1455</v>
      </c>
      <c r="D162" s="65" t="s">
        <v>1880</v>
      </c>
      <c r="E162" s="63">
        <v>0.88370000000000004</v>
      </c>
      <c r="F162" s="31">
        <f t="shared" si="31"/>
        <v>115006.25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67">
        <v>0</v>
      </c>
      <c r="N162" s="31">
        <v>0</v>
      </c>
      <c r="O162" s="31">
        <v>518</v>
      </c>
      <c r="P162" s="31">
        <v>113315.02</v>
      </c>
      <c r="Q162" s="31">
        <v>0</v>
      </c>
      <c r="R162" s="31">
        <v>0</v>
      </c>
      <c r="S162" s="31">
        <v>0</v>
      </c>
      <c r="T162" s="176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1691.23</v>
      </c>
      <c r="AF162" s="31">
        <v>0</v>
      </c>
      <c r="AG162" s="31">
        <v>0</v>
      </c>
      <c r="AH162" s="175" t="s">
        <v>268</v>
      </c>
      <c r="AI162" s="175">
        <v>2020</v>
      </c>
      <c r="AJ162" s="175">
        <v>2020</v>
      </c>
      <c r="AK162" s="58"/>
      <c r="AL162" s="58"/>
      <c r="AM162" s="58"/>
      <c r="AN162" s="58"/>
    </row>
    <row r="163" spans="1:40" ht="62.25" x14ac:dyDescent="0.9">
      <c r="A163" s="6">
        <v>1</v>
      </c>
      <c r="B163" s="60">
        <f>SUBTOTAL(103,$A$88:A163)</f>
        <v>69</v>
      </c>
      <c r="C163" s="174" t="s">
        <v>1456</v>
      </c>
      <c r="D163" s="65" t="s">
        <v>1881</v>
      </c>
      <c r="E163" s="63">
        <v>1.000675491846317</v>
      </c>
      <c r="F163" s="31">
        <f t="shared" si="31"/>
        <v>1485022.6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67">
        <v>0</v>
      </c>
      <c r="N163" s="31">
        <v>0</v>
      </c>
      <c r="O163" s="31">
        <v>1238</v>
      </c>
      <c r="P163" s="31">
        <v>1463184.57</v>
      </c>
      <c r="Q163" s="31">
        <v>0</v>
      </c>
      <c r="R163" s="31">
        <v>0</v>
      </c>
      <c r="S163" s="31">
        <v>0</v>
      </c>
      <c r="T163" s="176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21838.03</v>
      </c>
      <c r="AF163" s="31">
        <v>0</v>
      </c>
      <c r="AG163" s="31">
        <v>0</v>
      </c>
      <c r="AH163" s="175" t="s">
        <v>268</v>
      </c>
      <c r="AI163" s="175">
        <v>2020</v>
      </c>
      <c r="AJ163" s="175">
        <v>2020</v>
      </c>
      <c r="AK163" s="58"/>
      <c r="AL163" s="58"/>
      <c r="AM163" s="58"/>
      <c r="AN163" s="58"/>
    </row>
    <row r="164" spans="1:40" ht="62.25" x14ac:dyDescent="0.9">
      <c r="A164" s="6">
        <v>1</v>
      </c>
      <c r="B164" s="60">
        <f>SUBTOTAL(103,$A$88:A164)</f>
        <v>70</v>
      </c>
      <c r="C164" s="174" t="s">
        <v>1457</v>
      </c>
      <c r="D164" s="65" t="s">
        <v>1881</v>
      </c>
      <c r="E164" s="63">
        <v>0.80026822300653366</v>
      </c>
      <c r="F164" s="31">
        <f t="shared" si="31"/>
        <v>179270.28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67">
        <v>0</v>
      </c>
      <c r="N164" s="31">
        <v>0</v>
      </c>
      <c r="O164" s="31">
        <v>668</v>
      </c>
      <c r="P164" s="31">
        <v>176634.02</v>
      </c>
      <c r="Q164" s="31">
        <v>0</v>
      </c>
      <c r="R164" s="31">
        <v>0</v>
      </c>
      <c r="S164" s="31">
        <v>0</v>
      </c>
      <c r="T164" s="176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2636.26</v>
      </c>
      <c r="AF164" s="31">
        <v>0</v>
      </c>
      <c r="AG164" s="31">
        <v>0</v>
      </c>
      <c r="AH164" s="175" t="s">
        <v>268</v>
      </c>
      <c r="AI164" s="175">
        <v>2020</v>
      </c>
      <c r="AJ164" s="175">
        <v>2020</v>
      </c>
      <c r="AK164" s="58"/>
      <c r="AL164" s="58"/>
      <c r="AM164" s="58"/>
      <c r="AN164" s="58"/>
    </row>
    <row r="165" spans="1:40" ht="62.25" x14ac:dyDescent="0.9">
      <c r="A165" s="6">
        <v>1</v>
      </c>
      <c r="B165" s="60">
        <f>SUBTOTAL(103,$A$88:A165)</f>
        <v>71</v>
      </c>
      <c r="C165" s="174" t="s">
        <v>1458</v>
      </c>
      <c r="D165" s="65" t="s">
        <v>1880</v>
      </c>
      <c r="E165" s="63">
        <v>0.92587279445283599</v>
      </c>
      <c r="F165" s="31">
        <f t="shared" si="31"/>
        <v>21660.55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67">
        <v>0</v>
      </c>
      <c r="N165" s="31">
        <v>0</v>
      </c>
      <c r="O165" s="31">
        <v>559</v>
      </c>
      <c r="P165" s="31">
        <v>21342.02</v>
      </c>
      <c r="Q165" s="31">
        <v>0</v>
      </c>
      <c r="R165" s="31">
        <v>0</v>
      </c>
      <c r="S165" s="31">
        <v>0</v>
      </c>
      <c r="T165" s="176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318.52999999999997</v>
      </c>
      <c r="AF165" s="31">
        <v>0</v>
      </c>
      <c r="AG165" s="31">
        <v>0</v>
      </c>
      <c r="AH165" s="175" t="s">
        <v>268</v>
      </c>
      <c r="AI165" s="175">
        <v>2020</v>
      </c>
      <c r="AJ165" s="175">
        <v>2020</v>
      </c>
      <c r="AK165" s="58"/>
      <c r="AL165" s="58"/>
      <c r="AM165" s="58"/>
      <c r="AN165" s="58"/>
    </row>
    <row r="166" spans="1:40" ht="62.25" x14ac:dyDescent="0.9">
      <c r="A166" s="6">
        <v>1</v>
      </c>
      <c r="B166" s="60">
        <f>SUBTOTAL(103,$A$88:A166)</f>
        <v>72</v>
      </c>
      <c r="C166" s="174" t="s">
        <v>1459</v>
      </c>
      <c r="D166" s="65" t="s">
        <v>1881</v>
      </c>
      <c r="E166" s="63">
        <v>0.87360000000000004</v>
      </c>
      <c r="F166" s="31">
        <f t="shared" si="31"/>
        <v>825558.04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67">
        <v>0</v>
      </c>
      <c r="N166" s="31">
        <v>0</v>
      </c>
      <c r="O166" s="31">
        <v>1549</v>
      </c>
      <c r="P166" s="31">
        <v>813417.78</v>
      </c>
      <c r="Q166" s="31">
        <v>0</v>
      </c>
      <c r="R166" s="31">
        <v>0</v>
      </c>
      <c r="S166" s="31">
        <v>0</v>
      </c>
      <c r="T166" s="176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12140.26</v>
      </c>
      <c r="AF166" s="31">
        <v>0</v>
      </c>
      <c r="AG166" s="31">
        <v>0</v>
      </c>
      <c r="AH166" s="175" t="s">
        <v>268</v>
      </c>
      <c r="AI166" s="175">
        <v>2020</v>
      </c>
      <c r="AJ166" s="175">
        <v>2020</v>
      </c>
      <c r="AK166" s="58"/>
      <c r="AL166" s="58"/>
      <c r="AM166" s="58"/>
      <c r="AN166" s="58"/>
    </row>
    <row r="167" spans="1:40" ht="62.25" x14ac:dyDescent="0.9">
      <c r="A167" s="6">
        <v>1</v>
      </c>
      <c r="B167" s="60">
        <f>SUBTOTAL(103,$A$88:A167)</f>
        <v>73</v>
      </c>
      <c r="C167" s="174" t="s">
        <v>1460</v>
      </c>
      <c r="D167" s="65" t="s">
        <v>1880</v>
      </c>
      <c r="E167" s="63">
        <v>0.78059999999999996</v>
      </c>
      <c r="F167" s="31">
        <f t="shared" si="31"/>
        <v>58127.710000000006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67">
        <v>0</v>
      </c>
      <c r="N167" s="31">
        <v>0</v>
      </c>
      <c r="O167" s="31">
        <v>450</v>
      </c>
      <c r="P167" s="31">
        <v>57272.91</v>
      </c>
      <c r="Q167" s="31">
        <v>0</v>
      </c>
      <c r="R167" s="31">
        <v>0</v>
      </c>
      <c r="S167" s="31">
        <v>0</v>
      </c>
      <c r="T167" s="176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854.8</v>
      </c>
      <c r="AF167" s="31">
        <v>0</v>
      </c>
      <c r="AG167" s="31">
        <v>0</v>
      </c>
      <c r="AH167" s="175" t="s">
        <v>268</v>
      </c>
      <c r="AI167" s="175">
        <v>2020</v>
      </c>
      <c r="AJ167" s="175">
        <v>2020</v>
      </c>
      <c r="AK167" s="58"/>
      <c r="AL167" s="58"/>
      <c r="AM167" s="58"/>
      <c r="AN167" s="58"/>
    </row>
    <row r="168" spans="1:40" ht="62.25" x14ac:dyDescent="0.9">
      <c r="A168" s="6">
        <v>1</v>
      </c>
      <c r="B168" s="60">
        <f>SUBTOTAL(103,$A$88:A168)</f>
        <v>74</v>
      </c>
      <c r="C168" s="174" t="s">
        <v>1159</v>
      </c>
      <c r="D168" s="65" t="s">
        <v>1881</v>
      </c>
      <c r="E168" s="63">
        <v>0.88049999999999995</v>
      </c>
      <c r="F168" s="31">
        <f t="shared" si="31"/>
        <v>174209.85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67">
        <v>0</v>
      </c>
      <c r="N168" s="31">
        <v>0</v>
      </c>
      <c r="O168" s="31">
        <v>498</v>
      </c>
      <c r="P168" s="31">
        <v>171648</v>
      </c>
      <c r="Q168" s="31">
        <v>0</v>
      </c>
      <c r="R168" s="31">
        <v>0</v>
      </c>
      <c r="S168" s="31">
        <v>0</v>
      </c>
      <c r="T168" s="176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2561.85</v>
      </c>
      <c r="AF168" s="31">
        <v>0</v>
      </c>
      <c r="AG168" s="31">
        <v>0</v>
      </c>
      <c r="AH168" s="175" t="s">
        <v>268</v>
      </c>
      <c r="AI168" s="175">
        <v>2020</v>
      </c>
      <c r="AJ168" s="175">
        <v>2020</v>
      </c>
      <c r="AK168" s="58"/>
      <c r="AL168" s="58"/>
      <c r="AM168" s="58"/>
      <c r="AN168" s="58"/>
    </row>
    <row r="169" spans="1:40" ht="62.25" x14ac:dyDescent="0.9">
      <c r="A169" s="6">
        <v>1</v>
      </c>
      <c r="B169" s="60">
        <f>SUBTOTAL(103,$A$88:A169)</f>
        <v>75</v>
      </c>
      <c r="C169" s="174" t="s">
        <v>1461</v>
      </c>
      <c r="D169" s="65">
        <v>2017</v>
      </c>
      <c r="E169" s="63">
        <v>0.97189999999999999</v>
      </c>
      <c r="F169" s="31">
        <f t="shared" si="31"/>
        <v>101365.01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67">
        <v>0</v>
      </c>
      <c r="N169" s="31">
        <v>0</v>
      </c>
      <c r="O169" s="31">
        <v>1067</v>
      </c>
      <c r="P169" s="31">
        <v>99867</v>
      </c>
      <c r="Q169" s="31">
        <v>0</v>
      </c>
      <c r="R169" s="31">
        <v>0</v>
      </c>
      <c r="S169" s="31">
        <v>0</v>
      </c>
      <c r="T169" s="176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f>ROUND(P169*1.5%,2)</f>
        <v>1498.01</v>
      </c>
      <c r="AF169" s="31">
        <v>0</v>
      </c>
      <c r="AG169" s="31">
        <v>0</v>
      </c>
      <c r="AH169" s="175" t="s">
        <v>268</v>
      </c>
      <c r="AI169" s="175">
        <v>2021</v>
      </c>
      <c r="AJ169" s="175">
        <v>2021</v>
      </c>
      <c r="AK169" s="58"/>
      <c r="AL169" s="58"/>
      <c r="AM169" s="58"/>
      <c r="AN169" s="58"/>
    </row>
    <row r="170" spans="1:40" ht="62.25" x14ac:dyDescent="0.9">
      <c r="A170" s="6">
        <v>1</v>
      </c>
      <c r="B170" s="60">
        <f>SUBTOTAL(103,$A$88:A170)</f>
        <v>76</v>
      </c>
      <c r="C170" s="174" t="s">
        <v>1498</v>
      </c>
      <c r="D170" s="79" t="s">
        <v>1525</v>
      </c>
      <c r="E170" s="63">
        <v>0.93899999999999995</v>
      </c>
      <c r="F170" s="31">
        <f t="shared" si="31"/>
        <v>70328.740000000005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67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176">
        <v>0</v>
      </c>
      <c r="U170" s="31">
        <v>0</v>
      </c>
      <c r="V170" s="31">
        <v>0</v>
      </c>
      <c r="W170" s="31">
        <v>0</v>
      </c>
      <c r="X170" s="31">
        <v>69998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330.74</v>
      </c>
      <c r="AF170" s="31">
        <v>0</v>
      </c>
      <c r="AG170" s="31">
        <v>0</v>
      </c>
      <c r="AH170" s="175" t="s">
        <v>268</v>
      </c>
      <c r="AI170" s="175">
        <v>2020</v>
      </c>
      <c r="AJ170" s="175">
        <v>2020</v>
      </c>
      <c r="AK170" s="58"/>
      <c r="AL170" s="58"/>
      <c r="AM170" s="58"/>
      <c r="AN170" s="58"/>
    </row>
    <row r="171" spans="1:40" ht="62.25" x14ac:dyDescent="0.9">
      <c r="A171" s="6">
        <v>1</v>
      </c>
      <c r="B171" s="60">
        <f>SUBTOTAL(103,$A$88:A171)</f>
        <v>77</v>
      </c>
      <c r="C171" s="174" t="s">
        <v>1890</v>
      </c>
      <c r="D171" s="65" t="s">
        <v>1880</v>
      </c>
      <c r="E171" s="63">
        <v>0.97650000000000003</v>
      </c>
      <c r="F171" s="31">
        <f>P171+AE171</f>
        <v>46834.77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67">
        <v>0</v>
      </c>
      <c r="N171" s="31">
        <v>0</v>
      </c>
      <c r="O171" s="31">
        <v>1461</v>
      </c>
      <c r="P171" s="31">
        <v>46142.63</v>
      </c>
      <c r="Q171" s="31">
        <v>0</v>
      </c>
      <c r="R171" s="31">
        <v>0</v>
      </c>
      <c r="S171" s="31">
        <v>0</v>
      </c>
      <c r="T171" s="176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f>ROUND(P171*1.5%,2)</f>
        <v>692.14</v>
      </c>
      <c r="AF171" s="31">
        <v>0</v>
      </c>
      <c r="AG171" s="31">
        <v>0</v>
      </c>
      <c r="AH171" s="175" t="s">
        <v>268</v>
      </c>
      <c r="AI171" s="175">
        <v>2020</v>
      </c>
      <c r="AJ171" s="175">
        <v>2020</v>
      </c>
      <c r="AK171" s="58"/>
      <c r="AL171" s="58"/>
      <c r="AM171" s="58"/>
      <c r="AN171" s="58"/>
    </row>
    <row r="172" spans="1:40" ht="62.25" x14ac:dyDescent="0.9">
      <c r="A172" s="6">
        <v>1</v>
      </c>
      <c r="B172" s="60">
        <f>SUBTOTAL(103,$A$88:A172)</f>
        <v>78</v>
      </c>
      <c r="C172" s="174" t="s">
        <v>1891</v>
      </c>
      <c r="D172" s="65" t="s">
        <v>1880</v>
      </c>
      <c r="E172" s="63">
        <v>0.75141596450729198</v>
      </c>
      <c r="F172" s="31">
        <f>P172+AE172</f>
        <v>58502.97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67">
        <v>0</v>
      </c>
      <c r="N172" s="31">
        <v>0</v>
      </c>
      <c r="O172" s="31">
        <v>500</v>
      </c>
      <c r="P172" s="31">
        <v>57638.39</v>
      </c>
      <c r="Q172" s="31">
        <v>0</v>
      </c>
      <c r="R172" s="31">
        <v>0</v>
      </c>
      <c r="S172" s="31">
        <v>0</v>
      </c>
      <c r="T172" s="176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f>ROUND(P172*1.5%,2)</f>
        <v>864.58</v>
      </c>
      <c r="AF172" s="31">
        <v>0</v>
      </c>
      <c r="AG172" s="31">
        <v>0</v>
      </c>
      <c r="AH172" s="175" t="s">
        <v>268</v>
      </c>
      <c r="AI172" s="175">
        <v>2020</v>
      </c>
      <c r="AJ172" s="175">
        <v>2020</v>
      </c>
      <c r="AK172" s="58"/>
      <c r="AL172" s="58"/>
      <c r="AM172" s="58"/>
      <c r="AN172" s="58"/>
    </row>
    <row r="173" spans="1:40" ht="62.25" x14ac:dyDescent="0.9">
      <c r="B173" s="270" t="s">
        <v>1405</v>
      </c>
      <c r="C173" s="271"/>
      <c r="D173" s="272" t="s">
        <v>890</v>
      </c>
      <c r="E173" s="63">
        <f>AVERAGE(E174:E179)</f>
        <v>0.89380629497361996</v>
      </c>
      <c r="F173" s="31">
        <f>SUM(F174:F179)</f>
        <v>1550578.68</v>
      </c>
      <c r="G173" s="31">
        <f t="shared" ref="G173:AG173" si="42">SUM(G174:G179)</f>
        <v>0</v>
      </c>
      <c r="H173" s="31">
        <f t="shared" si="42"/>
        <v>0</v>
      </c>
      <c r="I173" s="31">
        <f t="shared" si="42"/>
        <v>0</v>
      </c>
      <c r="J173" s="31">
        <f t="shared" si="42"/>
        <v>0</v>
      </c>
      <c r="K173" s="31">
        <f t="shared" si="42"/>
        <v>0</v>
      </c>
      <c r="L173" s="31">
        <f t="shared" si="42"/>
        <v>0</v>
      </c>
      <c r="M173" s="67">
        <f t="shared" si="42"/>
        <v>0</v>
      </c>
      <c r="N173" s="31">
        <f t="shared" si="42"/>
        <v>0</v>
      </c>
      <c r="O173" s="31">
        <f t="shared" si="42"/>
        <v>6063.4000000000005</v>
      </c>
      <c r="P173" s="31">
        <f t="shared" si="42"/>
        <v>1527663.73</v>
      </c>
      <c r="Q173" s="31">
        <f t="shared" si="42"/>
        <v>0</v>
      </c>
      <c r="R173" s="31">
        <f t="shared" si="42"/>
        <v>0</v>
      </c>
      <c r="S173" s="31">
        <f t="shared" si="42"/>
        <v>0</v>
      </c>
      <c r="T173" s="31">
        <f t="shared" si="42"/>
        <v>0</v>
      </c>
      <c r="U173" s="31">
        <f t="shared" si="42"/>
        <v>0</v>
      </c>
      <c r="V173" s="31">
        <f t="shared" si="42"/>
        <v>0</v>
      </c>
      <c r="W173" s="31">
        <f t="shared" si="42"/>
        <v>0</v>
      </c>
      <c r="X173" s="31">
        <f t="shared" si="42"/>
        <v>0</v>
      </c>
      <c r="Y173" s="31">
        <f t="shared" si="42"/>
        <v>0</v>
      </c>
      <c r="Z173" s="31">
        <f t="shared" si="42"/>
        <v>0</v>
      </c>
      <c r="AA173" s="31">
        <f t="shared" si="42"/>
        <v>0</v>
      </c>
      <c r="AB173" s="31">
        <f t="shared" si="42"/>
        <v>0</v>
      </c>
      <c r="AC173" s="31">
        <f t="shared" si="42"/>
        <v>0</v>
      </c>
      <c r="AD173" s="31">
        <f t="shared" si="42"/>
        <v>0</v>
      </c>
      <c r="AE173" s="31">
        <f t="shared" si="42"/>
        <v>22914.949999999997</v>
      </c>
      <c r="AF173" s="31">
        <f t="shared" si="42"/>
        <v>0</v>
      </c>
      <c r="AG173" s="31">
        <f t="shared" si="42"/>
        <v>0</v>
      </c>
      <c r="AH173" s="175" t="s">
        <v>890</v>
      </c>
      <c r="AI173" s="175" t="s">
        <v>890</v>
      </c>
      <c r="AJ173" s="175" t="s">
        <v>890</v>
      </c>
      <c r="AK173" s="58"/>
      <c r="AL173" s="58"/>
      <c r="AM173" s="58"/>
      <c r="AN173" s="58"/>
    </row>
    <row r="174" spans="1:40" ht="62.25" x14ac:dyDescent="0.9">
      <c r="A174" s="6">
        <v>1</v>
      </c>
      <c r="B174" s="60">
        <f>SUBTOTAL(103,$A$88:A174)</f>
        <v>79</v>
      </c>
      <c r="C174" s="174" t="s">
        <v>1462</v>
      </c>
      <c r="D174" s="65" t="s">
        <v>1881</v>
      </c>
      <c r="E174" s="63">
        <v>0.9054350997618551</v>
      </c>
      <c r="F174" s="31">
        <f t="shared" si="31"/>
        <v>382556.25999999995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67">
        <v>0</v>
      </c>
      <c r="N174" s="31">
        <v>0</v>
      </c>
      <c r="O174" s="31">
        <v>1160.0999999999999</v>
      </c>
      <c r="P174" s="31">
        <v>376902.72</v>
      </c>
      <c r="Q174" s="31">
        <v>0</v>
      </c>
      <c r="R174" s="31">
        <v>0</v>
      </c>
      <c r="S174" s="31">
        <v>0</v>
      </c>
      <c r="T174" s="176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f t="shared" ref="AE174:AE179" si="43">ROUND(P174*1.5%,2)</f>
        <v>5653.54</v>
      </c>
      <c r="AF174" s="31">
        <v>0</v>
      </c>
      <c r="AG174" s="31">
        <v>0</v>
      </c>
      <c r="AH174" s="175" t="s">
        <v>268</v>
      </c>
      <c r="AI174" s="175">
        <v>2020</v>
      </c>
      <c r="AJ174" s="175">
        <v>2020</v>
      </c>
      <c r="AK174" s="58"/>
      <c r="AL174" s="58"/>
      <c r="AM174" s="58"/>
      <c r="AN174" s="58"/>
    </row>
    <row r="175" spans="1:40" ht="62.25" x14ac:dyDescent="0.9">
      <c r="A175" s="6">
        <v>1</v>
      </c>
      <c r="B175" s="60">
        <f>SUBTOTAL(103,$A$88:A175)</f>
        <v>80</v>
      </c>
      <c r="C175" s="174" t="s">
        <v>1463</v>
      </c>
      <c r="D175" s="65" t="s">
        <v>1881</v>
      </c>
      <c r="E175" s="63">
        <v>0.87345236547698324</v>
      </c>
      <c r="F175" s="31">
        <f t="shared" si="31"/>
        <v>381284.05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67">
        <v>0</v>
      </c>
      <c r="N175" s="31">
        <v>0</v>
      </c>
      <c r="O175" s="31">
        <v>1192.7</v>
      </c>
      <c r="P175" s="31">
        <v>375649.31</v>
      </c>
      <c r="Q175" s="31">
        <v>0</v>
      </c>
      <c r="R175" s="31">
        <v>0</v>
      </c>
      <c r="S175" s="31">
        <v>0</v>
      </c>
      <c r="T175" s="176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f t="shared" si="43"/>
        <v>5634.74</v>
      </c>
      <c r="AF175" s="31">
        <v>0</v>
      </c>
      <c r="AG175" s="31">
        <v>0</v>
      </c>
      <c r="AH175" s="175" t="s">
        <v>268</v>
      </c>
      <c r="AI175" s="175">
        <v>2020</v>
      </c>
      <c r="AJ175" s="175">
        <v>2020</v>
      </c>
      <c r="AK175" s="58"/>
      <c r="AL175" s="58"/>
      <c r="AM175" s="58"/>
      <c r="AN175" s="58"/>
    </row>
    <row r="176" spans="1:40" ht="62.25" x14ac:dyDescent="0.9">
      <c r="A176" s="6">
        <v>1</v>
      </c>
      <c r="B176" s="60">
        <f>SUBTOTAL(103,$A$88:A176)</f>
        <v>81</v>
      </c>
      <c r="C176" s="174" t="s">
        <v>382</v>
      </c>
      <c r="D176" s="65" t="s">
        <v>1881</v>
      </c>
      <c r="E176" s="63">
        <v>0.86236529068576662</v>
      </c>
      <c r="F176" s="31">
        <f t="shared" si="31"/>
        <v>292385.17000000004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67">
        <v>0</v>
      </c>
      <c r="N176" s="31">
        <v>0</v>
      </c>
      <c r="O176" s="31">
        <v>1207</v>
      </c>
      <c r="P176" s="31">
        <v>288064.21000000002</v>
      </c>
      <c r="Q176" s="31">
        <v>0</v>
      </c>
      <c r="R176" s="31">
        <v>0</v>
      </c>
      <c r="S176" s="31">
        <v>0</v>
      </c>
      <c r="T176" s="176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f t="shared" si="43"/>
        <v>4320.96</v>
      </c>
      <c r="AF176" s="31">
        <v>0</v>
      </c>
      <c r="AG176" s="31">
        <v>0</v>
      </c>
      <c r="AH176" s="175" t="s">
        <v>268</v>
      </c>
      <c r="AI176" s="175">
        <v>2020</v>
      </c>
      <c r="AJ176" s="175">
        <v>2020</v>
      </c>
      <c r="AK176" s="58"/>
      <c r="AL176" s="58"/>
      <c r="AM176" s="58"/>
      <c r="AN176" s="58"/>
    </row>
    <row r="177" spans="1:40" ht="62.25" x14ac:dyDescent="0.9">
      <c r="A177" s="6">
        <v>1</v>
      </c>
      <c r="B177" s="60">
        <f>SUBTOTAL(103,$A$88:A177)</f>
        <v>82</v>
      </c>
      <c r="C177" s="174" t="s">
        <v>1464</v>
      </c>
      <c r="D177" s="65" t="s">
        <v>1881</v>
      </c>
      <c r="E177" s="63">
        <v>0.85951459937778774</v>
      </c>
      <c r="F177" s="31">
        <f t="shared" si="31"/>
        <v>292385.17000000004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67">
        <v>0</v>
      </c>
      <c r="N177" s="31">
        <v>0</v>
      </c>
      <c r="O177" s="31">
        <v>1206</v>
      </c>
      <c r="P177" s="31">
        <v>288064.21000000002</v>
      </c>
      <c r="Q177" s="31">
        <v>0</v>
      </c>
      <c r="R177" s="31">
        <v>0</v>
      </c>
      <c r="S177" s="31">
        <v>0</v>
      </c>
      <c r="T177" s="176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f t="shared" si="43"/>
        <v>4320.96</v>
      </c>
      <c r="AF177" s="31">
        <v>0</v>
      </c>
      <c r="AG177" s="31">
        <v>0</v>
      </c>
      <c r="AH177" s="175" t="s">
        <v>268</v>
      </c>
      <c r="AI177" s="175">
        <v>2020</v>
      </c>
      <c r="AJ177" s="175">
        <v>2020</v>
      </c>
      <c r="AK177" s="58"/>
      <c r="AL177" s="58"/>
      <c r="AM177" s="58"/>
      <c r="AN177" s="58"/>
    </row>
    <row r="178" spans="1:40" ht="62.25" x14ac:dyDescent="0.9">
      <c r="A178" s="6">
        <v>1</v>
      </c>
      <c r="B178" s="60">
        <f>SUBTOTAL(103,$A$88:A178)</f>
        <v>83</v>
      </c>
      <c r="C178" s="174" t="s">
        <v>1465</v>
      </c>
      <c r="D178" s="65" t="s">
        <v>1881</v>
      </c>
      <c r="E178" s="63">
        <v>0.89797041453932691</v>
      </c>
      <c r="F178" s="31">
        <f>G178+H178+I178+J178+K178+L178+N178+P178+R178+T178+V178+W178+X178+Y178+Z178+AA178+AB178+AC178+AD178+AE178+AF178+AG178</f>
        <v>193920.28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67">
        <v>0</v>
      </c>
      <c r="N178" s="31">
        <v>0</v>
      </c>
      <c r="O178" s="31">
        <v>516.6</v>
      </c>
      <c r="P178" s="31">
        <v>191054.46</v>
      </c>
      <c r="Q178" s="31">
        <v>0</v>
      </c>
      <c r="R178" s="31">
        <v>0</v>
      </c>
      <c r="S178" s="31">
        <v>0</v>
      </c>
      <c r="T178" s="176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f t="shared" si="43"/>
        <v>2865.82</v>
      </c>
      <c r="AF178" s="31">
        <v>0</v>
      </c>
      <c r="AG178" s="31">
        <v>0</v>
      </c>
      <c r="AH178" s="175" t="s">
        <v>268</v>
      </c>
      <c r="AI178" s="175">
        <v>2020</v>
      </c>
      <c r="AJ178" s="175">
        <v>2020</v>
      </c>
      <c r="AK178" s="58"/>
      <c r="AL178" s="58"/>
      <c r="AM178" s="58"/>
      <c r="AN178" s="58"/>
    </row>
    <row r="179" spans="1:40" ht="62.25" x14ac:dyDescent="0.9">
      <c r="A179" s="6">
        <v>1</v>
      </c>
      <c r="B179" s="60">
        <f>SUBTOTAL(103,$A$88:A179)</f>
        <v>84</v>
      </c>
      <c r="C179" s="174" t="s">
        <v>2286</v>
      </c>
      <c r="D179" s="65">
        <v>2014</v>
      </c>
      <c r="E179" s="63">
        <v>0.96409999999999996</v>
      </c>
      <c r="F179" s="31">
        <f t="shared" si="31"/>
        <v>8047.75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67">
        <v>0</v>
      </c>
      <c r="N179" s="31">
        <v>0</v>
      </c>
      <c r="O179" s="31">
        <v>781</v>
      </c>
      <c r="P179" s="31">
        <v>7928.82</v>
      </c>
      <c r="Q179" s="31">
        <v>0</v>
      </c>
      <c r="R179" s="31">
        <v>0</v>
      </c>
      <c r="S179" s="31">
        <v>0</v>
      </c>
      <c r="T179" s="176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f t="shared" si="43"/>
        <v>118.93</v>
      </c>
      <c r="AF179" s="31">
        <v>0</v>
      </c>
      <c r="AG179" s="31">
        <v>0</v>
      </c>
      <c r="AH179" s="175" t="s">
        <v>268</v>
      </c>
      <c r="AI179" s="175">
        <v>2021</v>
      </c>
      <c r="AJ179" s="175">
        <v>2021</v>
      </c>
      <c r="AK179" s="58"/>
      <c r="AL179" s="58"/>
      <c r="AM179" s="58"/>
      <c r="AN179" s="58"/>
    </row>
    <row r="180" spans="1:40" ht="62.25" x14ac:dyDescent="0.9">
      <c r="B180" s="270" t="s">
        <v>884</v>
      </c>
      <c r="C180" s="271"/>
      <c r="D180" s="272" t="s">
        <v>890</v>
      </c>
      <c r="E180" s="63">
        <f>AVERAGE(E181:E182)</f>
        <v>0.86194999999999999</v>
      </c>
      <c r="F180" s="31">
        <f>SUM(F181:F182)</f>
        <v>3231773.15</v>
      </c>
      <c r="G180" s="31">
        <f t="shared" ref="G180:AG180" si="44">SUM(G181:G182)</f>
        <v>0</v>
      </c>
      <c r="H180" s="31">
        <f t="shared" si="44"/>
        <v>0</v>
      </c>
      <c r="I180" s="31">
        <f t="shared" si="44"/>
        <v>0</v>
      </c>
      <c r="J180" s="31">
        <f t="shared" si="44"/>
        <v>0</v>
      </c>
      <c r="K180" s="31">
        <f t="shared" si="44"/>
        <v>0</v>
      </c>
      <c r="L180" s="31">
        <f t="shared" si="44"/>
        <v>0</v>
      </c>
      <c r="M180" s="67">
        <f t="shared" si="44"/>
        <v>0</v>
      </c>
      <c r="N180" s="31">
        <f t="shared" si="44"/>
        <v>0</v>
      </c>
      <c r="O180" s="31">
        <f t="shared" si="44"/>
        <v>1625</v>
      </c>
      <c r="P180" s="31">
        <f t="shared" si="44"/>
        <v>3199617</v>
      </c>
      <c r="Q180" s="31">
        <f t="shared" si="44"/>
        <v>0</v>
      </c>
      <c r="R180" s="31">
        <f t="shared" si="44"/>
        <v>0</v>
      </c>
      <c r="S180" s="31">
        <f t="shared" si="44"/>
        <v>0</v>
      </c>
      <c r="T180" s="31">
        <f t="shared" si="44"/>
        <v>0</v>
      </c>
      <c r="U180" s="31">
        <f t="shared" si="44"/>
        <v>0</v>
      </c>
      <c r="V180" s="31">
        <f t="shared" si="44"/>
        <v>0</v>
      </c>
      <c r="W180" s="31">
        <f t="shared" si="44"/>
        <v>0</v>
      </c>
      <c r="X180" s="31">
        <f t="shared" si="44"/>
        <v>0</v>
      </c>
      <c r="Y180" s="31">
        <f t="shared" si="44"/>
        <v>0</v>
      </c>
      <c r="Z180" s="31">
        <f t="shared" si="44"/>
        <v>0</v>
      </c>
      <c r="AA180" s="31">
        <f t="shared" si="44"/>
        <v>0</v>
      </c>
      <c r="AB180" s="31">
        <f t="shared" si="44"/>
        <v>0</v>
      </c>
      <c r="AC180" s="31">
        <f t="shared" si="44"/>
        <v>0</v>
      </c>
      <c r="AD180" s="31">
        <f t="shared" si="44"/>
        <v>0</v>
      </c>
      <c r="AE180" s="31">
        <f t="shared" si="44"/>
        <v>32156.15</v>
      </c>
      <c r="AF180" s="31">
        <f t="shared" si="44"/>
        <v>0</v>
      </c>
      <c r="AG180" s="31">
        <f t="shared" si="44"/>
        <v>0</v>
      </c>
      <c r="AH180" s="175" t="s">
        <v>890</v>
      </c>
      <c r="AI180" s="175" t="s">
        <v>890</v>
      </c>
      <c r="AJ180" s="175" t="s">
        <v>890</v>
      </c>
      <c r="AK180" s="58"/>
      <c r="AL180" s="58"/>
      <c r="AM180" s="58"/>
      <c r="AN180" s="58"/>
    </row>
    <row r="181" spans="1:40" ht="62.25" x14ac:dyDescent="0.9">
      <c r="A181" s="6">
        <v>1</v>
      </c>
      <c r="B181" s="60">
        <f>SUBTOTAL(103,$A$88:A181)</f>
        <v>85</v>
      </c>
      <c r="C181" s="174" t="s">
        <v>1466</v>
      </c>
      <c r="D181" s="65" t="s">
        <v>1880</v>
      </c>
      <c r="E181" s="63">
        <v>0.82040000000000002</v>
      </c>
      <c r="F181" s="31">
        <f t="shared" si="31"/>
        <v>1617633.46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67">
        <v>0</v>
      </c>
      <c r="N181" s="31">
        <v>0</v>
      </c>
      <c r="O181" s="31">
        <v>812.5</v>
      </c>
      <c r="P181" s="31">
        <v>1601538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16095.46</v>
      </c>
      <c r="AF181" s="31">
        <v>0</v>
      </c>
      <c r="AG181" s="31">
        <v>0</v>
      </c>
      <c r="AH181" s="175" t="s">
        <v>268</v>
      </c>
      <c r="AI181" s="175">
        <v>2020</v>
      </c>
      <c r="AJ181" s="175">
        <v>2020</v>
      </c>
      <c r="AK181" s="58"/>
      <c r="AL181" s="58"/>
      <c r="AM181" s="58"/>
      <c r="AN181" s="58"/>
    </row>
    <row r="182" spans="1:40" ht="62.25" x14ac:dyDescent="0.9">
      <c r="A182" s="6">
        <v>1</v>
      </c>
      <c r="B182" s="60">
        <f>SUBTOTAL(103,$A$88:A182)</f>
        <v>86</v>
      </c>
      <c r="C182" s="174" t="s">
        <v>1467</v>
      </c>
      <c r="D182" s="65" t="s">
        <v>1881</v>
      </c>
      <c r="E182" s="63">
        <v>0.90349999999999997</v>
      </c>
      <c r="F182" s="31">
        <f>G182+H182+I182+J182+K182+L182+N182+P182+R182+T182+V182+W182+X182+Y182+Z182+AA182+AB182+AC182+AD182+AE182+AF182+AG182</f>
        <v>1614139.69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67">
        <v>0</v>
      </c>
      <c r="N182" s="31">
        <v>0</v>
      </c>
      <c r="O182" s="31">
        <v>812.5</v>
      </c>
      <c r="P182" s="31">
        <v>1598079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16060.69</v>
      </c>
      <c r="AF182" s="31">
        <v>0</v>
      </c>
      <c r="AG182" s="31">
        <v>0</v>
      </c>
      <c r="AH182" s="175" t="s">
        <v>268</v>
      </c>
      <c r="AI182" s="175">
        <v>2020</v>
      </c>
      <c r="AJ182" s="175">
        <v>2020</v>
      </c>
      <c r="AK182" s="58"/>
      <c r="AL182" s="58"/>
      <c r="AM182" s="58"/>
      <c r="AN182" s="58"/>
    </row>
    <row r="183" spans="1:40" ht="62.25" x14ac:dyDescent="0.9">
      <c r="B183" s="273" t="s">
        <v>1406</v>
      </c>
      <c r="C183" s="174"/>
      <c r="D183" s="272" t="s">
        <v>890</v>
      </c>
      <c r="E183" s="63">
        <f>AVERAGE(E184:E185)</f>
        <v>0.91439999999999999</v>
      </c>
      <c r="F183" s="31">
        <f>F184+F185</f>
        <v>35323.410000000003</v>
      </c>
      <c r="G183" s="31">
        <f t="shared" ref="G183:AG183" si="45">G184+G185</f>
        <v>0</v>
      </c>
      <c r="H183" s="31">
        <f t="shared" si="45"/>
        <v>0</v>
      </c>
      <c r="I183" s="31">
        <f t="shared" si="45"/>
        <v>0</v>
      </c>
      <c r="J183" s="31">
        <f t="shared" si="45"/>
        <v>0</v>
      </c>
      <c r="K183" s="31">
        <f t="shared" si="45"/>
        <v>0</v>
      </c>
      <c r="L183" s="31">
        <f t="shared" si="45"/>
        <v>0</v>
      </c>
      <c r="M183" s="31">
        <f t="shared" si="45"/>
        <v>0</v>
      </c>
      <c r="N183" s="31">
        <f t="shared" si="45"/>
        <v>0</v>
      </c>
      <c r="O183" s="31">
        <f t="shared" si="45"/>
        <v>776.1</v>
      </c>
      <c r="P183" s="31">
        <f t="shared" si="45"/>
        <v>34856.94</v>
      </c>
      <c r="Q183" s="31">
        <f t="shared" si="45"/>
        <v>0</v>
      </c>
      <c r="R183" s="31">
        <f t="shared" si="45"/>
        <v>0</v>
      </c>
      <c r="S183" s="31">
        <f t="shared" si="45"/>
        <v>0</v>
      </c>
      <c r="T183" s="31">
        <f t="shared" si="45"/>
        <v>0</v>
      </c>
      <c r="U183" s="31">
        <f t="shared" si="45"/>
        <v>0</v>
      </c>
      <c r="V183" s="31">
        <f t="shared" si="45"/>
        <v>0</v>
      </c>
      <c r="W183" s="31">
        <f t="shared" si="45"/>
        <v>0</v>
      </c>
      <c r="X183" s="31">
        <f t="shared" si="45"/>
        <v>0</v>
      </c>
      <c r="Y183" s="31">
        <f t="shared" si="45"/>
        <v>0</v>
      </c>
      <c r="Z183" s="31">
        <f t="shared" si="45"/>
        <v>0</v>
      </c>
      <c r="AA183" s="31">
        <f t="shared" si="45"/>
        <v>0</v>
      </c>
      <c r="AB183" s="31">
        <f t="shared" si="45"/>
        <v>0</v>
      </c>
      <c r="AC183" s="31">
        <f t="shared" si="45"/>
        <v>0</v>
      </c>
      <c r="AD183" s="31">
        <f t="shared" si="45"/>
        <v>0</v>
      </c>
      <c r="AE183" s="31">
        <f t="shared" si="45"/>
        <v>466.46999999999997</v>
      </c>
      <c r="AF183" s="31">
        <f t="shared" si="45"/>
        <v>0</v>
      </c>
      <c r="AG183" s="31">
        <f t="shared" si="45"/>
        <v>0</v>
      </c>
      <c r="AH183" s="175" t="s">
        <v>890</v>
      </c>
      <c r="AI183" s="175" t="s">
        <v>890</v>
      </c>
      <c r="AJ183" s="175" t="s">
        <v>890</v>
      </c>
      <c r="AK183" s="58"/>
      <c r="AL183" s="58"/>
      <c r="AM183" s="58"/>
      <c r="AN183" s="58"/>
    </row>
    <row r="184" spans="1:40" ht="62.25" x14ac:dyDescent="0.9">
      <c r="A184" s="6">
        <v>1</v>
      </c>
      <c r="B184" s="60">
        <f>SUBTOTAL(103,$A$88:A184)</f>
        <v>87</v>
      </c>
      <c r="C184" s="174" t="s">
        <v>1468</v>
      </c>
      <c r="D184" s="65" t="s">
        <v>1525</v>
      </c>
      <c r="E184" s="63">
        <v>0.93579999999999997</v>
      </c>
      <c r="F184" s="31">
        <f>G184+H184+I184+J184+K184+L184+N184+P184+R184+T184+V184+W184+X184+Y184+Z184+AA184+AB184+AC184+AD184+AE184+AF184+AG184</f>
        <v>11164.380000000001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67">
        <v>0</v>
      </c>
      <c r="N184" s="31">
        <v>0</v>
      </c>
      <c r="O184" s="31">
        <v>471.6</v>
      </c>
      <c r="P184" s="31">
        <v>11054.94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109.44</v>
      </c>
      <c r="AF184" s="31">
        <v>0</v>
      </c>
      <c r="AG184" s="31">
        <v>0</v>
      </c>
      <c r="AH184" s="175" t="s">
        <v>268</v>
      </c>
      <c r="AI184" s="175">
        <v>2020</v>
      </c>
      <c r="AJ184" s="175">
        <v>2020</v>
      </c>
      <c r="AK184" s="58"/>
      <c r="AL184" s="58"/>
      <c r="AM184" s="58"/>
      <c r="AN184" s="58"/>
    </row>
    <row r="185" spans="1:40" ht="62.25" x14ac:dyDescent="0.9">
      <c r="A185" s="6">
        <v>1</v>
      </c>
      <c r="B185" s="60">
        <f>SUBTOTAL(103,$A$88:A185)</f>
        <v>88</v>
      </c>
      <c r="C185" s="174" t="s">
        <v>1892</v>
      </c>
      <c r="D185" s="65" t="s">
        <v>1881</v>
      </c>
      <c r="E185" s="63">
        <v>0.89300000000000002</v>
      </c>
      <c r="F185" s="31">
        <f>P185+AE185</f>
        <v>24159.03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67">
        <v>0</v>
      </c>
      <c r="N185" s="31">
        <v>0</v>
      </c>
      <c r="O185" s="31">
        <v>304.5</v>
      </c>
      <c r="P185" s="31">
        <v>23802</v>
      </c>
      <c r="Q185" s="31">
        <v>0</v>
      </c>
      <c r="R185" s="31">
        <v>0</v>
      </c>
      <c r="S185" s="31">
        <v>0</v>
      </c>
      <c r="T185" s="176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f>ROUND(P185*1.5%,2)</f>
        <v>357.03</v>
      </c>
      <c r="AF185" s="31">
        <v>0</v>
      </c>
      <c r="AG185" s="31">
        <v>0</v>
      </c>
      <c r="AH185" s="175" t="s">
        <v>268</v>
      </c>
      <c r="AI185" s="175">
        <v>2021</v>
      </c>
      <c r="AJ185" s="175">
        <v>2021</v>
      </c>
      <c r="AK185" s="58"/>
      <c r="AL185" s="58"/>
      <c r="AM185" s="58"/>
      <c r="AN185" s="58"/>
    </row>
    <row r="186" spans="1:40" ht="62.25" x14ac:dyDescent="0.9">
      <c r="B186" s="273" t="s">
        <v>860</v>
      </c>
      <c r="C186" s="174"/>
      <c r="D186" s="272" t="s">
        <v>890</v>
      </c>
      <c r="E186" s="63">
        <f>E187</f>
        <v>0.9657</v>
      </c>
      <c r="F186" s="31">
        <f>F187</f>
        <v>778244.79</v>
      </c>
      <c r="G186" s="31">
        <f t="shared" ref="G186:AG186" si="46">G187</f>
        <v>0</v>
      </c>
      <c r="H186" s="31">
        <f t="shared" si="46"/>
        <v>0</v>
      </c>
      <c r="I186" s="31">
        <f t="shared" si="46"/>
        <v>0</v>
      </c>
      <c r="J186" s="31">
        <f t="shared" si="46"/>
        <v>0</v>
      </c>
      <c r="K186" s="31">
        <f t="shared" si="46"/>
        <v>0</v>
      </c>
      <c r="L186" s="31">
        <f t="shared" si="46"/>
        <v>0</v>
      </c>
      <c r="M186" s="67">
        <f t="shared" si="46"/>
        <v>0</v>
      </c>
      <c r="N186" s="31">
        <f t="shared" si="46"/>
        <v>0</v>
      </c>
      <c r="O186" s="31">
        <f t="shared" si="46"/>
        <v>972.5</v>
      </c>
      <c r="P186" s="31">
        <f t="shared" si="46"/>
        <v>766743.64</v>
      </c>
      <c r="Q186" s="31">
        <f t="shared" si="46"/>
        <v>0</v>
      </c>
      <c r="R186" s="31">
        <f t="shared" si="46"/>
        <v>0</v>
      </c>
      <c r="S186" s="31">
        <f t="shared" si="46"/>
        <v>0</v>
      </c>
      <c r="T186" s="31">
        <f t="shared" si="46"/>
        <v>0</v>
      </c>
      <c r="U186" s="31">
        <f t="shared" si="46"/>
        <v>0</v>
      </c>
      <c r="V186" s="31">
        <f t="shared" si="46"/>
        <v>0</v>
      </c>
      <c r="W186" s="31">
        <f t="shared" si="46"/>
        <v>0</v>
      </c>
      <c r="X186" s="31">
        <f t="shared" si="46"/>
        <v>0</v>
      </c>
      <c r="Y186" s="31">
        <f t="shared" si="46"/>
        <v>0</v>
      </c>
      <c r="Z186" s="31">
        <f t="shared" si="46"/>
        <v>0</v>
      </c>
      <c r="AA186" s="31">
        <f t="shared" si="46"/>
        <v>0</v>
      </c>
      <c r="AB186" s="31">
        <f t="shared" si="46"/>
        <v>0</v>
      </c>
      <c r="AC186" s="31">
        <f t="shared" si="46"/>
        <v>0</v>
      </c>
      <c r="AD186" s="31">
        <f t="shared" si="46"/>
        <v>0</v>
      </c>
      <c r="AE186" s="31">
        <f t="shared" si="46"/>
        <v>11501.15</v>
      </c>
      <c r="AF186" s="31">
        <f t="shared" si="46"/>
        <v>0</v>
      </c>
      <c r="AG186" s="31">
        <f t="shared" si="46"/>
        <v>0</v>
      </c>
      <c r="AH186" s="175" t="s">
        <v>890</v>
      </c>
      <c r="AI186" s="175" t="s">
        <v>890</v>
      </c>
      <c r="AJ186" s="175" t="s">
        <v>890</v>
      </c>
      <c r="AK186" s="58"/>
      <c r="AL186" s="58"/>
      <c r="AM186" s="58"/>
      <c r="AN186" s="58"/>
    </row>
    <row r="187" spans="1:40" ht="62.25" x14ac:dyDescent="0.9">
      <c r="A187" s="6">
        <v>1</v>
      </c>
      <c r="B187" s="60">
        <f>SUBTOTAL(103,$A$88:A187)</f>
        <v>89</v>
      </c>
      <c r="C187" s="174" t="s">
        <v>1469</v>
      </c>
      <c r="D187" s="65" t="s">
        <v>1525</v>
      </c>
      <c r="E187" s="63">
        <v>0.9657</v>
      </c>
      <c r="F187" s="31">
        <f>G187+H187+I187+J187+K187+L187+N187+P187+R187+T187+V187+W187+X187+Y187+Z187+AA187+AB187+AC187+AD187+AE187+AF187+AG187</f>
        <v>778244.79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67">
        <v>0</v>
      </c>
      <c r="N187" s="31">
        <v>0</v>
      </c>
      <c r="O187" s="31">
        <v>972.5</v>
      </c>
      <c r="P187" s="31">
        <v>766743.64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f>ROUND(P187*1.5%,2)</f>
        <v>11501.15</v>
      </c>
      <c r="AF187" s="31">
        <v>0</v>
      </c>
      <c r="AG187" s="31">
        <v>0</v>
      </c>
      <c r="AH187" s="175" t="s">
        <v>268</v>
      </c>
      <c r="AI187" s="175">
        <v>2020</v>
      </c>
      <c r="AJ187" s="175">
        <v>2020</v>
      </c>
      <c r="AK187" s="58"/>
      <c r="AL187" s="58"/>
      <c r="AM187" s="58"/>
      <c r="AN187" s="58"/>
    </row>
    <row r="188" spans="1:40" ht="62.25" x14ac:dyDescent="0.9">
      <c r="B188" s="273" t="s">
        <v>846</v>
      </c>
      <c r="C188" s="174"/>
      <c r="D188" s="272" t="s">
        <v>890</v>
      </c>
      <c r="E188" s="63">
        <f>AVERAGE(E189:E193)</f>
        <v>0.82111999999999996</v>
      </c>
      <c r="F188" s="31">
        <f>SUM(F189:F193)</f>
        <v>1856585.2200000002</v>
      </c>
      <c r="G188" s="31">
        <f t="shared" ref="G188:AG188" si="47">SUM(G189:G193)</f>
        <v>0</v>
      </c>
      <c r="H188" s="31">
        <f t="shared" si="47"/>
        <v>0</v>
      </c>
      <c r="I188" s="31">
        <f t="shared" si="47"/>
        <v>0</v>
      </c>
      <c r="J188" s="31">
        <f t="shared" si="47"/>
        <v>0</v>
      </c>
      <c r="K188" s="31">
        <f t="shared" si="47"/>
        <v>0</v>
      </c>
      <c r="L188" s="31">
        <f t="shared" si="47"/>
        <v>0</v>
      </c>
      <c r="M188" s="67">
        <f t="shared" si="47"/>
        <v>0</v>
      </c>
      <c r="N188" s="31">
        <f t="shared" si="47"/>
        <v>0</v>
      </c>
      <c r="O188" s="31">
        <f t="shared" si="47"/>
        <v>3056.1</v>
      </c>
      <c r="P188" s="31">
        <f t="shared" si="47"/>
        <v>1599138.5899999999</v>
      </c>
      <c r="Q188" s="31">
        <f t="shared" si="47"/>
        <v>0</v>
      </c>
      <c r="R188" s="31">
        <f t="shared" si="47"/>
        <v>0</v>
      </c>
      <c r="S188" s="31">
        <f t="shared" si="47"/>
        <v>157.6</v>
      </c>
      <c r="T188" s="31">
        <f t="shared" si="47"/>
        <v>230009.4</v>
      </c>
      <c r="U188" s="31">
        <f t="shared" si="47"/>
        <v>0</v>
      </c>
      <c r="V188" s="31">
        <f t="shared" si="47"/>
        <v>0</v>
      </c>
      <c r="W188" s="31">
        <f t="shared" si="47"/>
        <v>0</v>
      </c>
      <c r="X188" s="31">
        <f t="shared" si="47"/>
        <v>0</v>
      </c>
      <c r="Y188" s="31">
        <f t="shared" si="47"/>
        <v>0</v>
      </c>
      <c r="Z188" s="31">
        <f t="shared" si="47"/>
        <v>0</v>
      </c>
      <c r="AA188" s="31">
        <f t="shared" si="47"/>
        <v>0</v>
      </c>
      <c r="AB188" s="31">
        <f t="shared" si="47"/>
        <v>0</v>
      </c>
      <c r="AC188" s="31">
        <f t="shared" si="47"/>
        <v>0</v>
      </c>
      <c r="AD188" s="31">
        <f t="shared" si="47"/>
        <v>0</v>
      </c>
      <c r="AE188" s="31">
        <f t="shared" si="47"/>
        <v>27437.230000000003</v>
      </c>
      <c r="AF188" s="31">
        <f t="shared" si="47"/>
        <v>0</v>
      </c>
      <c r="AG188" s="31">
        <f t="shared" si="47"/>
        <v>0</v>
      </c>
      <c r="AH188" s="175" t="s">
        <v>890</v>
      </c>
      <c r="AI188" s="175" t="s">
        <v>890</v>
      </c>
      <c r="AJ188" s="175" t="s">
        <v>890</v>
      </c>
      <c r="AK188" s="58"/>
      <c r="AL188" s="58"/>
      <c r="AM188" s="58"/>
      <c r="AN188" s="58"/>
    </row>
    <row r="189" spans="1:40" ht="62.25" x14ac:dyDescent="0.9">
      <c r="A189" s="6">
        <v>1</v>
      </c>
      <c r="B189" s="60">
        <f>SUBTOTAL(103,$A$88:A189)</f>
        <v>90</v>
      </c>
      <c r="C189" s="174" t="s">
        <v>1470</v>
      </c>
      <c r="D189" s="65" t="s">
        <v>1525</v>
      </c>
      <c r="E189" s="63">
        <v>0.83589999999999998</v>
      </c>
      <c r="F189" s="31">
        <f>G189+H189+I189+J189+K189+L189+N189+P189+R189+T189+V189+W189+X189+Y189+Z189+AA189+AB189+AC189+AD189+AE189+AF189+AG189</f>
        <v>672709.20000000007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67">
        <v>0</v>
      </c>
      <c r="N189" s="31">
        <v>0</v>
      </c>
      <c r="O189" s="31">
        <v>958</v>
      </c>
      <c r="P189" s="31">
        <v>662767.68000000005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f>ROUND(P189*1.5%,2)</f>
        <v>9941.52</v>
      </c>
      <c r="AF189" s="31">
        <v>0</v>
      </c>
      <c r="AG189" s="31">
        <v>0</v>
      </c>
      <c r="AH189" s="175" t="s">
        <v>268</v>
      </c>
      <c r="AI189" s="175">
        <v>2020</v>
      </c>
      <c r="AJ189" s="175">
        <v>2020</v>
      </c>
      <c r="AK189" s="58"/>
      <c r="AL189" s="58"/>
      <c r="AM189" s="58"/>
      <c r="AN189" s="58"/>
    </row>
    <row r="190" spans="1:40" ht="62.25" x14ac:dyDescent="0.9">
      <c r="A190" s="6">
        <v>1</v>
      </c>
      <c r="B190" s="60">
        <f>SUBTOTAL(103,$A$88:A190)</f>
        <v>91</v>
      </c>
      <c r="C190" s="174" t="s">
        <v>1471</v>
      </c>
      <c r="D190" s="65" t="s">
        <v>1525</v>
      </c>
      <c r="E190" s="63">
        <v>0.86939999999999995</v>
      </c>
      <c r="F190" s="31">
        <f>G190+H190+I190+J190+K190+L190+N190+P190+R190+T190+V190+W190+X190+Y190+Z190+AA190+AB190+AC190+AD190+AE190+AF190+AG190</f>
        <v>5758.94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67">
        <v>0</v>
      </c>
      <c r="N190" s="31">
        <v>0</v>
      </c>
      <c r="O190" s="31">
        <v>611</v>
      </c>
      <c r="P190" s="31">
        <v>5673.83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f>ROUND(P190*1.5%,2)</f>
        <v>85.11</v>
      </c>
      <c r="AF190" s="31">
        <v>0</v>
      </c>
      <c r="AG190" s="31">
        <v>0</v>
      </c>
      <c r="AH190" s="175" t="s">
        <v>268</v>
      </c>
      <c r="AI190" s="175">
        <v>2020</v>
      </c>
      <c r="AJ190" s="175">
        <v>2020</v>
      </c>
      <c r="AK190" s="58"/>
      <c r="AL190" s="58"/>
      <c r="AM190" s="58"/>
      <c r="AN190" s="58"/>
    </row>
    <row r="191" spans="1:40" ht="62.25" x14ac:dyDescent="0.9">
      <c r="A191" s="6">
        <v>1</v>
      </c>
      <c r="B191" s="60">
        <f>SUBTOTAL(103,$A$88:A191)</f>
        <v>92</v>
      </c>
      <c r="C191" s="174" t="s">
        <v>1472</v>
      </c>
      <c r="D191" s="79" t="s">
        <v>1881</v>
      </c>
      <c r="E191" s="63">
        <v>0.62490000000000001</v>
      </c>
      <c r="F191" s="31">
        <f>G191+H191+I191+J191+K191+L191+N191+P191+R191+T191+V191+W191+X191+Y191+Z191+AA191+AB191+AC191+AD191+AE191+AF191+AG191</f>
        <v>233459.54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67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157.6</v>
      </c>
      <c r="T191" s="31">
        <v>230009.4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f>ROUND(T191*1.5%,2)</f>
        <v>3450.14</v>
      </c>
      <c r="AF191" s="31">
        <v>0</v>
      </c>
      <c r="AG191" s="31">
        <v>0</v>
      </c>
      <c r="AH191" s="175" t="s">
        <v>268</v>
      </c>
      <c r="AI191" s="175">
        <v>2020</v>
      </c>
      <c r="AJ191" s="175">
        <v>2020</v>
      </c>
      <c r="AK191" s="58"/>
      <c r="AL191" s="58"/>
      <c r="AM191" s="58"/>
      <c r="AN191" s="58"/>
    </row>
    <row r="192" spans="1:40" ht="62.25" x14ac:dyDescent="0.9">
      <c r="A192" s="6">
        <v>1</v>
      </c>
      <c r="B192" s="60">
        <f>SUBTOTAL(103,$A$88:A192)</f>
        <v>93</v>
      </c>
      <c r="C192" s="174" t="s">
        <v>1499</v>
      </c>
      <c r="D192" s="65" t="s">
        <v>1881</v>
      </c>
      <c r="E192" s="63">
        <v>0.875</v>
      </c>
      <c r="F192" s="31">
        <f>G192+H192+I192+J192+K192+L192+N192+P192+R192+T192+V192+W192+X192+Y192+Z192+AA192+AB192+AC192+AD192+AE192+AF192+AG192</f>
        <v>57671.29</v>
      </c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67">
        <v>0</v>
      </c>
      <c r="N192" s="31">
        <v>0</v>
      </c>
      <c r="O192" s="31">
        <v>508</v>
      </c>
      <c r="P192" s="31">
        <v>56819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f>ROUND(P192*1.5%,2)</f>
        <v>852.29</v>
      </c>
      <c r="AF192" s="31">
        <v>0</v>
      </c>
      <c r="AG192" s="31">
        <v>0</v>
      </c>
      <c r="AH192" s="175" t="s">
        <v>268</v>
      </c>
      <c r="AI192" s="34">
        <v>2021</v>
      </c>
      <c r="AJ192" s="34">
        <v>2021</v>
      </c>
      <c r="AK192" s="58"/>
      <c r="AL192" s="58"/>
      <c r="AM192" s="58"/>
      <c r="AN192" s="58"/>
    </row>
    <row r="193" spans="1:40" ht="62.25" x14ac:dyDescent="0.9">
      <c r="A193" s="6">
        <v>1</v>
      </c>
      <c r="B193" s="60">
        <f>SUBTOTAL(103,$A$88:A193)</f>
        <v>94</v>
      </c>
      <c r="C193" s="174" t="s">
        <v>2283</v>
      </c>
      <c r="D193" s="65">
        <v>2015</v>
      </c>
      <c r="E193" s="63">
        <v>0.90039999999999998</v>
      </c>
      <c r="F193" s="31">
        <f>G193+H193+I193+J193+K193+L193+N193+P193+R193+T193+V193+W193+X193+Y193+Z193+AA193+AB193+AC193+AD193+AE193+AF193+AG193</f>
        <v>886986.25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67">
        <v>0</v>
      </c>
      <c r="N193" s="31">
        <v>0</v>
      </c>
      <c r="O193" s="31">
        <v>979.1</v>
      </c>
      <c r="P193" s="31">
        <v>873878.08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f>ROUND(P193*1.5%,2)</f>
        <v>13108.17</v>
      </c>
      <c r="AF193" s="31">
        <v>0</v>
      </c>
      <c r="AG193" s="31">
        <v>0</v>
      </c>
      <c r="AH193" s="175" t="s">
        <v>268</v>
      </c>
      <c r="AI193" s="34">
        <v>2021</v>
      </c>
      <c r="AJ193" s="34">
        <v>2021</v>
      </c>
      <c r="AK193" s="58"/>
      <c r="AL193" s="58"/>
      <c r="AM193" s="58"/>
      <c r="AN193" s="58"/>
    </row>
    <row r="194" spans="1:40" ht="62.25" x14ac:dyDescent="0.9">
      <c r="B194" s="273" t="s">
        <v>870</v>
      </c>
      <c r="C194" s="174"/>
      <c r="D194" s="272" t="s">
        <v>890</v>
      </c>
      <c r="E194" s="63">
        <f>E195</f>
        <v>0.93430000000000002</v>
      </c>
      <c r="F194" s="31">
        <f>F195</f>
        <v>425208.96</v>
      </c>
      <c r="G194" s="31">
        <f t="shared" ref="G194:AG194" si="48">G195</f>
        <v>0</v>
      </c>
      <c r="H194" s="31">
        <f t="shared" si="48"/>
        <v>0</v>
      </c>
      <c r="I194" s="31">
        <f t="shared" si="48"/>
        <v>0</v>
      </c>
      <c r="J194" s="31">
        <f t="shared" si="48"/>
        <v>0</v>
      </c>
      <c r="K194" s="31">
        <f t="shared" si="48"/>
        <v>0</v>
      </c>
      <c r="L194" s="31">
        <f t="shared" si="48"/>
        <v>0</v>
      </c>
      <c r="M194" s="67">
        <f t="shared" si="48"/>
        <v>0</v>
      </c>
      <c r="N194" s="31">
        <f t="shared" si="48"/>
        <v>0</v>
      </c>
      <c r="O194" s="31">
        <f t="shared" si="48"/>
        <v>1223</v>
      </c>
      <c r="P194" s="31">
        <f t="shared" si="48"/>
        <v>425208.96</v>
      </c>
      <c r="Q194" s="31">
        <f t="shared" si="48"/>
        <v>0</v>
      </c>
      <c r="R194" s="31">
        <f t="shared" si="48"/>
        <v>0</v>
      </c>
      <c r="S194" s="31">
        <f t="shared" si="48"/>
        <v>0</v>
      </c>
      <c r="T194" s="31">
        <f t="shared" si="48"/>
        <v>0</v>
      </c>
      <c r="U194" s="31">
        <f t="shared" si="48"/>
        <v>0</v>
      </c>
      <c r="V194" s="31">
        <f t="shared" si="48"/>
        <v>0</v>
      </c>
      <c r="W194" s="31">
        <f t="shared" si="48"/>
        <v>0</v>
      </c>
      <c r="X194" s="31">
        <f t="shared" si="48"/>
        <v>0</v>
      </c>
      <c r="Y194" s="31">
        <f t="shared" si="48"/>
        <v>0</v>
      </c>
      <c r="Z194" s="31">
        <f t="shared" si="48"/>
        <v>0</v>
      </c>
      <c r="AA194" s="31">
        <f t="shared" si="48"/>
        <v>0</v>
      </c>
      <c r="AB194" s="31">
        <f t="shared" si="48"/>
        <v>0</v>
      </c>
      <c r="AC194" s="31">
        <f t="shared" si="48"/>
        <v>0</v>
      </c>
      <c r="AD194" s="31">
        <f t="shared" si="48"/>
        <v>0</v>
      </c>
      <c r="AE194" s="31">
        <f t="shared" si="48"/>
        <v>0</v>
      </c>
      <c r="AF194" s="31">
        <f t="shared" si="48"/>
        <v>0</v>
      </c>
      <c r="AG194" s="31">
        <f t="shared" si="48"/>
        <v>0</v>
      </c>
      <c r="AH194" s="175" t="s">
        <v>890</v>
      </c>
      <c r="AI194" s="175" t="s">
        <v>890</v>
      </c>
      <c r="AJ194" s="175" t="s">
        <v>890</v>
      </c>
      <c r="AK194" s="58"/>
      <c r="AL194" s="58"/>
      <c r="AM194" s="58"/>
      <c r="AN194" s="58"/>
    </row>
    <row r="195" spans="1:40" ht="62.25" x14ac:dyDescent="0.9">
      <c r="A195" s="6">
        <v>1</v>
      </c>
      <c r="B195" s="60">
        <f>SUBTOTAL(103,$A$88:A195)</f>
        <v>95</v>
      </c>
      <c r="C195" s="174" t="s">
        <v>1473</v>
      </c>
      <c r="D195" s="65" t="s">
        <v>1880</v>
      </c>
      <c r="E195" s="63">
        <v>0.93430000000000002</v>
      </c>
      <c r="F195" s="31">
        <f>G195+H195+I195+J195+K195+L195+N195+P195+R195+T195+V195+W195+X195+Y195+Z195+AA195+AB195+AC195+AD195+AE195+AF195+AG195</f>
        <v>425208.96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67">
        <v>0</v>
      </c>
      <c r="N195" s="31">
        <v>0</v>
      </c>
      <c r="O195" s="31">
        <v>1223</v>
      </c>
      <c r="P195" s="31">
        <v>425208.96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175" t="s">
        <v>268</v>
      </c>
      <c r="AI195" s="175">
        <v>2020</v>
      </c>
      <c r="AJ195" s="175" t="s">
        <v>268</v>
      </c>
      <c r="AK195" s="58"/>
      <c r="AL195" s="58"/>
      <c r="AM195" s="58"/>
      <c r="AN195" s="58"/>
    </row>
    <row r="196" spans="1:40" ht="62.25" x14ac:dyDescent="0.9">
      <c r="B196" s="273" t="s">
        <v>831</v>
      </c>
      <c r="C196" s="174"/>
      <c r="D196" s="272" t="s">
        <v>890</v>
      </c>
      <c r="E196" s="63">
        <f>AVERAGE(E197:E198)</f>
        <v>0.96888059793717207</v>
      </c>
      <c r="F196" s="31">
        <f>F197+F198</f>
        <v>243092.59999999998</v>
      </c>
      <c r="G196" s="31">
        <f t="shared" ref="G196:AG196" si="49">G197+G198</f>
        <v>0</v>
      </c>
      <c r="H196" s="31">
        <f t="shared" si="49"/>
        <v>0</v>
      </c>
      <c r="I196" s="31">
        <f t="shared" si="49"/>
        <v>0</v>
      </c>
      <c r="J196" s="31">
        <f t="shared" si="49"/>
        <v>0</v>
      </c>
      <c r="K196" s="31">
        <f t="shared" si="49"/>
        <v>0</v>
      </c>
      <c r="L196" s="31">
        <f t="shared" si="49"/>
        <v>0</v>
      </c>
      <c r="M196" s="31">
        <f t="shared" si="49"/>
        <v>0</v>
      </c>
      <c r="N196" s="31">
        <f t="shared" si="49"/>
        <v>0</v>
      </c>
      <c r="O196" s="31">
        <f t="shared" si="49"/>
        <v>1404.8</v>
      </c>
      <c r="P196" s="31">
        <f t="shared" si="49"/>
        <v>239500.09999999998</v>
      </c>
      <c r="Q196" s="31">
        <f t="shared" si="49"/>
        <v>0</v>
      </c>
      <c r="R196" s="31">
        <f t="shared" si="49"/>
        <v>0</v>
      </c>
      <c r="S196" s="31">
        <f t="shared" si="49"/>
        <v>0</v>
      </c>
      <c r="T196" s="31">
        <f t="shared" si="49"/>
        <v>0</v>
      </c>
      <c r="U196" s="31">
        <f t="shared" si="49"/>
        <v>0</v>
      </c>
      <c r="V196" s="31">
        <f t="shared" si="49"/>
        <v>0</v>
      </c>
      <c r="W196" s="31">
        <f t="shared" si="49"/>
        <v>0</v>
      </c>
      <c r="X196" s="31">
        <f t="shared" si="49"/>
        <v>0</v>
      </c>
      <c r="Y196" s="31">
        <f t="shared" si="49"/>
        <v>0</v>
      </c>
      <c r="Z196" s="31">
        <f t="shared" si="49"/>
        <v>0</v>
      </c>
      <c r="AA196" s="31">
        <f t="shared" si="49"/>
        <v>0</v>
      </c>
      <c r="AB196" s="31">
        <f t="shared" si="49"/>
        <v>0</v>
      </c>
      <c r="AC196" s="31">
        <f t="shared" si="49"/>
        <v>0</v>
      </c>
      <c r="AD196" s="31">
        <f t="shared" si="49"/>
        <v>0</v>
      </c>
      <c r="AE196" s="31">
        <f t="shared" si="49"/>
        <v>3592.5</v>
      </c>
      <c r="AF196" s="31">
        <f t="shared" si="49"/>
        <v>0</v>
      </c>
      <c r="AG196" s="31">
        <f t="shared" si="49"/>
        <v>0</v>
      </c>
      <c r="AH196" s="175" t="s">
        <v>890</v>
      </c>
      <c r="AI196" s="175" t="s">
        <v>890</v>
      </c>
      <c r="AJ196" s="175" t="s">
        <v>890</v>
      </c>
      <c r="AK196" s="58"/>
      <c r="AL196" s="58"/>
      <c r="AM196" s="58"/>
      <c r="AN196" s="58"/>
    </row>
    <row r="197" spans="1:40" ht="62.25" x14ac:dyDescent="0.9">
      <c r="A197" s="6">
        <v>1</v>
      </c>
      <c r="B197" s="60">
        <f>SUBTOTAL(103,$A$88:A197)</f>
        <v>96</v>
      </c>
      <c r="C197" s="174" t="s">
        <v>1474</v>
      </c>
      <c r="D197" s="65" t="s">
        <v>1880</v>
      </c>
      <c r="E197" s="63">
        <v>0.96641898912086177</v>
      </c>
      <c r="F197" s="31">
        <f>G197+H197+I197+J197+K197+L197+N197+P197+R197+T197+V197+W197+X197+Y197+Z197+AA197+AB197+AC197+AD197+AE197+AF197+AG197</f>
        <v>218819.08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67">
        <v>0</v>
      </c>
      <c r="N197" s="31">
        <v>0</v>
      </c>
      <c r="O197" s="31">
        <v>729.8</v>
      </c>
      <c r="P197" s="31">
        <v>215585.3</v>
      </c>
      <c r="Q197" s="31">
        <v>0</v>
      </c>
      <c r="R197" s="31">
        <v>0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f>ROUND(P197*1.5%,2)</f>
        <v>3233.78</v>
      </c>
      <c r="AF197" s="31">
        <v>0</v>
      </c>
      <c r="AG197" s="31">
        <v>0</v>
      </c>
      <c r="AH197" s="175" t="s">
        <v>268</v>
      </c>
      <c r="AI197" s="175">
        <v>2020</v>
      </c>
      <c r="AJ197" s="175">
        <v>2020</v>
      </c>
      <c r="AK197" s="58"/>
      <c r="AL197" s="58"/>
      <c r="AM197" s="58"/>
      <c r="AN197" s="58"/>
    </row>
    <row r="198" spans="1:40" ht="62.25" x14ac:dyDescent="0.9">
      <c r="A198" s="6">
        <v>1</v>
      </c>
      <c r="B198" s="60">
        <f>SUBTOTAL(103,$A$88:A198)</f>
        <v>97</v>
      </c>
      <c r="C198" s="174" t="s">
        <v>1893</v>
      </c>
      <c r="D198" s="65" t="s">
        <v>1881</v>
      </c>
      <c r="E198" s="63">
        <v>0.97134220675348237</v>
      </c>
      <c r="F198" s="31">
        <f>P198+AE198</f>
        <v>24273.52</v>
      </c>
      <c r="G198" s="31">
        <v>0</v>
      </c>
      <c r="H198" s="31">
        <v>0</v>
      </c>
      <c r="I198" s="31">
        <v>0</v>
      </c>
      <c r="J198" s="31">
        <v>0</v>
      </c>
      <c r="K198" s="31">
        <v>0</v>
      </c>
      <c r="L198" s="31">
        <v>0</v>
      </c>
      <c r="M198" s="67">
        <v>0</v>
      </c>
      <c r="N198" s="31">
        <v>0</v>
      </c>
      <c r="O198" s="31">
        <v>675</v>
      </c>
      <c r="P198" s="31">
        <v>23914.799999999999</v>
      </c>
      <c r="Q198" s="31">
        <v>0</v>
      </c>
      <c r="R198" s="31">
        <v>0</v>
      </c>
      <c r="S198" s="31">
        <v>0</v>
      </c>
      <c r="T198" s="176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f>ROUND(P198*1.5%,2)</f>
        <v>358.72</v>
      </c>
      <c r="AF198" s="31">
        <v>0</v>
      </c>
      <c r="AG198" s="31">
        <v>0</v>
      </c>
      <c r="AH198" s="175" t="s">
        <v>268</v>
      </c>
      <c r="AI198" s="175">
        <v>2021</v>
      </c>
      <c r="AJ198" s="175">
        <v>2021</v>
      </c>
      <c r="AK198" s="58"/>
      <c r="AL198" s="58"/>
      <c r="AM198" s="58"/>
      <c r="AN198" s="58"/>
    </row>
    <row r="199" spans="1:40" ht="62.25" x14ac:dyDescent="0.9">
      <c r="B199" s="273" t="s">
        <v>843</v>
      </c>
      <c r="C199" s="174"/>
      <c r="D199" s="272" t="s">
        <v>890</v>
      </c>
      <c r="E199" s="63">
        <f>AVERAGE(E200:E201)</f>
        <v>0.79569999999999996</v>
      </c>
      <c r="F199" s="31">
        <f>F200+F201</f>
        <v>1988549.43</v>
      </c>
      <c r="G199" s="31">
        <f t="shared" ref="G199:AF199" si="50">G200+G201</f>
        <v>0</v>
      </c>
      <c r="H199" s="31">
        <f t="shared" si="50"/>
        <v>0</v>
      </c>
      <c r="I199" s="31">
        <f t="shared" si="50"/>
        <v>0</v>
      </c>
      <c r="J199" s="31">
        <f t="shared" si="50"/>
        <v>0</v>
      </c>
      <c r="K199" s="31">
        <f t="shared" si="50"/>
        <v>0</v>
      </c>
      <c r="L199" s="31">
        <f t="shared" si="50"/>
        <v>0</v>
      </c>
      <c r="M199" s="67">
        <f t="shared" si="50"/>
        <v>0</v>
      </c>
      <c r="N199" s="31">
        <f t="shared" si="50"/>
        <v>0</v>
      </c>
      <c r="O199" s="31">
        <f t="shared" si="50"/>
        <v>4741.7</v>
      </c>
      <c r="P199" s="31">
        <f t="shared" si="50"/>
        <v>1959162</v>
      </c>
      <c r="Q199" s="31">
        <f t="shared" si="50"/>
        <v>0</v>
      </c>
      <c r="R199" s="31">
        <f t="shared" si="50"/>
        <v>0</v>
      </c>
      <c r="S199" s="31">
        <f t="shared" si="50"/>
        <v>0</v>
      </c>
      <c r="T199" s="31">
        <f t="shared" si="50"/>
        <v>0</v>
      </c>
      <c r="U199" s="31">
        <f t="shared" si="50"/>
        <v>0</v>
      </c>
      <c r="V199" s="31">
        <f t="shared" si="50"/>
        <v>0</v>
      </c>
      <c r="W199" s="31">
        <f t="shared" si="50"/>
        <v>0</v>
      </c>
      <c r="X199" s="31">
        <f t="shared" si="50"/>
        <v>0</v>
      </c>
      <c r="Y199" s="31">
        <f t="shared" si="50"/>
        <v>0</v>
      </c>
      <c r="Z199" s="31">
        <f t="shared" si="50"/>
        <v>0</v>
      </c>
      <c r="AA199" s="31">
        <f t="shared" si="50"/>
        <v>0</v>
      </c>
      <c r="AB199" s="31">
        <f t="shared" si="50"/>
        <v>0</v>
      </c>
      <c r="AC199" s="31">
        <f t="shared" si="50"/>
        <v>0</v>
      </c>
      <c r="AD199" s="31">
        <f t="shared" si="50"/>
        <v>0</v>
      </c>
      <c r="AE199" s="31">
        <f t="shared" si="50"/>
        <v>29387.43</v>
      </c>
      <c r="AF199" s="31">
        <f t="shared" si="50"/>
        <v>0</v>
      </c>
      <c r="AG199" s="31">
        <f>AG200+AG201</f>
        <v>0</v>
      </c>
      <c r="AH199" s="175" t="s">
        <v>890</v>
      </c>
      <c r="AI199" s="175" t="s">
        <v>890</v>
      </c>
      <c r="AJ199" s="175" t="s">
        <v>890</v>
      </c>
      <c r="AK199" s="58"/>
      <c r="AL199" s="58"/>
      <c r="AM199" s="58"/>
      <c r="AN199" s="58"/>
    </row>
    <row r="200" spans="1:40" ht="62.25" x14ac:dyDescent="0.9">
      <c r="A200" s="6">
        <v>1</v>
      </c>
      <c r="B200" s="60">
        <f>SUBTOTAL(103,$A$88:A200)</f>
        <v>98</v>
      </c>
      <c r="C200" s="174" t="s">
        <v>1475</v>
      </c>
      <c r="D200" s="65" t="s">
        <v>1525</v>
      </c>
      <c r="E200" s="63">
        <v>0.87239999999999995</v>
      </c>
      <c r="F200" s="31">
        <f>G200+H200+I200+J200+K200+L200+N200+P200+R200+T200+V200+W200+X200+Y200+Z200+AA200+AB200+AC200+AD200+AE200+AF200+AG200</f>
        <v>83534.5</v>
      </c>
      <c r="G200" s="31">
        <v>0</v>
      </c>
      <c r="H200" s="31">
        <v>0</v>
      </c>
      <c r="I200" s="31">
        <v>0</v>
      </c>
      <c r="J200" s="31">
        <v>0</v>
      </c>
      <c r="K200" s="31">
        <v>0</v>
      </c>
      <c r="L200" s="31">
        <v>0</v>
      </c>
      <c r="M200" s="67">
        <v>0</v>
      </c>
      <c r="N200" s="31">
        <v>0</v>
      </c>
      <c r="O200" s="31">
        <v>2780.7</v>
      </c>
      <c r="P200" s="31">
        <v>82300</v>
      </c>
      <c r="Q200" s="31">
        <v>0</v>
      </c>
      <c r="R200" s="31">
        <v>0</v>
      </c>
      <c r="S200" s="31">
        <v>0</v>
      </c>
      <c r="T200" s="31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f>ROUND(P200*1.5%,2)</f>
        <v>1234.5</v>
      </c>
      <c r="AF200" s="31">
        <v>0</v>
      </c>
      <c r="AG200" s="31">
        <v>0</v>
      </c>
      <c r="AH200" s="175" t="s">
        <v>268</v>
      </c>
      <c r="AI200" s="34">
        <v>2021</v>
      </c>
      <c r="AJ200" s="34">
        <v>2021</v>
      </c>
      <c r="AK200" s="58"/>
      <c r="AL200" s="58"/>
      <c r="AM200" s="58"/>
      <c r="AN200" s="58"/>
    </row>
    <row r="201" spans="1:40" ht="62.25" x14ac:dyDescent="0.9">
      <c r="A201" s="6">
        <v>1</v>
      </c>
      <c r="B201" s="60">
        <f>SUBTOTAL(103,$A$88:A201)</f>
        <v>99</v>
      </c>
      <c r="C201" s="174" t="s">
        <v>1476</v>
      </c>
      <c r="D201" s="65" t="s">
        <v>1881</v>
      </c>
      <c r="E201" s="63">
        <v>0.71899999999999997</v>
      </c>
      <c r="F201" s="31">
        <f>G201+H201+I201+J201+K201+L201+N201+P201+R201+T201+V201+W201+X201+Y201+Z201+AA201+AB201+AC201+AD201+AE201+AF201+AG201</f>
        <v>1905014.93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0</v>
      </c>
      <c r="M201" s="67">
        <v>0</v>
      </c>
      <c r="N201" s="31">
        <v>0</v>
      </c>
      <c r="O201" s="31">
        <v>1961</v>
      </c>
      <c r="P201" s="31">
        <v>1876862</v>
      </c>
      <c r="Q201" s="31">
        <v>0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f>ROUND(P201*1.5%,2)</f>
        <v>28152.93</v>
      </c>
      <c r="AF201" s="31">
        <v>0</v>
      </c>
      <c r="AG201" s="31">
        <v>0</v>
      </c>
      <c r="AH201" s="175" t="s">
        <v>268</v>
      </c>
      <c r="AI201" s="34">
        <v>2021</v>
      </c>
      <c r="AJ201" s="34">
        <v>2021</v>
      </c>
      <c r="AK201" s="58"/>
      <c r="AL201" s="58"/>
      <c r="AM201" s="58"/>
      <c r="AN201" s="58"/>
    </row>
    <row r="202" spans="1:40" ht="62.25" x14ac:dyDescent="0.9">
      <c r="B202" s="273" t="s">
        <v>883</v>
      </c>
      <c r="C202" s="174"/>
      <c r="D202" s="272" t="s">
        <v>890</v>
      </c>
      <c r="E202" s="63">
        <f>AVERAGE(E203:E205)</f>
        <v>0.90376666666666672</v>
      </c>
      <c r="F202" s="31">
        <f>F203+F204+F205</f>
        <v>655526.95000000007</v>
      </c>
      <c r="G202" s="31">
        <f t="shared" ref="G202:AG202" si="51">G203+G204+G205</f>
        <v>0</v>
      </c>
      <c r="H202" s="31">
        <f t="shared" si="51"/>
        <v>0</v>
      </c>
      <c r="I202" s="31">
        <f t="shared" si="51"/>
        <v>0</v>
      </c>
      <c r="J202" s="31">
        <f t="shared" si="51"/>
        <v>0</v>
      </c>
      <c r="K202" s="31">
        <f t="shared" si="51"/>
        <v>0</v>
      </c>
      <c r="L202" s="31">
        <f t="shared" si="51"/>
        <v>0</v>
      </c>
      <c r="M202" s="31">
        <f t="shared" si="51"/>
        <v>0</v>
      </c>
      <c r="N202" s="31">
        <f t="shared" si="51"/>
        <v>0</v>
      </c>
      <c r="O202" s="31">
        <f t="shared" si="51"/>
        <v>2046.8</v>
      </c>
      <c r="P202" s="31">
        <f t="shared" si="51"/>
        <v>645839.35999999999</v>
      </c>
      <c r="Q202" s="31">
        <f t="shared" si="51"/>
        <v>0</v>
      </c>
      <c r="R202" s="31">
        <f t="shared" si="51"/>
        <v>0</v>
      </c>
      <c r="S202" s="31">
        <f t="shared" si="51"/>
        <v>0</v>
      </c>
      <c r="T202" s="31">
        <f t="shared" si="51"/>
        <v>0</v>
      </c>
      <c r="U202" s="31">
        <f t="shared" si="51"/>
        <v>0</v>
      </c>
      <c r="V202" s="31">
        <f t="shared" si="51"/>
        <v>0</v>
      </c>
      <c r="W202" s="31">
        <f t="shared" si="51"/>
        <v>0</v>
      </c>
      <c r="X202" s="31">
        <f t="shared" si="51"/>
        <v>0</v>
      </c>
      <c r="Y202" s="31">
        <f t="shared" si="51"/>
        <v>0</v>
      </c>
      <c r="Z202" s="31">
        <f t="shared" si="51"/>
        <v>0</v>
      </c>
      <c r="AA202" s="31">
        <f t="shared" si="51"/>
        <v>0</v>
      </c>
      <c r="AB202" s="31">
        <f t="shared" si="51"/>
        <v>0</v>
      </c>
      <c r="AC202" s="31">
        <f t="shared" si="51"/>
        <v>0</v>
      </c>
      <c r="AD202" s="31">
        <f t="shared" si="51"/>
        <v>0</v>
      </c>
      <c r="AE202" s="31">
        <f t="shared" si="51"/>
        <v>9687.59</v>
      </c>
      <c r="AF202" s="31">
        <f t="shared" si="51"/>
        <v>0</v>
      </c>
      <c r="AG202" s="31">
        <f t="shared" si="51"/>
        <v>0</v>
      </c>
      <c r="AH202" s="175" t="s">
        <v>890</v>
      </c>
      <c r="AI202" s="175" t="s">
        <v>890</v>
      </c>
      <c r="AJ202" s="175" t="s">
        <v>890</v>
      </c>
      <c r="AK202" s="58"/>
      <c r="AL202" s="58"/>
      <c r="AM202" s="58"/>
      <c r="AN202" s="58"/>
    </row>
    <row r="203" spans="1:40" ht="62.25" x14ac:dyDescent="0.9">
      <c r="A203" s="6">
        <v>1</v>
      </c>
      <c r="B203" s="60">
        <f>SUBTOTAL(103,$A$88:A203)</f>
        <v>100</v>
      </c>
      <c r="C203" s="174" t="s">
        <v>1477</v>
      </c>
      <c r="D203" s="65" t="s">
        <v>1881</v>
      </c>
      <c r="E203" s="63">
        <v>0.75539999999999996</v>
      </c>
      <c r="F203" s="31">
        <f>G203+H203+I203+J203+K203+L203+N203+P203+R203+T203+V203+W203+X203+Y203+Z203+AA203+AB203+AC203+AD203+AE203+AF203+AG203</f>
        <v>590350.84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67">
        <v>0</v>
      </c>
      <c r="N203" s="31">
        <v>0</v>
      </c>
      <c r="O203" s="31">
        <v>749</v>
      </c>
      <c r="P203" s="31">
        <f>543238.44+38388</f>
        <v>581626.43999999994</v>
      </c>
      <c r="Q203" s="31">
        <v>0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f>ROUND(P203*1.5%,2)</f>
        <v>8724.4</v>
      </c>
      <c r="AF203" s="31">
        <v>0</v>
      </c>
      <c r="AG203" s="31">
        <v>0</v>
      </c>
      <c r="AH203" s="175" t="s">
        <v>268</v>
      </c>
      <c r="AI203" s="175">
        <v>2020</v>
      </c>
      <c r="AJ203" s="175">
        <v>2020</v>
      </c>
      <c r="AK203" s="58"/>
      <c r="AL203" s="58"/>
      <c r="AM203" s="58"/>
      <c r="AN203" s="58"/>
    </row>
    <row r="204" spans="1:40" ht="62.25" x14ac:dyDescent="0.9">
      <c r="A204" s="6">
        <v>1</v>
      </c>
      <c r="B204" s="60">
        <f>SUBTOTAL(103,$A$88:A204)</f>
        <v>101</v>
      </c>
      <c r="C204" s="174" t="s">
        <v>1478</v>
      </c>
      <c r="D204" s="65" t="s">
        <v>1525</v>
      </c>
      <c r="E204" s="63">
        <v>0.95920000000000005</v>
      </c>
      <c r="F204" s="31">
        <f>G204+H204+I204+J204+K204+L204+N204+P204+R204+T204+V204+W204+X204+Y204+Z204+AA204+AB204+AC204+AD204+AE204+AF204+AG204</f>
        <v>30755.429999999997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0</v>
      </c>
      <c r="M204" s="67">
        <v>0</v>
      </c>
      <c r="N204" s="31">
        <v>0</v>
      </c>
      <c r="O204" s="31">
        <v>703.8</v>
      </c>
      <c r="P204" s="31">
        <v>30300.92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f>ROUND(P204*1.5%,2)</f>
        <v>454.51</v>
      </c>
      <c r="AF204" s="31">
        <v>0</v>
      </c>
      <c r="AG204" s="31">
        <v>0</v>
      </c>
      <c r="AH204" s="175" t="s">
        <v>268</v>
      </c>
      <c r="AI204" s="175">
        <v>2020</v>
      </c>
      <c r="AJ204" s="175">
        <v>2020</v>
      </c>
      <c r="AK204" s="58"/>
      <c r="AL204" s="58"/>
      <c r="AM204" s="58"/>
      <c r="AN204" s="58"/>
    </row>
    <row r="205" spans="1:40" ht="62.25" x14ac:dyDescent="0.9">
      <c r="A205" s="6">
        <v>1</v>
      </c>
      <c r="B205" s="60">
        <f>SUBTOTAL(103,$A$88:A205)</f>
        <v>102</v>
      </c>
      <c r="C205" s="174" t="s">
        <v>1894</v>
      </c>
      <c r="D205" s="65" t="s">
        <v>1525</v>
      </c>
      <c r="E205" s="63">
        <v>0.99670000000000003</v>
      </c>
      <c r="F205" s="31">
        <f>P205+AE205</f>
        <v>34420.68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0</v>
      </c>
      <c r="M205" s="67">
        <v>0</v>
      </c>
      <c r="N205" s="31">
        <v>0</v>
      </c>
      <c r="O205" s="31">
        <v>594</v>
      </c>
      <c r="P205" s="31">
        <v>33912</v>
      </c>
      <c r="Q205" s="31">
        <v>0</v>
      </c>
      <c r="R205" s="31">
        <v>0</v>
      </c>
      <c r="S205" s="31">
        <v>0</v>
      </c>
      <c r="T205" s="176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f>ROUND(P205*1.5%,2)</f>
        <v>508.68</v>
      </c>
      <c r="AF205" s="31">
        <v>0</v>
      </c>
      <c r="AG205" s="31">
        <v>0</v>
      </c>
      <c r="AH205" s="175" t="s">
        <v>268</v>
      </c>
      <c r="AI205" s="175">
        <v>2021</v>
      </c>
      <c r="AJ205" s="175">
        <v>2021</v>
      </c>
      <c r="AK205" s="58"/>
      <c r="AL205" s="58"/>
      <c r="AM205" s="58"/>
      <c r="AN205" s="58"/>
    </row>
    <row r="206" spans="1:40" ht="62.25" x14ac:dyDescent="0.9">
      <c r="B206" s="273" t="s">
        <v>857</v>
      </c>
      <c r="C206" s="174"/>
      <c r="D206" s="272" t="s">
        <v>890</v>
      </c>
      <c r="E206" s="63">
        <f>E207</f>
        <v>0.95309999999999995</v>
      </c>
      <c r="F206" s="31">
        <f>F207</f>
        <v>39585</v>
      </c>
      <c r="G206" s="31">
        <f t="shared" ref="G206:AG206" si="52">G207</f>
        <v>0</v>
      </c>
      <c r="H206" s="31">
        <f t="shared" si="52"/>
        <v>0</v>
      </c>
      <c r="I206" s="31">
        <f t="shared" si="52"/>
        <v>0</v>
      </c>
      <c r="J206" s="31">
        <f t="shared" si="52"/>
        <v>0</v>
      </c>
      <c r="K206" s="31">
        <f t="shared" si="52"/>
        <v>0</v>
      </c>
      <c r="L206" s="31">
        <f t="shared" si="52"/>
        <v>0</v>
      </c>
      <c r="M206" s="67">
        <f t="shared" si="52"/>
        <v>0</v>
      </c>
      <c r="N206" s="31">
        <f t="shared" si="52"/>
        <v>0</v>
      </c>
      <c r="O206" s="31">
        <f t="shared" si="52"/>
        <v>544</v>
      </c>
      <c r="P206" s="31">
        <f t="shared" si="52"/>
        <v>39000</v>
      </c>
      <c r="Q206" s="31">
        <f t="shared" si="52"/>
        <v>0</v>
      </c>
      <c r="R206" s="31">
        <f t="shared" si="52"/>
        <v>0</v>
      </c>
      <c r="S206" s="31">
        <f t="shared" si="52"/>
        <v>0</v>
      </c>
      <c r="T206" s="31">
        <f t="shared" si="52"/>
        <v>0</v>
      </c>
      <c r="U206" s="31">
        <f t="shared" si="52"/>
        <v>0</v>
      </c>
      <c r="V206" s="31">
        <f t="shared" si="52"/>
        <v>0</v>
      </c>
      <c r="W206" s="31">
        <f t="shared" si="52"/>
        <v>0</v>
      </c>
      <c r="X206" s="31">
        <f t="shared" si="52"/>
        <v>0</v>
      </c>
      <c r="Y206" s="31">
        <f t="shared" si="52"/>
        <v>0</v>
      </c>
      <c r="Z206" s="31">
        <f t="shared" si="52"/>
        <v>0</v>
      </c>
      <c r="AA206" s="31">
        <f t="shared" si="52"/>
        <v>0</v>
      </c>
      <c r="AB206" s="31">
        <f t="shared" si="52"/>
        <v>0</v>
      </c>
      <c r="AC206" s="31">
        <f t="shared" si="52"/>
        <v>0</v>
      </c>
      <c r="AD206" s="31">
        <f t="shared" si="52"/>
        <v>0</v>
      </c>
      <c r="AE206" s="31">
        <f t="shared" si="52"/>
        <v>585</v>
      </c>
      <c r="AF206" s="31">
        <f t="shared" si="52"/>
        <v>0</v>
      </c>
      <c r="AG206" s="31">
        <f t="shared" si="52"/>
        <v>0</v>
      </c>
      <c r="AH206" s="175" t="s">
        <v>890</v>
      </c>
      <c r="AI206" s="175" t="s">
        <v>890</v>
      </c>
      <c r="AJ206" s="175" t="s">
        <v>890</v>
      </c>
      <c r="AK206" s="58"/>
      <c r="AL206" s="58"/>
      <c r="AM206" s="58"/>
      <c r="AN206" s="58"/>
    </row>
    <row r="207" spans="1:40" ht="62.25" x14ac:dyDescent="0.9">
      <c r="A207" s="6">
        <v>1</v>
      </c>
      <c r="B207" s="60">
        <f>SUBTOTAL(103,$A$88:A207)</f>
        <v>103</v>
      </c>
      <c r="C207" s="174" t="s">
        <v>1479</v>
      </c>
      <c r="D207" s="65" t="s">
        <v>1880</v>
      </c>
      <c r="E207" s="63">
        <v>0.95309999999999995</v>
      </c>
      <c r="F207" s="31">
        <f>G207+H207+I207+J207+K207+L207+N207+P207+R207+T207+V207+W207+X207+Y207+Z207+AA207+AB207+AC207+AD207+AE207+AF207+AG207</f>
        <v>39585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0</v>
      </c>
      <c r="M207" s="67">
        <v>0</v>
      </c>
      <c r="N207" s="31">
        <v>0</v>
      </c>
      <c r="O207" s="31">
        <v>544</v>
      </c>
      <c r="P207" s="31">
        <v>39000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f>ROUND(P207*1.5%,2)</f>
        <v>585</v>
      </c>
      <c r="AF207" s="31">
        <v>0</v>
      </c>
      <c r="AG207" s="31">
        <v>0</v>
      </c>
      <c r="AH207" s="175" t="s">
        <v>268</v>
      </c>
      <c r="AI207" s="34">
        <v>2021</v>
      </c>
      <c r="AJ207" s="34">
        <v>2021</v>
      </c>
      <c r="AK207" s="58"/>
      <c r="AL207" s="58"/>
      <c r="AM207" s="58"/>
      <c r="AN207" s="58"/>
    </row>
    <row r="208" spans="1:40" ht="62.25" x14ac:dyDescent="0.9">
      <c r="B208" s="273" t="s">
        <v>825</v>
      </c>
      <c r="C208" s="174"/>
      <c r="D208" s="272" t="s">
        <v>890</v>
      </c>
      <c r="E208" s="63">
        <f>E209</f>
        <v>0.81220000000000003</v>
      </c>
      <c r="F208" s="31">
        <f>F209</f>
        <v>275468.56</v>
      </c>
      <c r="G208" s="31">
        <f t="shared" ref="G208:AG208" si="53">G209</f>
        <v>0</v>
      </c>
      <c r="H208" s="31">
        <f t="shared" si="53"/>
        <v>0</v>
      </c>
      <c r="I208" s="31">
        <f t="shared" si="53"/>
        <v>0</v>
      </c>
      <c r="J208" s="31">
        <f t="shared" si="53"/>
        <v>0</v>
      </c>
      <c r="K208" s="31">
        <f t="shared" si="53"/>
        <v>0</v>
      </c>
      <c r="L208" s="31">
        <f t="shared" si="53"/>
        <v>0</v>
      </c>
      <c r="M208" s="67">
        <f t="shared" si="53"/>
        <v>0</v>
      </c>
      <c r="N208" s="31">
        <f t="shared" si="53"/>
        <v>0</v>
      </c>
      <c r="O208" s="31">
        <f t="shared" si="53"/>
        <v>708</v>
      </c>
      <c r="P208" s="31">
        <f t="shared" si="53"/>
        <v>271397.59999999998</v>
      </c>
      <c r="Q208" s="31">
        <f t="shared" si="53"/>
        <v>0</v>
      </c>
      <c r="R208" s="31">
        <f t="shared" si="53"/>
        <v>0</v>
      </c>
      <c r="S208" s="31">
        <f t="shared" si="53"/>
        <v>0</v>
      </c>
      <c r="T208" s="31">
        <f t="shared" si="53"/>
        <v>0</v>
      </c>
      <c r="U208" s="31">
        <f t="shared" si="53"/>
        <v>0</v>
      </c>
      <c r="V208" s="31">
        <f t="shared" si="53"/>
        <v>0</v>
      </c>
      <c r="W208" s="31">
        <f t="shared" si="53"/>
        <v>0</v>
      </c>
      <c r="X208" s="31">
        <f t="shared" si="53"/>
        <v>0</v>
      </c>
      <c r="Y208" s="31">
        <f t="shared" si="53"/>
        <v>0</v>
      </c>
      <c r="Z208" s="31">
        <f t="shared" si="53"/>
        <v>0</v>
      </c>
      <c r="AA208" s="31">
        <f t="shared" si="53"/>
        <v>0</v>
      </c>
      <c r="AB208" s="31">
        <f t="shared" si="53"/>
        <v>0</v>
      </c>
      <c r="AC208" s="31">
        <f t="shared" si="53"/>
        <v>0</v>
      </c>
      <c r="AD208" s="31">
        <f t="shared" si="53"/>
        <v>0</v>
      </c>
      <c r="AE208" s="31">
        <f t="shared" si="53"/>
        <v>4070.96</v>
      </c>
      <c r="AF208" s="31">
        <f t="shared" si="53"/>
        <v>0</v>
      </c>
      <c r="AG208" s="31">
        <f t="shared" si="53"/>
        <v>0</v>
      </c>
      <c r="AH208" s="175" t="s">
        <v>890</v>
      </c>
      <c r="AI208" s="175" t="s">
        <v>890</v>
      </c>
      <c r="AJ208" s="175" t="s">
        <v>890</v>
      </c>
      <c r="AK208" s="58"/>
    </row>
    <row r="209" spans="1:37" ht="62.25" x14ac:dyDescent="0.9">
      <c r="A209" s="6">
        <v>1</v>
      </c>
      <c r="B209" s="60">
        <f>SUBTOTAL(103,$A$88:A209)</f>
        <v>104</v>
      </c>
      <c r="C209" s="174" t="s">
        <v>1480</v>
      </c>
      <c r="D209" s="65" t="s">
        <v>1881</v>
      </c>
      <c r="E209" s="63">
        <v>0.81220000000000003</v>
      </c>
      <c r="F209" s="31">
        <f>G209+H209+I209+J209+K209+L209+N209+P209+R209+T209+V209+W209+X209+Y209+Z209+AA209+AB209+AC209+AD209+AE209+AF209+AG209</f>
        <v>275468.56</v>
      </c>
      <c r="G209" s="31">
        <v>0</v>
      </c>
      <c r="H209" s="31">
        <v>0</v>
      </c>
      <c r="I209" s="31">
        <v>0</v>
      </c>
      <c r="J209" s="31">
        <v>0</v>
      </c>
      <c r="K209" s="31">
        <v>0</v>
      </c>
      <c r="L209" s="31">
        <v>0</v>
      </c>
      <c r="M209" s="67">
        <v>0</v>
      </c>
      <c r="N209" s="31">
        <v>0</v>
      </c>
      <c r="O209" s="31">
        <v>708</v>
      </c>
      <c r="P209" s="31">
        <v>271397.59999999998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f>ROUND(P209*1.5%,2)</f>
        <v>4070.96</v>
      </c>
      <c r="AF209" s="31">
        <v>0</v>
      </c>
      <c r="AG209" s="31">
        <v>0</v>
      </c>
      <c r="AH209" s="175" t="s">
        <v>268</v>
      </c>
      <c r="AI209" s="34">
        <v>2021</v>
      </c>
      <c r="AJ209" s="34">
        <v>2021</v>
      </c>
      <c r="AK209" s="58"/>
    </row>
    <row r="210" spans="1:37" ht="62.25" x14ac:dyDescent="0.9">
      <c r="B210" s="273" t="s">
        <v>867</v>
      </c>
      <c r="C210" s="174"/>
      <c r="D210" s="79" t="s">
        <v>890</v>
      </c>
      <c r="E210" s="63">
        <v>0.82630000000000003</v>
      </c>
      <c r="F210" s="31">
        <v>50753.95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67">
        <v>0</v>
      </c>
      <c r="N210" s="31">
        <v>0</v>
      </c>
      <c r="O210" s="31">
        <v>828</v>
      </c>
      <c r="P210" s="31">
        <v>50003.89</v>
      </c>
      <c r="Q210" s="31">
        <v>0</v>
      </c>
      <c r="R210" s="31">
        <v>0</v>
      </c>
      <c r="S210" s="31">
        <v>0</v>
      </c>
      <c r="T210" s="31">
        <v>0</v>
      </c>
      <c r="U210" s="31">
        <v>0</v>
      </c>
      <c r="V210" s="31">
        <v>0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750.06</v>
      </c>
      <c r="AF210" s="31">
        <v>0</v>
      </c>
      <c r="AG210" s="31">
        <v>0</v>
      </c>
      <c r="AH210" s="175" t="s">
        <v>890</v>
      </c>
      <c r="AI210" s="175" t="s">
        <v>890</v>
      </c>
      <c r="AJ210" s="175" t="s">
        <v>890</v>
      </c>
      <c r="AK210" s="58"/>
    </row>
    <row r="211" spans="1:37" ht="62.25" x14ac:dyDescent="0.9">
      <c r="A211" s="6">
        <v>1</v>
      </c>
      <c r="B211" s="60">
        <f>SUBTOTAL(103,$A$88:A211)</f>
        <v>105</v>
      </c>
      <c r="C211" s="174" t="s">
        <v>1895</v>
      </c>
      <c r="D211" s="65" t="s">
        <v>1880</v>
      </c>
      <c r="E211" s="63">
        <v>0.82630000000000003</v>
      </c>
      <c r="F211" s="31">
        <f>P211+AE211</f>
        <v>50753.95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67">
        <v>0</v>
      </c>
      <c r="N211" s="31">
        <v>0</v>
      </c>
      <c r="O211" s="31">
        <v>828</v>
      </c>
      <c r="P211" s="31">
        <v>50003.89</v>
      </c>
      <c r="Q211" s="31">
        <v>0</v>
      </c>
      <c r="R211" s="31">
        <v>0</v>
      </c>
      <c r="S211" s="31">
        <v>0</v>
      </c>
      <c r="T211" s="176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f>ROUND(P211*1.5%,2)</f>
        <v>750.06</v>
      </c>
      <c r="AF211" s="31">
        <v>0</v>
      </c>
      <c r="AG211" s="31">
        <v>0</v>
      </c>
      <c r="AH211" s="175" t="s">
        <v>268</v>
      </c>
      <c r="AI211" s="175">
        <v>2021</v>
      </c>
      <c r="AJ211" s="175">
        <v>2021</v>
      </c>
      <c r="AK211" s="58"/>
    </row>
    <row r="212" spans="1:37" ht="62.25" x14ac:dyDescent="0.9">
      <c r="B212" s="273" t="s">
        <v>852</v>
      </c>
      <c r="C212" s="174"/>
      <c r="D212" s="272" t="s">
        <v>890</v>
      </c>
      <c r="E212" s="63">
        <f>AVERAGE(E213:E216)</f>
        <v>0.90027499999999994</v>
      </c>
      <c r="F212" s="31">
        <f>SUM(F213:F216)</f>
        <v>284716.06</v>
      </c>
      <c r="G212" s="31">
        <f>SUM(G213:G216)</f>
        <v>0</v>
      </c>
      <c r="H212" s="31">
        <f t="shared" ref="H212:AG212" si="54">SUM(H213:H216)</f>
        <v>0</v>
      </c>
      <c r="I212" s="31">
        <f t="shared" si="54"/>
        <v>175721.62</v>
      </c>
      <c r="J212" s="31">
        <f t="shared" si="54"/>
        <v>0</v>
      </c>
      <c r="K212" s="31">
        <f t="shared" si="54"/>
        <v>0</v>
      </c>
      <c r="L212" s="31">
        <f t="shared" si="54"/>
        <v>0</v>
      </c>
      <c r="M212" s="67">
        <f t="shared" si="54"/>
        <v>0</v>
      </c>
      <c r="N212" s="31">
        <f t="shared" si="54"/>
        <v>0</v>
      </c>
      <c r="O212" s="31">
        <f t="shared" si="54"/>
        <v>1779.9</v>
      </c>
      <c r="P212" s="31">
        <f t="shared" si="54"/>
        <v>91273.94</v>
      </c>
      <c r="Q212" s="31">
        <f t="shared" si="54"/>
        <v>0</v>
      </c>
      <c r="R212" s="31">
        <f t="shared" si="54"/>
        <v>0</v>
      </c>
      <c r="S212" s="31">
        <f t="shared" si="54"/>
        <v>474</v>
      </c>
      <c r="T212" s="31">
        <f t="shared" si="54"/>
        <v>13512.88</v>
      </c>
      <c r="U212" s="31">
        <f t="shared" si="54"/>
        <v>0</v>
      </c>
      <c r="V212" s="31">
        <f t="shared" si="54"/>
        <v>0</v>
      </c>
      <c r="W212" s="31">
        <f t="shared" si="54"/>
        <v>0</v>
      </c>
      <c r="X212" s="31">
        <f t="shared" si="54"/>
        <v>0</v>
      </c>
      <c r="Y212" s="31">
        <f t="shared" si="54"/>
        <v>0</v>
      </c>
      <c r="Z212" s="31">
        <f t="shared" si="54"/>
        <v>0</v>
      </c>
      <c r="AA212" s="31">
        <f t="shared" si="54"/>
        <v>0</v>
      </c>
      <c r="AB212" s="31">
        <f t="shared" si="54"/>
        <v>0</v>
      </c>
      <c r="AC212" s="31">
        <f t="shared" si="54"/>
        <v>0</v>
      </c>
      <c r="AD212" s="31">
        <f t="shared" si="54"/>
        <v>0</v>
      </c>
      <c r="AE212" s="31">
        <f t="shared" si="54"/>
        <v>4207.62</v>
      </c>
      <c r="AF212" s="31">
        <f t="shared" si="54"/>
        <v>0</v>
      </c>
      <c r="AG212" s="31">
        <f t="shared" si="54"/>
        <v>0</v>
      </c>
      <c r="AH212" s="175" t="s">
        <v>890</v>
      </c>
      <c r="AI212" s="175" t="s">
        <v>890</v>
      </c>
      <c r="AJ212" s="175" t="s">
        <v>890</v>
      </c>
      <c r="AK212" s="58"/>
    </row>
    <row r="213" spans="1:37" ht="62.25" x14ac:dyDescent="0.9">
      <c r="A213" s="6">
        <v>1</v>
      </c>
      <c r="B213" s="60">
        <f>SUBTOTAL(103,$A$88:A213)</f>
        <v>106</v>
      </c>
      <c r="C213" s="174" t="s">
        <v>1481</v>
      </c>
      <c r="D213" s="65" t="s">
        <v>1880</v>
      </c>
      <c r="E213" s="63">
        <v>0.96160000000000001</v>
      </c>
      <c r="F213" s="31">
        <f>G213+H213+I213+J213+K213+L213+N213+P213+R213+T213+V213+W213+X213+Y213+Z213+AA213+AB213+AC213+AD213+AE213+AF213+AG213</f>
        <v>82303.180000000008</v>
      </c>
      <c r="G213" s="31">
        <v>0</v>
      </c>
      <c r="H213" s="31">
        <v>0</v>
      </c>
      <c r="I213" s="31">
        <v>0</v>
      </c>
      <c r="J213" s="31">
        <v>0</v>
      </c>
      <c r="K213" s="31">
        <v>0</v>
      </c>
      <c r="L213" s="31">
        <v>0</v>
      </c>
      <c r="M213" s="67">
        <v>0</v>
      </c>
      <c r="N213" s="31">
        <v>0</v>
      </c>
      <c r="O213" s="31">
        <v>1245.4000000000001</v>
      </c>
      <c r="P213" s="31">
        <v>81086.880000000005</v>
      </c>
      <c r="Q213" s="31">
        <v>0</v>
      </c>
      <c r="R213" s="31">
        <v>0</v>
      </c>
      <c r="S213" s="31">
        <v>0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f>ROUND(P213*1.5%,2)</f>
        <v>1216.3</v>
      </c>
      <c r="AF213" s="31">
        <v>0</v>
      </c>
      <c r="AG213" s="31">
        <v>0</v>
      </c>
      <c r="AH213" s="175" t="s">
        <v>268</v>
      </c>
      <c r="AI213" s="34">
        <v>2021</v>
      </c>
      <c r="AJ213" s="34">
        <v>2021</v>
      </c>
      <c r="AK213" s="58"/>
    </row>
    <row r="214" spans="1:37" ht="62.25" x14ac:dyDescent="0.9">
      <c r="A214" s="6">
        <v>1</v>
      </c>
      <c r="B214" s="60">
        <f>SUBTOTAL(103,$A$88:A214)</f>
        <v>107</v>
      </c>
      <c r="C214" s="174" t="s">
        <v>1482</v>
      </c>
      <c r="D214" s="65" t="s">
        <v>1881</v>
      </c>
      <c r="E214" s="63">
        <v>0.92120000000000002</v>
      </c>
      <c r="F214" s="31">
        <f>G214+H214+I214+J214+K214+L214+N214+P214+R214+T214+V214+W214+X214+Y214+Z214+AA214+AB214+AC214+AD214+AE214+AF214+AG214</f>
        <v>10339.869999999999</v>
      </c>
      <c r="G214" s="31">
        <v>0</v>
      </c>
      <c r="H214" s="31">
        <v>0</v>
      </c>
      <c r="I214" s="31">
        <v>0</v>
      </c>
      <c r="J214" s="31">
        <v>0</v>
      </c>
      <c r="K214" s="31">
        <v>0</v>
      </c>
      <c r="L214" s="31">
        <v>0</v>
      </c>
      <c r="M214" s="67">
        <v>0</v>
      </c>
      <c r="N214" s="31">
        <v>0</v>
      </c>
      <c r="O214" s="31">
        <v>534.5</v>
      </c>
      <c r="P214" s="31">
        <v>10187.06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f>ROUND(P214*1.5%,2)</f>
        <v>152.81</v>
      </c>
      <c r="AF214" s="31">
        <v>0</v>
      </c>
      <c r="AG214" s="31">
        <v>0</v>
      </c>
      <c r="AH214" s="175" t="s">
        <v>268</v>
      </c>
      <c r="AI214" s="34">
        <v>2021</v>
      </c>
      <c r="AJ214" s="34">
        <v>2021</v>
      </c>
      <c r="AK214" s="58"/>
    </row>
    <row r="215" spans="1:37" ht="62.25" x14ac:dyDescent="0.9">
      <c r="A215" s="6">
        <v>1</v>
      </c>
      <c r="B215" s="60">
        <f>SUBTOTAL(103,$A$88:A215)</f>
        <v>108</v>
      </c>
      <c r="C215" s="174" t="s">
        <v>1483</v>
      </c>
      <c r="D215" s="272" t="s">
        <v>1880</v>
      </c>
      <c r="E215" s="63">
        <v>0.85540000000000005</v>
      </c>
      <c r="F215" s="31">
        <f>G215+H215+I215+J215+K215+L215+N215+P215+R215+T215+V215+W215+X215+Y215+Z215+AA215+AB215+AC215+AD215+AE215+AF215+AG215</f>
        <v>178357.44</v>
      </c>
      <c r="G215" s="31">
        <v>0</v>
      </c>
      <c r="H215" s="31">
        <v>0</v>
      </c>
      <c r="I215" s="31">
        <v>175721.62</v>
      </c>
      <c r="J215" s="31">
        <v>0</v>
      </c>
      <c r="K215" s="31">
        <v>0</v>
      </c>
      <c r="L215" s="31">
        <v>0</v>
      </c>
      <c r="M215" s="67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f>ROUND(I215*1.5%,2)</f>
        <v>2635.82</v>
      </c>
      <c r="AF215" s="31">
        <v>0</v>
      </c>
      <c r="AG215" s="31">
        <v>0</v>
      </c>
      <c r="AH215" s="175" t="s">
        <v>268</v>
      </c>
      <c r="AI215" s="34">
        <v>2021</v>
      </c>
      <c r="AJ215" s="34">
        <v>2021</v>
      </c>
      <c r="AK215" s="58"/>
    </row>
    <row r="216" spans="1:37" ht="62.25" x14ac:dyDescent="0.9">
      <c r="A216" s="6">
        <v>1</v>
      </c>
      <c r="B216" s="60">
        <f>SUBTOTAL(103,$A$88:A216)</f>
        <v>109</v>
      </c>
      <c r="C216" s="174" t="s">
        <v>2284</v>
      </c>
      <c r="D216" s="272">
        <v>2014</v>
      </c>
      <c r="E216" s="63">
        <v>0.8629</v>
      </c>
      <c r="F216" s="31">
        <f>G216+H216+I216+J216+K216+L216+N216+P216+R216+T216+V216+W216+X216+Y216+Z216+AA216+AB216+AC216+AD216+AE216+AF216+AG216</f>
        <v>13715.57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67">
        <v>0</v>
      </c>
      <c r="N216" s="31">
        <v>0</v>
      </c>
      <c r="O216" s="31">
        <v>0</v>
      </c>
      <c r="P216" s="31">
        <v>0</v>
      </c>
      <c r="Q216" s="31">
        <v>0</v>
      </c>
      <c r="R216" s="31">
        <v>0</v>
      </c>
      <c r="S216" s="31">
        <v>474</v>
      </c>
      <c r="T216" s="31">
        <v>13512.88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f>ROUND(T216*1.5%,2)</f>
        <v>202.69</v>
      </c>
      <c r="AF216" s="31">
        <v>0</v>
      </c>
      <c r="AG216" s="31">
        <v>0</v>
      </c>
      <c r="AH216" s="175" t="s">
        <v>268</v>
      </c>
      <c r="AI216" s="34">
        <v>2021</v>
      </c>
      <c r="AJ216" s="34">
        <v>2021</v>
      </c>
      <c r="AK216" s="58"/>
    </row>
    <row r="217" spans="1:37" ht="62.25" x14ac:dyDescent="0.9">
      <c r="B217" s="273" t="s">
        <v>1288</v>
      </c>
      <c r="C217" s="174"/>
      <c r="D217" s="272" t="s">
        <v>890</v>
      </c>
      <c r="E217" s="63">
        <f>E218</f>
        <v>0.99180000000000001</v>
      </c>
      <c r="F217" s="31">
        <f>F218</f>
        <v>222759.59</v>
      </c>
      <c r="G217" s="31">
        <f t="shared" ref="G217:AG217" si="55">G218</f>
        <v>0</v>
      </c>
      <c r="H217" s="31">
        <f t="shared" si="55"/>
        <v>0</v>
      </c>
      <c r="I217" s="31">
        <f t="shared" si="55"/>
        <v>0</v>
      </c>
      <c r="J217" s="31">
        <f t="shared" si="55"/>
        <v>0</v>
      </c>
      <c r="K217" s="31">
        <f t="shared" si="55"/>
        <v>0</v>
      </c>
      <c r="L217" s="31">
        <f t="shared" si="55"/>
        <v>0</v>
      </c>
      <c r="M217" s="67">
        <f t="shared" si="55"/>
        <v>0</v>
      </c>
      <c r="N217" s="31">
        <f t="shared" si="55"/>
        <v>0</v>
      </c>
      <c r="O217" s="31">
        <f t="shared" si="55"/>
        <v>0</v>
      </c>
      <c r="P217" s="31">
        <f t="shared" si="55"/>
        <v>0</v>
      </c>
      <c r="Q217" s="31">
        <f t="shared" si="55"/>
        <v>0</v>
      </c>
      <c r="R217" s="31">
        <f t="shared" si="55"/>
        <v>0</v>
      </c>
      <c r="S217" s="31">
        <f t="shared" si="55"/>
        <v>488.11</v>
      </c>
      <c r="T217" s="31">
        <f t="shared" si="55"/>
        <v>219483.79</v>
      </c>
      <c r="U217" s="31">
        <f t="shared" si="55"/>
        <v>0</v>
      </c>
      <c r="V217" s="31">
        <f t="shared" si="55"/>
        <v>0</v>
      </c>
      <c r="W217" s="31">
        <f t="shared" si="55"/>
        <v>0</v>
      </c>
      <c r="X217" s="31">
        <f t="shared" si="55"/>
        <v>0</v>
      </c>
      <c r="Y217" s="31">
        <f t="shared" si="55"/>
        <v>0</v>
      </c>
      <c r="Z217" s="31">
        <f t="shared" si="55"/>
        <v>0</v>
      </c>
      <c r="AA217" s="31">
        <f t="shared" si="55"/>
        <v>0</v>
      </c>
      <c r="AB217" s="31">
        <f t="shared" si="55"/>
        <v>0</v>
      </c>
      <c r="AC217" s="31">
        <f t="shared" si="55"/>
        <v>0</v>
      </c>
      <c r="AD217" s="31">
        <f t="shared" si="55"/>
        <v>0</v>
      </c>
      <c r="AE217" s="31">
        <f t="shared" si="55"/>
        <v>3275.8</v>
      </c>
      <c r="AF217" s="31">
        <f t="shared" si="55"/>
        <v>0</v>
      </c>
      <c r="AG217" s="31">
        <f t="shared" si="55"/>
        <v>0</v>
      </c>
      <c r="AH217" s="175" t="s">
        <v>890</v>
      </c>
      <c r="AI217" s="175" t="s">
        <v>890</v>
      </c>
      <c r="AJ217" s="175" t="s">
        <v>890</v>
      </c>
      <c r="AK217" s="58"/>
    </row>
    <row r="218" spans="1:37" ht="62.25" x14ac:dyDescent="0.9">
      <c r="A218" s="6">
        <v>1</v>
      </c>
      <c r="B218" s="60">
        <f>SUBTOTAL(103,$A$88:A218)</f>
        <v>110</v>
      </c>
      <c r="C218" s="174" t="s">
        <v>1484</v>
      </c>
      <c r="D218" s="272" t="s">
        <v>1525</v>
      </c>
      <c r="E218" s="63">
        <v>0.99180000000000001</v>
      </c>
      <c r="F218" s="31">
        <f>G218+H218+I218+J218+K218+L218+N218+P218+R218+T218+V218+W218+X218+Y218+Z218+AA218+AB218+AC218+AD218+AE218+AF218+AG218</f>
        <v>222759.59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  <c r="L218" s="31">
        <v>0</v>
      </c>
      <c r="M218" s="67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488.11</v>
      </c>
      <c r="T218" s="31">
        <v>219483.79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3275.8</v>
      </c>
      <c r="AF218" s="31">
        <v>0</v>
      </c>
      <c r="AG218" s="31">
        <v>0</v>
      </c>
      <c r="AH218" s="175" t="s">
        <v>268</v>
      </c>
      <c r="AI218" s="175">
        <v>2020</v>
      </c>
      <c r="AJ218" s="175">
        <v>2020</v>
      </c>
      <c r="AK218" s="58"/>
    </row>
    <row r="219" spans="1:37" ht="62.25" x14ac:dyDescent="0.9">
      <c r="B219" s="273" t="s">
        <v>848</v>
      </c>
      <c r="C219" s="174"/>
      <c r="D219" s="272" t="s">
        <v>890</v>
      </c>
      <c r="E219" s="63">
        <f>E220</f>
        <v>1</v>
      </c>
      <c r="F219" s="31">
        <f>F220</f>
        <v>137654.99000000002</v>
      </c>
      <c r="G219" s="31">
        <f t="shared" ref="G219:AG219" si="56">G220</f>
        <v>0</v>
      </c>
      <c r="H219" s="31">
        <f t="shared" si="56"/>
        <v>0</v>
      </c>
      <c r="I219" s="31">
        <f t="shared" si="56"/>
        <v>0</v>
      </c>
      <c r="J219" s="31">
        <f t="shared" si="56"/>
        <v>0</v>
      </c>
      <c r="K219" s="31">
        <f t="shared" si="56"/>
        <v>0</v>
      </c>
      <c r="L219" s="31">
        <f t="shared" si="56"/>
        <v>0</v>
      </c>
      <c r="M219" s="67">
        <f t="shared" si="56"/>
        <v>0</v>
      </c>
      <c r="N219" s="31">
        <f t="shared" si="56"/>
        <v>0</v>
      </c>
      <c r="O219" s="31">
        <f t="shared" si="56"/>
        <v>0</v>
      </c>
      <c r="P219" s="31">
        <f t="shared" si="56"/>
        <v>0</v>
      </c>
      <c r="Q219" s="31">
        <f t="shared" si="56"/>
        <v>0</v>
      </c>
      <c r="R219" s="31">
        <f t="shared" si="56"/>
        <v>0</v>
      </c>
      <c r="S219" s="31">
        <f t="shared" si="56"/>
        <v>370.88</v>
      </c>
      <c r="T219" s="31">
        <f t="shared" si="56"/>
        <v>135630.70000000001</v>
      </c>
      <c r="U219" s="31">
        <f t="shared" si="56"/>
        <v>0</v>
      </c>
      <c r="V219" s="31">
        <f t="shared" si="56"/>
        <v>0</v>
      </c>
      <c r="W219" s="31">
        <f t="shared" si="56"/>
        <v>0</v>
      </c>
      <c r="X219" s="31">
        <f t="shared" si="56"/>
        <v>0</v>
      </c>
      <c r="Y219" s="31">
        <f t="shared" si="56"/>
        <v>0</v>
      </c>
      <c r="Z219" s="31">
        <f t="shared" si="56"/>
        <v>0</v>
      </c>
      <c r="AA219" s="31">
        <f t="shared" si="56"/>
        <v>0</v>
      </c>
      <c r="AB219" s="31">
        <f t="shared" si="56"/>
        <v>0</v>
      </c>
      <c r="AC219" s="31">
        <f t="shared" si="56"/>
        <v>0</v>
      </c>
      <c r="AD219" s="31">
        <f t="shared" si="56"/>
        <v>0</v>
      </c>
      <c r="AE219" s="31">
        <f t="shared" si="56"/>
        <v>2024.29</v>
      </c>
      <c r="AF219" s="31">
        <f t="shared" si="56"/>
        <v>0</v>
      </c>
      <c r="AG219" s="31">
        <f t="shared" si="56"/>
        <v>0</v>
      </c>
      <c r="AH219" s="175" t="s">
        <v>890</v>
      </c>
      <c r="AI219" s="175" t="s">
        <v>890</v>
      </c>
      <c r="AJ219" s="175" t="s">
        <v>890</v>
      </c>
      <c r="AK219" s="58"/>
    </row>
    <row r="220" spans="1:37" ht="62.25" x14ac:dyDescent="0.9">
      <c r="A220" s="6">
        <v>1</v>
      </c>
      <c r="B220" s="60">
        <f>SUBTOTAL(103,$A$88:A220)</f>
        <v>111</v>
      </c>
      <c r="C220" s="174" t="s">
        <v>1485</v>
      </c>
      <c r="D220" s="272" t="s">
        <v>1525</v>
      </c>
      <c r="E220" s="63">
        <v>1</v>
      </c>
      <c r="F220" s="31">
        <f>G220+H220+I220+J220+K220+L220+N220+P220+R220+T220+V220+W220+X220+Y220+Z220+AA220+AB220+AC220+AD220+AE220+AF220+AG220</f>
        <v>137654.99000000002</v>
      </c>
      <c r="G220" s="31">
        <v>0</v>
      </c>
      <c r="H220" s="31">
        <v>0</v>
      </c>
      <c r="I220" s="31">
        <v>0</v>
      </c>
      <c r="J220" s="31">
        <v>0</v>
      </c>
      <c r="K220" s="31">
        <v>0</v>
      </c>
      <c r="L220" s="31">
        <v>0</v>
      </c>
      <c r="M220" s="67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370.88</v>
      </c>
      <c r="T220" s="31">
        <v>135630.70000000001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2024.29</v>
      </c>
      <c r="AF220" s="31">
        <v>0</v>
      </c>
      <c r="AG220" s="31">
        <v>0</v>
      </c>
      <c r="AH220" s="175" t="s">
        <v>268</v>
      </c>
      <c r="AI220" s="175">
        <v>2020</v>
      </c>
      <c r="AJ220" s="175">
        <v>2020</v>
      </c>
      <c r="AK220" s="58"/>
    </row>
    <row r="221" spans="1:37" ht="62.25" x14ac:dyDescent="0.9">
      <c r="B221" s="273" t="s">
        <v>836</v>
      </c>
      <c r="C221" s="174"/>
      <c r="D221" s="272" t="s">
        <v>890</v>
      </c>
      <c r="E221" s="63">
        <f>E222</f>
        <v>0.98829999999999996</v>
      </c>
      <c r="F221" s="31">
        <f>F222</f>
        <v>894902.36</v>
      </c>
      <c r="G221" s="31">
        <f t="shared" ref="G221:AG221" si="57">G222</f>
        <v>0</v>
      </c>
      <c r="H221" s="31">
        <f t="shared" si="57"/>
        <v>0</v>
      </c>
      <c r="I221" s="31">
        <f t="shared" si="57"/>
        <v>0</v>
      </c>
      <c r="J221" s="31">
        <f t="shared" si="57"/>
        <v>0</v>
      </c>
      <c r="K221" s="31">
        <f t="shared" si="57"/>
        <v>0</v>
      </c>
      <c r="L221" s="31">
        <f t="shared" si="57"/>
        <v>0</v>
      </c>
      <c r="M221" s="67">
        <f t="shared" si="57"/>
        <v>0</v>
      </c>
      <c r="N221" s="31">
        <f t="shared" si="57"/>
        <v>0</v>
      </c>
      <c r="O221" s="31">
        <f t="shared" si="57"/>
        <v>400</v>
      </c>
      <c r="P221" s="31">
        <f t="shared" si="57"/>
        <v>881677.2</v>
      </c>
      <c r="Q221" s="31">
        <f t="shared" si="57"/>
        <v>0</v>
      </c>
      <c r="R221" s="31">
        <f t="shared" si="57"/>
        <v>0</v>
      </c>
      <c r="S221" s="31">
        <f t="shared" si="57"/>
        <v>0</v>
      </c>
      <c r="T221" s="31">
        <f t="shared" si="57"/>
        <v>0</v>
      </c>
      <c r="U221" s="31">
        <f t="shared" si="57"/>
        <v>0</v>
      </c>
      <c r="V221" s="31">
        <f t="shared" si="57"/>
        <v>0</v>
      </c>
      <c r="W221" s="31">
        <f t="shared" si="57"/>
        <v>0</v>
      </c>
      <c r="X221" s="31">
        <f t="shared" si="57"/>
        <v>0</v>
      </c>
      <c r="Y221" s="31">
        <f t="shared" si="57"/>
        <v>0</v>
      </c>
      <c r="Z221" s="31">
        <f t="shared" si="57"/>
        <v>0</v>
      </c>
      <c r="AA221" s="31">
        <f t="shared" si="57"/>
        <v>0</v>
      </c>
      <c r="AB221" s="31">
        <f t="shared" si="57"/>
        <v>0</v>
      </c>
      <c r="AC221" s="31">
        <f t="shared" si="57"/>
        <v>0</v>
      </c>
      <c r="AD221" s="31">
        <f t="shared" si="57"/>
        <v>0</v>
      </c>
      <c r="AE221" s="31">
        <f t="shared" si="57"/>
        <v>13225.16</v>
      </c>
      <c r="AF221" s="31">
        <f t="shared" si="57"/>
        <v>0</v>
      </c>
      <c r="AG221" s="31">
        <f t="shared" si="57"/>
        <v>0</v>
      </c>
      <c r="AH221" s="175" t="s">
        <v>890</v>
      </c>
      <c r="AI221" s="175" t="s">
        <v>890</v>
      </c>
      <c r="AJ221" s="175" t="s">
        <v>890</v>
      </c>
      <c r="AK221" s="58"/>
    </row>
    <row r="222" spans="1:37" ht="62.25" x14ac:dyDescent="0.9">
      <c r="A222" s="6">
        <v>1</v>
      </c>
      <c r="B222" s="60">
        <f>SUBTOTAL(103,$A$88:A222)</f>
        <v>112</v>
      </c>
      <c r="C222" s="174" t="s">
        <v>1486</v>
      </c>
      <c r="D222" s="65" t="s">
        <v>1881</v>
      </c>
      <c r="E222" s="63">
        <v>0.98829999999999996</v>
      </c>
      <c r="F222" s="31">
        <f>G222+H222+I222+J222+K222+L222+N222+P222+R222+T222+V222+W222+X222+Y222+Z222+AA222+AB222+AC222+AD222+AE222+AF222+AG222</f>
        <v>894902.36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  <c r="M222" s="67">
        <v>0</v>
      </c>
      <c r="N222" s="31">
        <v>0</v>
      </c>
      <c r="O222" s="31">
        <v>400</v>
      </c>
      <c r="P222" s="31">
        <v>881677.2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f>ROUND(P222*1.5%,2)</f>
        <v>13225.16</v>
      </c>
      <c r="AF222" s="31">
        <v>0</v>
      </c>
      <c r="AG222" s="31">
        <v>0</v>
      </c>
      <c r="AH222" s="175" t="s">
        <v>268</v>
      </c>
      <c r="AI222" s="34">
        <v>2021</v>
      </c>
      <c r="AJ222" s="34">
        <v>2021</v>
      </c>
      <c r="AK222" s="58"/>
    </row>
    <row r="223" spans="1:37" ht="62.25" x14ac:dyDescent="0.9">
      <c r="B223" s="273" t="s">
        <v>841</v>
      </c>
      <c r="C223" s="174"/>
      <c r="D223" s="272" t="s">
        <v>890</v>
      </c>
      <c r="E223" s="63">
        <f>E224</f>
        <v>0.72670000000000001</v>
      </c>
      <c r="F223" s="31">
        <f>F224</f>
        <v>40586.949999999997</v>
      </c>
      <c r="G223" s="31">
        <f t="shared" ref="G223:AG223" si="58">G224</f>
        <v>0</v>
      </c>
      <c r="H223" s="31">
        <f t="shared" si="58"/>
        <v>0</v>
      </c>
      <c r="I223" s="31">
        <f t="shared" si="58"/>
        <v>0</v>
      </c>
      <c r="J223" s="31">
        <f t="shared" si="58"/>
        <v>0</v>
      </c>
      <c r="K223" s="31">
        <f t="shared" si="58"/>
        <v>0</v>
      </c>
      <c r="L223" s="31">
        <f t="shared" si="58"/>
        <v>0</v>
      </c>
      <c r="M223" s="67">
        <f t="shared" si="58"/>
        <v>0</v>
      </c>
      <c r="N223" s="31">
        <f t="shared" si="58"/>
        <v>0</v>
      </c>
      <c r="O223" s="31">
        <f t="shared" si="58"/>
        <v>651</v>
      </c>
      <c r="P223" s="31">
        <f t="shared" si="58"/>
        <v>39987.14</v>
      </c>
      <c r="Q223" s="31">
        <f t="shared" si="58"/>
        <v>0</v>
      </c>
      <c r="R223" s="31">
        <f t="shared" si="58"/>
        <v>0</v>
      </c>
      <c r="S223" s="31">
        <f t="shared" si="58"/>
        <v>0</v>
      </c>
      <c r="T223" s="31">
        <f t="shared" si="58"/>
        <v>0</v>
      </c>
      <c r="U223" s="31">
        <f t="shared" si="58"/>
        <v>0</v>
      </c>
      <c r="V223" s="31">
        <f t="shared" si="58"/>
        <v>0</v>
      </c>
      <c r="W223" s="31">
        <f t="shared" si="58"/>
        <v>0</v>
      </c>
      <c r="X223" s="31">
        <f t="shared" si="58"/>
        <v>0</v>
      </c>
      <c r="Y223" s="31">
        <f t="shared" si="58"/>
        <v>0</v>
      </c>
      <c r="Z223" s="31">
        <f t="shared" si="58"/>
        <v>0</v>
      </c>
      <c r="AA223" s="31">
        <f t="shared" si="58"/>
        <v>0</v>
      </c>
      <c r="AB223" s="31">
        <f t="shared" si="58"/>
        <v>0</v>
      </c>
      <c r="AC223" s="31">
        <f t="shared" si="58"/>
        <v>0</v>
      </c>
      <c r="AD223" s="31">
        <f t="shared" si="58"/>
        <v>0</v>
      </c>
      <c r="AE223" s="31">
        <f t="shared" si="58"/>
        <v>599.80999999999995</v>
      </c>
      <c r="AF223" s="31">
        <f t="shared" si="58"/>
        <v>0</v>
      </c>
      <c r="AG223" s="31">
        <f t="shared" si="58"/>
        <v>0</v>
      </c>
      <c r="AH223" s="175" t="s">
        <v>890</v>
      </c>
      <c r="AI223" s="175" t="s">
        <v>890</v>
      </c>
      <c r="AJ223" s="175" t="s">
        <v>890</v>
      </c>
      <c r="AK223" s="58"/>
    </row>
    <row r="224" spans="1:37" ht="62.25" x14ac:dyDescent="0.9">
      <c r="A224" s="6">
        <v>1</v>
      </c>
      <c r="B224" s="60">
        <f>SUBTOTAL(103,$A$88:A224)</f>
        <v>113</v>
      </c>
      <c r="C224" s="174" t="s">
        <v>1487</v>
      </c>
      <c r="D224" s="65" t="s">
        <v>1525</v>
      </c>
      <c r="E224" s="63">
        <v>0.72670000000000001</v>
      </c>
      <c r="F224" s="31">
        <f>G224+H224+I224+J224+K224+L224+N224+P224+R224+T224+V224+W224+X224+Y224+Z224+AA224+AB224+AC224+AD224+AE224+AF224+AG224</f>
        <v>40586.949999999997</v>
      </c>
      <c r="G224" s="31">
        <v>0</v>
      </c>
      <c r="H224" s="31">
        <v>0</v>
      </c>
      <c r="I224" s="31">
        <v>0</v>
      </c>
      <c r="J224" s="31">
        <v>0</v>
      </c>
      <c r="K224" s="31">
        <v>0</v>
      </c>
      <c r="L224" s="31">
        <v>0</v>
      </c>
      <c r="M224" s="67">
        <v>0</v>
      </c>
      <c r="N224" s="31">
        <v>0</v>
      </c>
      <c r="O224" s="31">
        <v>651</v>
      </c>
      <c r="P224" s="31">
        <v>39987.14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f>ROUND(P224*1.5%,2)</f>
        <v>599.80999999999995</v>
      </c>
      <c r="AF224" s="31">
        <v>0</v>
      </c>
      <c r="AG224" s="31">
        <v>0</v>
      </c>
      <c r="AH224" s="175" t="s">
        <v>268</v>
      </c>
      <c r="AI224" s="34">
        <v>2021</v>
      </c>
      <c r="AJ224" s="34">
        <v>2021</v>
      </c>
      <c r="AK224" s="58"/>
    </row>
    <row r="225" spans="1:37" ht="62.25" x14ac:dyDescent="0.9">
      <c r="B225" s="273" t="s">
        <v>856</v>
      </c>
      <c r="C225" s="174"/>
      <c r="D225" s="272" t="s">
        <v>890</v>
      </c>
      <c r="E225" s="63">
        <f>E226</f>
        <v>0.98380000000000001</v>
      </c>
      <c r="F225" s="31">
        <f>F226</f>
        <v>39622.869999999995</v>
      </c>
      <c r="G225" s="31">
        <f t="shared" ref="G225:AG225" si="59">G226</f>
        <v>0</v>
      </c>
      <c r="H225" s="31">
        <f t="shared" si="59"/>
        <v>0</v>
      </c>
      <c r="I225" s="31">
        <f t="shared" si="59"/>
        <v>0</v>
      </c>
      <c r="J225" s="31">
        <f t="shared" si="59"/>
        <v>0</v>
      </c>
      <c r="K225" s="31">
        <f t="shared" si="59"/>
        <v>0</v>
      </c>
      <c r="L225" s="31">
        <f t="shared" si="59"/>
        <v>0</v>
      </c>
      <c r="M225" s="67">
        <f t="shared" si="59"/>
        <v>0</v>
      </c>
      <c r="N225" s="31">
        <f t="shared" si="59"/>
        <v>0</v>
      </c>
      <c r="O225" s="31">
        <f t="shared" si="59"/>
        <v>762</v>
      </c>
      <c r="P225" s="31">
        <f t="shared" si="59"/>
        <v>39037.31</v>
      </c>
      <c r="Q225" s="31">
        <f t="shared" si="59"/>
        <v>0</v>
      </c>
      <c r="R225" s="31">
        <f t="shared" si="59"/>
        <v>0</v>
      </c>
      <c r="S225" s="31">
        <f t="shared" si="59"/>
        <v>0</v>
      </c>
      <c r="T225" s="31">
        <f t="shared" si="59"/>
        <v>0</v>
      </c>
      <c r="U225" s="31">
        <f t="shared" si="59"/>
        <v>0</v>
      </c>
      <c r="V225" s="31">
        <f t="shared" si="59"/>
        <v>0</v>
      </c>
      <c r="W225" s="31">
        <f t="shared" si="59"/>
        <v>0</v>
      </c>
      <c r="X225" s="31">
        <f t="shared" si="59"/>
        <v>0</v>
      </c>
      <c r="Y225" s="31">
        <f t="shared" si="59"/>
        <v>0</v>
      </c>
      <c r="Z225" s="31">
        <f t="shared" si="59"/>
        <v>0</v>
      </c>
      <c r="AA225" s="31">
        <f t="shared" si="59"/>
        <v>0</v>
      </c>
      <c r="AB225" s="31">
        <f t="shared" si="59"/>
        <v>0</v>
      </c>
      <c r="AC225" s="31">
        <f t="shared" si="59"/>
        <v>0</v>
      </c>
      <c r="AD225" s="31">
        <f t="shared" si="59"/>
        <v>0</v>
      </c>
      <c r="AE225" s="31">
        <f t="shared" si="59"/>
        <v>585.55999999999995</v>
      </c>
      <c r="AF225" s="31">
        <f t="shared" si="59"/>
        <v>0</v>
      </c>
      <c r="AG225" s="31">
        <f t="shared" si="59"/>
        <v>0</v>
      </c>
      <c r="AH225" s="175" t="s">
        <v>890</v>
      </c>
      <c r="AI225" s="175" t="s">
        <v>890</v>
      </c>
      <c r="AJ225" s="175" t="s">
        <v>890</v>
      </c>
      <c r="AK225" s="58"/>
    </row>
    <row r="226" spans="1:37" ht="62.25" x14ac:dyDescent="0.9">
      <c r="A226" s="6">
        <v>1</v>
      </c>
      <c r="B226" s="60">
        <f>SUBTOTAL(103,$A$88:A226)</f>
        <v>114</v>
      </c>
      <c r="C226" s="174" t="s">
        <v>1488</v>
      </c>
      <c r="D226" s="65" t="s">
        <v>1881</v>
      </c>
      <c r="E226" s="63">
        <v>0.98380000000000001</v>
      </c>
      <c r="F226" s="31">
        <f>G226+H226+I226+J226+K226+L226+N226+P226+R226+T226+V226+W226+X226+Y226+Z226+AA226+AB226+AC226+AD226+AE226+AF226+AG226</f>
        <v>39622.869999999995</v>
      </c>
      <c r="G226" s="31">
        <v>0</v>
      </c>
      <c r="H226" s="31">
        <v>0</v>
      </c>
      <c r="I226" s="31">
        <v>0</v>
      </c>
      <c r="J226" s="31">
        <v>0</v>
      </c>
      <c r="K226" s="31">
        <v>0</v>
      </c>
      <c r="L226" s="31">
        <v>0</v>
      </c>
      <c r="M226" s="67">
        <v>0</v>
      </c>
      <c r="N226" s="31">
        <v>0</v>
      </c>
      <c r="O226" s="31">
        <v>762</v>
      </c>
      <c r="P226" s="31">
        <v>39037.31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f>ROUND(P226*1.5%,2)</f>
        <v>585.55999999999995</v>
      </c>
      <c r="AF226" s="31">
        <v>0</v>
      </c>
      <c r="AG226" s="31">
        <v>0</v>
      </c>
      <c r="AH226" s="175" t="s">
        <v>268</v>
      </c>
      <c r="AI226" s="175">
        <v>2020</v>
      </c>
      <c r="AJ226" s="175">
        <v>2020</v>
      </c>
      <c r="AK226" s="58"/>
    </row>
    <row r="227" spans="1:37" ht="62.25" x14ac:dyDescent="0.9">
      <c r="B227" s="273" t="s">
        <v>834</v>
      </c>
      <c r="C227" s="174"/>
      <c r="D227" s="272" t="s">
        <v>890</v>
      </c>
      <c r="E227" s="63">
        <f>E228</f>
        <v>0.98480000000000001</v>
      </c>
      <c r="F227" s="31">
        <f>F228</f>
        <v>1045972.2</v>
      </c>
      <c r="G227" s="31">
        <f t="shared" ref="G227:AG227" si="60">G228</f>
        <v>0</v>
      </c>
      <c r="H227" s="31">
        <f t="shared" si="60"/>
        <v>0</v>
      </c>
      <c r="I227" s="31">
        <f t="shared" si="60"/>
        <v>0</v>
      </c>
      <c r="J227" s="31">
        <f t="shared" si="60"/>
        <v>0</v>
      </c>
      <c r="K227" s="31">
        <f t="shared" si="60"/>
        <v>0</v>
      </c>
      <c r="L227" s="31">
        <f t="shared" si="60"/>
        <v>0</v>
      </c>
      <c r="M227" s="67">
        <f t="shared" si="60"/>
        <v>0</v>
      </c>
      <c r="N227" s="31">
        <f t="shared" si="60"/>
        <v>0</v>
      </c>
      <c r="O227" s="31">
        <f t="shared" si="60"/>
        <v>1187</v>
      </c>
      <c r="P227" s="31">
        <f t="shared" si="60"/>
        <v>1030514.48</v>
      </c>
      <c r="Q227" s="31">
        <f t="shared" si="60"/>
        <v>0</v>
      </c>
      <c r="R227" s="31">
        <f t="shared" si="60"/>
        <v>0</v>
      </c>
      <c r="S227" s="31">
        <f t="shared" si="60"/>
        <v>0</v>
      </c>
      <c r="T227" s="31">
        <f t="shared" si="60"/>
        <v>0</v>
      </c>
      <c r="U227" s="31">
        <f t="shared" si="60"/>
        <v>0</v>
      </c>
      <c r="V227" s="31">
        <f t="shared" si="60"/>
        <v>0</v>
      </c>
      <c r="W227" s="31">
        <f t="shared" si="60"/>
        <v>0</v>
      </c>
      <c r="X227" s="31">
        <f t="shared" si="60"/>
        <v>0</v>
      </c>
      <c r="Y227" s="31">
        <f t="shared" si="60"/>
        <v>0</v>
      </c>
      <c r="Z227" s="31">
        <f t="shared" si="60"/>
        <v>0</v>
      </c>
      <c r="AA227" s="31">
        <f t="shared" si="60"/>
        <v>0</v>
      </c>
      <c r="AB227" s="31">
        <f t="shared" si="60"/>
        <v>0</v>
      </c>
      <c r="AC227" s="31">
        <f t="shared" si="60"/>
        <v>0</v>
      </c>
      <c r="AD227" s="31">
        <f t="shared" si="60"/>
        <v>0</v>
      </c>
      <c r="AE227" s="31">
        <f t="shared" si="60"/>
        <v>15457.72</v>
      </c>
      <c r="AF227" s="31">
        <f t="shared" si="60"/>
        <v>0</v>
      </c>
      <c r="AG227" s="31">
        <f t="shared" si="60"/>
        <v>0</v>
      </c>
      <c r="AH227" s="175" t="s">
        <v>890</v>
      </c>
      <c r="AI227" s="175" t="s">
        <v>890</v>
      </c>
      <c r="AJ227" s="175" t="s">
        <v>890</v>
      </c>
      <c r="AK227" s="58"/>
    </row>
    <row r="228" spans="1:37" ht="62.25" x14ac:dyDescent="0.9">
      <c r="A228" s="6">
        <v>1</v>
      </c>
      <c r="B228" s="60">
        <f>SUBTOTAL(103,$A$88:A228)</f>
        <v>115</v>
      </c>
      <c r="C228" s="174" t="s">
        <v>2282</v>
      </c>
      <c r="D228" s="65">
        <v>2014</v>
      </c>
      <c r="E228" s="63">
        <v>0.98480000000000001</v>
      </c>
      <c r="F228" s="31">
        <f>G228+H228+I228+J228+K228+L228+N228+P228+R228+T228+V228+W228+X228+Y228+Z228+AA228+AB228+AC228+AD228+AE228+AF228+AG228</f>
        <v>1045972.2</v>
      </c>
      <c r="G228" s="31">
        <v>0</v>
      </c>
      <c r="H228" s="31">
        <v>0</v>
      </c>
      <c r="I228" s="31">
        <v>0</v>
      </c>
      <c r="J228" s="31">
        <v>0</v>
      </c>
      <c r="K228" s="31">
        <v>0</v>
      </c>
      <c r="L228" s="31">
        <v>0</v>
      </c>
      <c r="M228" s="67">
        <v>0</v>
      </c>
      <c r="N228" s="31">
        <v>0</v>
      </c>
      <c r="O228" s="31">
        <v>1187</v>
      </c>
      <c r="P228" s="31">
        <v>1030514.48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f>ROUND(P228*1.5%,2)</f>
        <v>15457.72</v>
      </c>
      <c r="AF228" s="31">
        <v>0</v>
      </c>
      <c r="AG228" s="31">
        <v>0</v>
      </c>
      <c r="AH228" s="175" t="s">
        <v>268</v>
      </c>
      <c r="AI228" s="34">
        <v>2021</v>
      </c>
      <c r="AJ228" s="34">
        <v>2021</v>
      </c>
      <c r="AK228" s="58"/>
    </row>
    <row r="229" spans="1:37" ht="62.25" x14ac:dyDescent="0.9">
      <c r="B229" s="273" t="s">
        <v>839</v>
      </c>
      <c r="C229" s="174"/>
      <c r="D229" s="272" t="s">
        <v>890</v>
      </c>
      <c r="E229" s="63">
        <f>AVERAGE(E230:E231)</f>
        <v>0.83830000000000005</v>
      </c>
      <c r="F229" s="31">
        <f>F230+F231</f>
        <v>98631.760000000009</v>
      </c>
      <c r="G229" s="31">
        <f t="shared" ref="G229:AG229" si="61">G230+G231</f>
        <v>0</v>
      </c>
      <c r="H229" s="31">
        <f t="shared" si="61"/>
        <v>0</v>
      </c>
      <c r="I229" s="31">
        <f t="shared" si="61"/>
        <v>0</v>
      </c>
      <c r="J229" s="31">
        <f t="shared" si="61"/>
        <v>0</v>
      </c>
      <c r="K229" s="31">
        <f t="shared" si="61"/>
        <v>0</v>
      </c>
      <c r="L229" s="31">
        <f t="shared" si="61"/>
        <v>0</v>
      </c>
      <c r="M229" s="67">
        <f t="shared" si="61"/>
        <v>0</v>
      </c>
      <c r="N229" s="31">
        <f t="shared" si="61"/>
        <v>0</v>
      </c>
      <c r="O229" s="31">
        <f t="shared" si="61"/>
        <v>949</v>
      </c>
      <c r="P229" s="31">
        <f t="shared" si="61"/>
        <v>97866.559999999998</v>
      </c>
      <c r="Q229" s="31">
        <f t="shared" si="61"/>
        <v>0</v>
      </c>
      <c r="R229" s="31">
        <f t="shared" si="61"/>
        <v>0</v>
      </c>
      <c r="S229" s="31">
        <f t="shared" si="61"/>
        <v>0</v>
      </c>
      <c r="T229" s="31">
        <f t="shared" si="61"/>
        <v>0</v>
      </c>
      <c r="U229" s="31">
        <f t="shared" si="61"/>
        <v>0</v>
      </c>
      <c r="V229" s="31">
        <f t="shared" si="61"/>
        <v>0</v>
      </c>
      <c r="W229" s="31">
        <f t="shared" si="61"/>
        <v>0</v>
      </c>
      <c r="X229" s="31">
        <f t="shared" si="61"/>
        <v>0</v>
      </c>
      <c r="Y229" s="31">
        <f t="shared" si="61"/>
        <v>0</v>
      </c>
      <c r="Z229" s="31">
        <f t="shared" si="61"/>
        <v>0</v>
      </c>
      <c r="AA229" s="31">
        <f t="shared" si="61"/>
        <v>0</v>
      </c>
      <c r="AB229" s="31">
        <f t="shared" si="61"/>
        <v>0</v>
      </c>
      <c r="AC229" s="31">
        <f t="shared" si="61"/>
        <v>0</v>
      </c>
      <c r="AD229" s="31">
        <f t="shared" si="61"/>
        <v>0</v>
      </c>
      <c r="AE229" s="31">
        <f t="shared" si="61"/>
        <v>765.2</v>
      </c>
      <c r="AF229" s="31">
        <f t="shared" si="61"/>
        <v>0</v>
      </c>
      <c r="AG229" s="31">
        <f t="shared" si="61"/>
        <v>0</v>
      </c>
      <c r="AH229" s="175" t="s">
        <v>890</v>
      </c>
      <c r="AI229" s="175" t="s">
        <v>890</v>
      </c>
      <c r="AJ229" s="175" t="s">
        <v>890</v>
      </c>
      <c r="AK229" s="58"/>
    </row>
    <row r="230" spans="1:37" ht="62.25" x14ac:dyDescent="0.9">
      <c r="A230" s="6">
        <v>1</v>
      </c>
      <c r="B230" s="60">
        <f>SUBTOTAL(103,$A$88:A230)</f>
        <v>116</v>
      </c>
      <c r="C230" s="174" t="s">
        <v>1496</v>
      </c>
      <c r="D230" s="65" t="s">
        <v>1880</v>
      </c>
      <c r="E230" s="63">
        <v>0.75480000000000003</v>
      </c>
      <c r="F230" s="31">
        <f>G230+H230+I230+J230+K230+L230+N230+P230+R230+T230+V230+W230+X230+Y230+Z230+AA230+AB230+AC230+AD230+AE230+AF230+AG230</f>
        <v>78556.570000000007</v>
      </c>
      <c r="G230" s="31">
        <v>0</v>
      </c>
      <c r="H230" s="31">
        <v>0</v>
      </c>
      <c r="I230" s="31">
        <v>0</v>
      </c>
      <c r="J230" s="31">
        <v>0</v>
      </c>
      <c r="K230" s="31">
        <v>0</v>
      </c>
      <c r="L230" s="31">
        <v>0</v>
      </c>
      <c r="M230" s="67">
        <v>0</v>
      </c>
      <c r="N230" s="31">
        <v>0</v>
      </c>
      <c r="O230" s="31">
        <v>577</v>
      </c>
      <c r="P230" s="31">
        <v>78088.05</v>
      </c>
      <c r="Q230" s="31">
        <v>0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468.52</v>
      </c>
      <c r="AF230" s="31">
        <v>0</v>
      </c>
      <c r="AG230" s="31">
        <v>0</v>
      </c>
      <c r="AH230" s="175" t="s">
        <v>268</v>
      </c>
      <c r="AI230" s="175">
        <v>2020</v>
      </c>
      <c r="AJ230" s="175">
        <v>2020</v>
      </c>
      <c r="AK230" s="58"/>
    </row>
    <row r="231" spans="1:37" ht="62.25" x14ac:dyDescent="0.9">
      <c r="A231" s="6">
        <v>1</v>
      </c>
      <c r="B231" s="60">
        <f>SUBTOTAL(103,$A$88:A231)</f>
        <v>117</v>
      </c>
      <c r="C231" s="174" t="s">
        <v>1497</v>
      </c>
      <c r="D231" s="65" t="s">
        <v>1881</v>
      </c>
      <c r="E231" s="63">
        <v>0.92179999999999995</v>
      </c>
      <c r="F231" s="31">
        <f>G231+H231+I231+J231+K231+L231+N231+P231+R231+T231+V231+W231+X231+Y231+Z231+AA231+AB231+AC231+AD231+AE231+AF231+AG231</f>
        <v>20075.189999999999</v>
      </c>
      <c r="G231" s="31">
        <v>0</v>
      </c>
      <c r="H231" s="31">
        <v>0</v>
      </c>
      <c r="I231" s="31">
        <v>0</v>
      </c>
      <c r="J231" s="31">
        <v>0</v>
      </c>
      <c r="K231" s="31">
        <v>0</v>
      </c>
      <c r="L231" s="31">
        <v>0</v>
      </c>
      <c r="M231" s="67">
        <v>0</v>
      </c>
      <c r="N231" s="31">
        <v>0</v>
      </c>
      <c r="O231" s="31">
        <v>372</v>
      </c>
      <c r="P231" s="31">
        <v>19778.509999999998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f>ROUND(P231*1.5%,2)</f>
        <v>296.68</v>
      </c>
      <c r="AF231" s="31">
        <v>0</v>
      </c>
      <c r="AG231" s="31">
        <v>0</v>
      </c>
      <c r="AH231" s="175" t="s">
        <v>268</v>
      </c>
      <c r="AI231" s="175">
        <v>2020</v>
      </c>
      <c r="AJ231" s="175">
        <v>2020</v>
      </c>
      <c r="AK231" s="58"/>
    </row>
    <row r="232" spans="1:37" ht="62.25" x14ac:dyDescent="0.9">
      <c r="B232" s="273" t="s">
        <v>1045</v>
      </c>
      <c r="C232" s="174"/>
      <c r="D232" s="272" t="s">
        <v>890</v>
      </c>
      <c r="E232" s="63">
        <f t="shared" ref="E232:T238" si="62">E233</f>
        <v>0.93410000000000004</v>
      </c>
      <c r="F232" s="31">
        <f t="shared" si="62"/>
        <v>5309.7</v>
      </c>
      <c r="G232" s="31">
        <f t="shared" si="62"/>
        <v>0</v>
      </c>
      <c r="H232" s="31">
        <f t="shared" si="62"/>
        <v>0</v>
      </c>
      <c r="I232" s="31">
        <f t="shared" si="62"/>
        <v>0</v>
      </c>
      <c r="J232" s="31">
        <f t="shared" si="62"/>
        <v>0</v>
      </c>
      <c r="K232" s="31">
        <f t="shared" si="62"/>
        <v>0</v>
      </c>
      <c r="L232" s="31">
        <f t="shared" si="62"/>
        <v>0</v>
      </c>
      <c r="M232" s="67">
        <f t="shared" si="62"/>
        <v>0</v>
      </c>
      <c r="N232" s="31">
        <f t="shared" si="62"/>
        <v>0</v>
      </c>
      <c r="O232" s="31">
        <f t="shared" si="62"/>
        <v>429.6</v>
      </c>
      <c r="P232" s="31">
        <f t="shared" si="62"/>
        <v>5231.2299999999996</v>
      </c>
      <c r="Q232" s="31">
        <f t="shared" si="62"/>
        <v>0</v>
      </c>
      <c r="R232" s="31">
        <f t="shared" si="62"/>
        <v>0</v>
      </c>
      <c r="S232" s="31">
        <f t="shared" si="62"/>
        <v>0</v>
      </c>
      <c r="T232" s="31">
        <f t="shared" si="62"/>
        <v>0</v>
      </c>
      <c r="U232" s="31">
        <f t="shared" ref="U232:AG232" si="63">U233</f>
        <v>0</v>
      </c>
      <c r="V232" s="31">
        <f t="shared" si="63"/>
        <v>0</v>
      </c>
      <c r="W232" s="31">
        <f t="shared" si="63"/>
        <v>0</v>
      </c>
      <c r="X232" s="31">
        <f t="shared" si="63"/>
        <v>0</v>
      </c>
      <c r="Y232" s="31">
        <f t="shared" si="63"/>
        <v>0</v>
      </c>
      <c r="Z232" s="31">
        <f t="shared" si="63"/>
        <v>0</v>
      </c>
      <c r="AA232" s="31">
        <f t="shared" si="63"/>
        <v>0</v>
      </c>
      <c r="AB232" s="31">
        <f t="shared" si="63"/>
        <v>0</v>
      </c>
      <c r="AC232" s="31">
        <f t="shared" si="63"/>
        <v>0</v>
      </c>
      <c r="AD232" s="31">
        <f t="shared" si="63"/>
        <v>0</v>
      </c>
      <c r="AE232" s="31">
        <f t="shared" si="63"/>
        <v>78.47</v>
      </c>
      <c r="AF232" s="31">
        <f t="shared" si="63"/>
        <v>0</v>
      </c>
      <c r="AG232" s="31">
        <f t="shared" si="63"/>
        <v>0</v>
      </c>
      <c r="AH232" s="175" t="s">
        <v>890</v>
      </c>
      <c r="AI232" s="175" t="s">
        <v>890</v>
      </c>
      <c r="AJ232" s="175" t="s">
        <v>890</v>
      </c>
      <c r="AK232" s="58"/>
    </row>
    <row r="233" spans="1:37" ht="62.25" x14ac:dyDescent="0.9">
      <c r="A233" s="6">
        <v>1</v>
      </c>
      <c r="B233" s="60">
        <f>SUBTOTAL(103,$A$88:A233)</f>
        <v>118</v>
      </c>
      <c r="C233" s="174" t="s">
        <v>1591</v>
      </c>
      <c r="D233" s="65" t="s">
        <v>1880</v>
      </c>
      <c r="E233" s="63">
        <v>0.93410000000000004</v>
      </c>
      <c r="F233" s="31">
        <f>G233+H233+I233+J233+K233+L233+N233+P233+R233+T233+V233+W233+X233+Y233+Z233+AA233+AB233+AC233+AD233+AE233+AF233+AG233</f>
        <v>5309.7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  <c r="L233" s="31">
        <v>0</v>
      </c>
      <c r="M233" s="67">
        <v>0</v>
      </c>
      <c r="N233" s="31">
        <v>0</v>
      </c>
      <c r="O233" s="31">
        <v>429.6</v>
      </c>
      <c r="P233" s="31">
        <v>5231.2299999999996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f>ROUND(P233*1.5%,2)</f>
        <v>78.47</v>
      </c>
      <c r="AF233" s="31">
        <v>0</v>
      </c>
      <c r="AG233" s="31">
        <v>0</v>
      </c>
      <c r="AH233" s="175" t="s">
        <v>268</v>
      </c>
      <c r="AI233" s="175">
        <v>2020</v>
      </c>
      <c r="AJ233" s="175">
        <v>2020</v>
      </c>
      <c r="AK233" s="58"/>
    </row>
    <row r="234" spans="1:37" ht="62.25" x14ac:dyDescent="0.9">
      <c r="B234" s="273" t="s">
        <v>882</v>
      </c>
      <c r="C234" s="174"/>
      <c r="D234" s="272" t="s">
        <v>890</v>
      </c>
      <c r="E234" s="63">
        <v>0.99509999999999998</v>
      </c>
      <c r="F234" s="31">
        <f t="shared" si="62"/>
        <v>188216.53</v>
      </c>
      <c r="G234" s="31">
        <f t="shared" si="62"/>
        <v>0</v>
      </c>
      <c r="H234" s="31">
        <f t="shared" si="62"/>
        <v>0</v>
      </c>
      <c r="I234" s="31">
        <f t="shared" si="62"/>
        <v>0</v>
      </c>
      <c r="J234" s="31">
        <f t="shared" si="62"/>
        <v>0</v>
      </c>
      <c r="K234" s="31">
        <f t="shared" si="62"/>
        <v>0</v>
      </c>
      <c r="L234" s="31">
        <f t="shared" si="62"/>
        <v>0</v>
      </c>
      <c r="M234" s="67">
        <f t="shared" si="62"/>
        <v>0</v>
      </c>
      <c r="N234" s="31">
        <f t="shared" si="62"/>
        <v>0</v>
      </c>
      <c r="O234" s="31">
        <f t="shared" si="62"/>
        <v>186.15</v>
      </c>
      <c r="P234" s="31">
        <f t="shared" si="62"/>
        <v>185435</v>
      </c>
      <c r="Q234" s="31">
        <f t="shared" si="62"/>
        <v>0</v>
      </c>
      <c r="R234" s="31">
        <f t="shared" si="62"/>
        <v>0</v>
      </c>
      <c r="S234" s="31">
        <f t="shared" si="62"/>
        <v>0</v>
      </c>
      <c r="T234" s="31">
        <f t="shared" si="62"/>
        <v>0</v>
      </c>
      <c r="U234" s="31">
        <f t="shared" ref="U234:AG234" si="64">U235</f>
        <v>0</v>
      </c>
      <c r="V234" s="31">
        <f t="shared" si="64"/>
        <v>0</v>
      </c>
      <c r="W234" s="31">
        <f t="shared" si="64"/>
        <v>0</v>
      </c>
      <c r="X234" s="31">
        <f t="shared" si="64"/>
        <v>0</v>
      </c>
      <c r="Y234" s="31">
        <f t="shared" si="64"/>
        <v>0</v>
      </c>
      <c r="Z234" s="31">
        <f t="shared" si="64"/>
        <v>0</v>
      </c>
      <c r="AA234" s="31">
        <f t="shared" si="64"/>
        <v>0</v>
      </c>
      <c r="AB234" s="31">
        <f t="shared" si="64"/>
        <v>0</v>
      </c>
      <c r="AC234" s="31">
        <f t="shared" si="64"/>
        <v>0</v>
      </c>
      <c r="AD234" s="31">
        <f t="shared" si="64"/>
        <v>0</v>
      </c>
      <c r="AE234" s="31">
        <f t="shared" si="64"/>
        <v>2781.53</v>
      </c>
      <c r="AF234" s="31">
        <f t="shared" si="64"/>
        <v>0</v>
      </c>
      <c r="AG234" s="31">
        <f t="shared" si="64"/>
        <v>0</v>
      </c>
      <c r="AH234" s="175" t="s">
        <v>890</v>
      </c>
      <c r="AI234" s="175" t="s">
        <v>890</v>
      </c>
      <c r="AJ234" s="175" t="s">
        <v>890</v>
      </c>
      <c r="AK234" s="58"/>
    </row>
    <row r="235" spans="1:37" ht="62.25" x14ac:dyDescent="0.9">
      <c r="A235" s="6">
        <v>1</v>
      </c>
      <c r="B235" s="60">
        <f>SUBTOTAL(103,$A$88:A235)</f>
        <v>119</v>
      </c>
      <c r="C235" s="174" t="s">
        <v>1680</v>
      </c>
      <c r="D235" s="65" t="s">
        <v>1880</v>
      </c>
      <c r="E235" s="63">
        <v>0.99509999999999998</v>
      </c>
      <c r="F235" s="31">
        <f>P235+AE235</f>
        <v>188216.53</v>
      </c>
      <c r="G235" s="31">
        <v>0</v>
      </c>
      <c r="H235" s="31">
        <v>0</v>
      </c>
      <c r="I235" s="31">
        <v>0</v>
      </c>
      <c r="J235" s="31">
        <v>0</v>
      </c>
      <c r="K235" s="31">
        <v>0</v>
      </c>
      <c r="L235" s="31">
        <v>0</v>
      </c>
      <c r="M235" s="67">
        <v>0</v>
      </c>
      <c r="N235" s="31">
        <v>0</v>
      </c>
      <c r="O235" s="31">
        <v>186.15</v>
      </c>
      <c r="P235" s="31">
        <v>185435</v>
      </c>
      <c r="Q235" s="31">
        <v>0</v>
      </c>
      <c r="R235" s="31">
        <v>0</v>
      </c>
      <c r="S235" s="31">
        <v>0</v>
      </c>
      <c r="T235" s="176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f>ROUND(P235*1.5%,2)</f>
        <v>2781.53</v>
      </c>
      <c r="AF235" s="31">
        <v>0</v>
      </c>
      <c r="AG235" s="31">
        <v>0</v>
      </c>
      <c r="AH235" s="175" t="s">
        <v>268</v>
      </c>
      <c r="AI235" s="175">
        <v>2020</v>
      </c>
      <c r="AJ235" s="175">
        <v>2020</v>
      </c>
      <c r="AK235" s="58"/>
    </row>
    <row r="236" spans="1:37" ht="62.25" x14ac:dyDescent="0.9">
      <c r="B236" s="273" t="s">
        <v>853</v>
      </c>
      <c r="C236" s="174"/>
      <c r="D236" s="272" t="s">
        <v>890</v>
      </c>
      <c r="E236" s="63">
        <f t="shared" si="62"/>
        <v>0.981975146584529</v>
      </c>
      <c r="F236" s="31">
        <f t="shared" si="62"/>
        <v>29122.38</v>
      </c>
      <c r="G236" s="31">
        <f t="shared" si="62"/>
        <v>0</v>
      </c>
      <c r="H236" s="31">
        <f t="shared" si="62"/>
        <v>0</v>
      </c>
      <c r="I236" s="31">
        <f t="shared" si="62"/>
        <v>28692</v>
      </c>
      <c r="J236" s="31">
        <f t="shared" si="62"/>
        <v>0</v>
      </c>
      <c r="K236" s="31">
        <f t="shared" si="62"/>
        <v>0</v>
      </c>
      <c r="L236" s="31">
        <f t="shared" si="62"/>
        <v>0</v>
      </c>
      <c r="M236" s="67">
        <f t="shared" si="62"/>
        <v>0</v>
      </c>
      <c r="N236" s="31">
        <f t="shared" si="62"/>
        <v>0</v>
      </c>
      <c r="O236" s="31">
        <f t="shared" si="62"/>
        <v>0</v>
      </c>
      <c r="P236" s="31">
        <f t="shared" si="62"/>
        <v>0</v>
      </c>
      <c r="Q236" s="31">
        <f t="shared" si="62"/>
        <v>0</v>
      </c>
      <c r="R236" s="31">
        <f t="shared" si="62"/>
        <v>0</v>
      </c>
      <c r="S236" s="31">
        <f t="shared" si="62"/>
        <v>0</v>
      </c>
      <c r="T236" s="31">
        <f t="shared" si="62"/>
        <v>0</v>
      </c>
      <c r="U236" s="31">
        <f t="shared" ref="U236:AG238" si="65">U237</f>
        <v>0</v>
      </c>
      <c r="V236" s="31">
        <f t="shared" si="65"/>
        <v>0</v>
      </c>
      <c r="W236" s="31">
        <f t="shared" si="65"/>
        <v>0</v>
      </c>
      <c r="X236" s="31">
        <f t="shared" si="65"/>
        <v>0</v>
      </c>
      <c r="Y236" s="31">
        <f t="shared" si="65"/>
        <v>0</v>
      </c>
      <c r="Z236" s="31">
        <f t="shared" si="65"/>
        <v>0</v>
      </c>
      <c r="AA236" s="31">
        <f t="shared" si="65"/>
        <v>0</v>
      </c>
      <c r="AB236" s="31">
        <f t="shared" si="65"/>
        <v>0</v>
      </c>
      <c r="AC236" s="31">
        <f t="shared" si="65"/>
        <v>0</v>
      </c>
      <c r="AD236" s="31">
        <f t="shared" si="65"/>
        <v>0</v>
      </c>
      <c r="AE236" s="31">
        <f t="shared" si="65"/>
        <v>430.38</v>
      </c>
      <c r="AF236" s="31">
        <f t="shared" si="65"/>
        <v>0</v>
      </c>
      <c r="AG236" s="31">
        <f t="shared" si="65"/>
        <v>0</v>
      </c>
      <c r="AH236" s="175" t="s">
        <v>890</v>
      </c>
      <c r="AI236" s="175" t="s">
        <v>890</v>
      </c>
      <c r="AJ236" s="175" t="s">
        <v>890</v>
      </c>
      <c r="AK236" s="58"/>
    </row>
    <row r="237" spans="1:37" ht="62.25" x14ac:dyDescent="0.9">
      <c r="A237" s="6">
        <v>1</v>
      </c>
      <c r="B237" s="60">
        <f>SUBTOTAL(103,$A$88:A237)</f>
        <v>120</v>
      </c>
      <c r="C237" s="174" t="s">
        <v>1896</v>
      </c>
      <c r="D237" s="79">
        <v>2015</v>
      </c>
      <c r="E237" s="63">
        <v>0.981975146584529</v>
      </c>
      <c r="F237" s="31">
        <f>G237+H237+I237+J237+K237+L237+N237+P237+R237+T237+V237+W237+X237+Y237+Z237+AA237+AB237+AC237+AD237+AE237+AF237+AG237</f>
        <v>29122.38</v>
      </c>
      <c r="G237" s="31">
        <v>0</v>
      </c>
      <c r="H237" s="31">
        <v>0</v>
      </c>
      <c r="I237" s="31">
        <v>28692</v>
      </c>
      <c r="J237" s="31">
        <v>0</v>
      </c>
      <c r="K237" s="31">
        <v>0</v>
      </c>
      <c r="L237" s="31">
        <v>0</v>
      </c>
      <c r="M237" s="67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176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f>ROUND(I237*1.5%,2)</f>
        <v>430.38</v>
      </c>
      <c r="AF237" s="31">
        <v>0</v>
      </c>
      <c r="AG237" s="31">
        <v>0</v>
      </c>
      <c r="AH237" s="175" t="s">
        <v>268</v>
      </c>
      <c r="AI237" s="175">
        <v>2021</v>
      </c>
      <c r="AJ237" s="175">
        <v>2021</v>
      </c>
      <c r="AK237" s="58"/>
    </row>
    <row r="238" spans="1:37" ht="62.25" x14ac:dyDescent="0.9">
      <c r="B238" s="273" t="s">
        <v>851</v>
      </c>
      <c r="C238" s="174"/>
      <c r="D238" s="272" t="s">
        <v>890</v>
      </c>
      <c r="E238" s="63">
        <f t="shared" si="62"/>
        <v>0.95199999999999996</v>
      </c>
      <c r="F238" s="31">
        <f t="shared" si="62"/>
        <v>4917329.37</v>
      </c>
      <c r="G238" s="31">
        <f t="shared" si="62"/>
        <v>0</v>
      </c>
      <c r="H238" s="31">
        <f t="shared" si="62"/>
        <v>0</v>
      </c>
      <c r="I238" s="31">
        <f t="shared" si="62"/>
        <v>0</v>
      </c>
      <c r="J238" s="31">
        <f t="shared" si="62"/>
        <v>0</v>
      </c>
      <c r="K238" s="31">
        <f t="shared" si="62"/>
        <v>0</v>
      </c>
      <c r="L238" s="31">
        <f t="shared" si="62"/>
        <v>0</v>
      </c>
      <c r="M238" s="67">
        <f t="shared" si="62"/>
        <v>0</v>
      </c>
      <c r="N238" s="31">
        <f t="shared" si="62"/>
        <v>0</v>
      </c>
      <c r="O238" s="31">
        <f t="shared" si="62"/>
        <v>1020</v>
      </c>
      <c r="P238" s="31">
        <f t="shared" si="62"/>
        <v>4844659.4800000004</v>
      </c>
      <c r="Q238" s="31">
        <f t="shared" si="62"/>
        <v>0</v>
      </c>
      <c r="R238" s="31">
        <f t="shared" si="62"/>
        <v>0</v>
      </c>
      <c r="S238" s="31">
        <f t="shared" si="62"/>
        <v>0</v>
      </c>
      <c r="T238" s="31">
        <f t="shared" si="62"/>
        <v>0</v>
      </c>
      <c r="U238" s="31">
        <f t="shared" si="65"/>
        <v>0</v>
      </c>
      <c r="V238" s="31">
        <f t="shared" si="65"/>
        <v>0</v>
      </c>
      <c r="W238" s="31">
        <f t="shared" si="65"/>
        <v>0</v>
      </c>
      <c r="X238" s="31">
        <f t="shared" si="65"/>
        <v>0</v>
      </c>
      <c r="Y238" s="31">
        <f t="shared" si="65"/>
        <v>0</v>
      </c>
      <c r="Z238" s="31">
        <f t="shared" si="65"/>
        <v>0</v>
      </c>
      <c r="AA238" s="31">
        <f t="shared" si="65"/>
        <v>0</v>
      </c>
      <c r="AB238" s="31">
        <f t="shared" si="65"/>
        <v>0</v>
      </c>
      <c r="AC238" s="31">
        <f t="shared" si="65"/>
        <v>0</v>
      </c>
      <c r="AD238" s="31">
        <f t="shared" si="65"/>
        <v>0</v>
      </c>
      <c r="AE238" s="31">
        <f t="shared" si="65"/>
        <v>72669.89</v>
      </c>
      <c r="AF238" s="31">
        <f t="shared" si="65"/>
        <v>0</v>
      </c>
      <c r="AG238" s="31">
        <f t="shared" si="65"/>
        <v>0</v>
      </c>
      <c r="AH238" s="175" t="s">
        <v>890</v>
      </c>
      <c r="AI238" s="175" t="s">
        <v>890</v>
      </c>
      <c r="AJ238" s="175" t="s">
        <v>890</v>
      </c>
      <c r="AK238" s="58"/>
    </row>
    <row r="239" spans="1:37" ht="62.25" x14ac:dyDescent="0.9">
      <c r="A239" s="6">
        <v>1</v>
      </c>
      <c r="B239" s="60">
        <f>SUBTOTAL(103,$A$88:A239)</f>
        <v>121</v>
      </c>
      <c r="C239" s="174" t="s">
        <v>2281</v>
      </c>
      <c r="D239" s="79">
        <v>2015</v>
      </c>
      <c r="E239" s="63">
        <v>0.95199999999999996</v>
      </c>
      <c r="F239" s="31">
        <f>G239+H239+I239+J239+K239+L239+N239+P239+R239+T239+V239+W239+X239+Y239+Z239+AA239+AB239+AC239+AD239+AE239+AF239+AG239</f>
        <v>4917329.37</v>
      </c>
      <c r="G239" s="31">
        <v>0</v>
      </c>
      <c r="H239" s="31">
        <v>0</v>
      </c>
      <c r="I239" s="31">
        <v>0</v>
      </c>
      <c r="J239" s="31">
        <v>0</v>
      </c>
      <c r="K239" s="31">
        <v>0</v>
      </c>
      <c r="L239" s="31">
        <v>0</v>
      </c>
      <c r="M239" s="67">
        <v>0</v>
      </c>
      <c r="N239" s="31">
        <v>0</v>
      </c>
      <c r="O239" s="31">
        <v>1020</v>
      </c>
      <c r="P239" s="31">
        <v>4844659.4800000004</v>
      </c>
      <c r="Q239" s="31">
        <v>0</v>
      </c>
      <c r="R239" s="31">
        <v>0</v>
      </c>
      <c r="S239" s="31">
        <v>0</v>
      </c>
      <c r="T239" s="176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f>ROUND(P239*1.5%,2)</f>
        <v>72669.89</v>
      </c>
      <c r="AF239" s="31">
        <v>0</v>
      </c>
      <c r="AG239" s="31">
        <v>0</v>
      </c>
      <c r="AH239" s="175" t="s">
        <v>268</v>
      </c>
      <c r="AI239" s="175">
        <v>2021</v>
      </c>
      <c r="AJ239" s="175">
        <v>2021</v>
      </c>
      <c r="AK239" s="58"/>
    </row>
  </sheetData>
  <autoFilter ref="A9:AN238" xr:uid="{A7C8F360-E011-47C1-8FC2-21A54058AD33}"/>
  <mergeCells count="34">
    <mergeCell ref="B86:C86"/>
    <mergeCell ref="B85:AJ85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J5:AJ8"/>
    <mergeCell ref="O6:P7"/>
    <mergeCell ref="Q6:R7"/>
    <mergeCell ref="AI5:AI8"/>
    <mergeCell ref="B10:AJ10"/>
    <mergeCell ref="W6:W7"/>
    <mergeCell ref="S6:T7"/>
    <mergeCell ref="M6:N7"/>
    <mergeCell ref="G6:L6"/>
    <mergeCell ref="U6:V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</mergeCells>
  <phoneticPr fontId="44" type="noConversion"/>
  <pageMargins left="0.39370078740157483" right="0.39370078740157483" top="0.39370078740157483" bottom="0.39370078740157483" header="0" footer="0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6FB5F-EAAA-476A-8980-D18C6061B7C6}">
  <sheetPr>
    <pageSetUpPr fitToPage="1"/>
  </sheetPr>
  <dimension ref="A1:Q238"/>
  <sheetViews>
    <sheetView topLeftCell="B1" zoomScale="30" zoomScaleNormal="30" workbookViewId="0">
      <selection activeCell="N18" sqref="N18"/>
    </sheetView>
  </sheetViews>
  <sheetFormatPr defaultRowHeight="15" x14ac:dyDescent="0.25"/>
  <cols>
    <col min="1" max="1" width="9.140625" style="6" hidden="1" customWidth="1"/>
    <col min="2" max="2" width="15.85546875" style="6" customWidth="1"/>
    <col min="3" max="3" width="219.85546875" style="6" customWidth="1"/>
    <col min="4" max="4" width="21.42578125" style="6" customWidth="1"/>
    <col min="5" max="5" width="14.85546875" style="6" customWidth="1"/>
    <col min="6" max="6" width="74.28515625" style="6" customWidth="1"/>
    <col min="7" max="7" width="12.85546875" style="6" customWidth="1"/>
    <col min="8" max="8" width="13.85546875" style="6" customWidth="1"/>
    <col min="9" max="9" width="31.140625" style="6" customWidth="1"/>
    <col min="10" max="10" width="32.28515625" style="6" customWidth="1"/>
    <col min="11" max="11" width="32.5703125" style="6" customWidth="1"/>
    <col min="12" max="12" width="32.85546875" style="6" customWidth="1"/>
    <col min="13" max="13" width="42.28515625" style="6" customWidth="1"/>
    <col min="14" max="14" width="95.28515625" style="6" customWidth="1"/>
    <col min="15" max="15" width="45.5703125" style="6" customWidth="1"/>
    <col min="16" max="16" width="29.85546875" style="6" customWidth="1"/>
    <col min="17" max="17" width="25.5703125" style="6" customWidth="1"/>
    <col min="18" max="16384" width="9.140625" style="6"/>
  </cols>
  <sheetData>
    <row r="1" spans="1:17" ht="35.25" x14ac:dyDescent="0.5">
      <c r="B1" s="274"/>
      <c r="C1" s="274"/>
      <c r="D1" s="274"/>
      <c r="E1" s="274"/>
      <c r="F1" s="274"/>
      <c r="G1" s="275"/>
      <c r="H1" s="274"/>
      <c r="I1" s="274"/>
      <c r="J1" s="274"/>
      <c r="K1" s="274"/>
      <c r="L1" s="274"/>
      <c r="M1" s="276"/>
      <c r="N1" s="276"/>
      <c r="O1" s="422" t="s">
        <v>1049</v>
      </c>
      <c r="P1" s="422"/>
      <c r="Q1" s="422"/>
    </row>
    <row r="2" spans="1:17" ht="71.25" customHeight="1" x14ac:dyDescent="0.5">
      <c r="B2" s="274"/>
      <c r="C2" s="274"/>
      <c r="D2" s="274"/>
      <c r="E2" s="274"/>
      <c r="F2" s="274"/>
      <c r="G2" s="275"/>
      <c r="H2" s="274"/>
      <c r="I2" s="274"/>
      <c r="J2" s="274"/>
      <c r="K2" s="274"/>
      <c r="L2" s="274"/>
      <c r="M2" s="277"/>
      <c r="N2" s="423" t="s">
        <v>1050</v>
      </c>
      <c r="O2" s="423"/>
      <c r="P2" s="423"/>
      <c r="Q2" s="423"/>
    </row>
    <row r="3" spans="1:17" ht="201.75" customHeight="1" x14ac:dyDescent="0.25">
      <c r="B3" s="424" t="s">
        <v>1943</v>
      </c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</row>
    <row r="4" spans="1:17" ht="35.25" x14ac:dyDescent="0.25">
      <c r="B4" s="425" t="s">
        <v>6</v>
      </c>
      <c r="C4" s="425" t="s">
        <v>1051</v>
      </c>
      <c r="D4" s="425" t="s">
        <v>248</v>
      </c>
      <c r="E4" s="426"/>
      <c r="F4" s="428" t="s">
        <v>249</v>
      </c>
      <c r="G4" s="429" t="s">
        <v>250</v>
      </c>
      <c r="H4" s="429" t="s">
        <v>251</v>
      </c>
      <c r="I4" s="428" t="s">
        <v>252</v>
      </c>
      <c r="J4" s="425" t="s">
        <v>253</v>
      </c>
      <c r="K4" s="426"/>
      <c r="L4" s="440" t="s">
        <v>1052</v>
      </c>
      <c r="M4" s="440" t="s">
        <v>1053</v>
      </c>
      <c r="N4" s="440" t="s">
        <v>254</v>
      </c>
      <c r="O4" s="445" t="s">
        <v>8</v>
      </c>
      <c r="P4" s="435" t="s">
        <v>256</v>
      </c>
      <c r="Q4" s="435" t="s">
        <v>257</v>
      </c>
    </row>
    <row r="5" spans="1:17" x14ac:dyDescent="0.25">
      <c r="B5" s="426"/>
      <c r="C5" s="426"/>
      <c r="D5" s="428" t="s">
        <v>258</v>
      </c>
      <c r="E5" s="429" t="s">
        <v>259</v>
      </c>
      <c r="F5" s="426"/>
      <c r="G5" s="430"/>
      <c r="H5" s="430"/>
      <c r="I5" s="426"/>
      <c r="J5" s="428" t="s">
        <v>260</v>
      </c>
      <c r="K5" s="429" t="s">
        <v>1054</v>
      </c>
      <c r="L5" s="441"/>
      <c r="M5" s="443"/>
      <c r="N5" s="443"/>
      <c r="O5" s="437"/>
      <c r="P5" s="436"/>
      <c r="Q5" s="436"/>
    </row>
    <row r="6" spans="1:17" ht="301.5" customHeight="1" x14ac:dyDescent="0.25">
      <c r="B6" s="426"/>
      <c r="C6" s="426"/>
      <c r="D6" s="426"/>
      <c r="E6" s="437"/>
      <c r="F6" s="426"/>
      <c r="G6" s="430"/>
      <c r="H6" s="430"/>
      <c r="I6" s="426"/>
      <c r="J6" s="426"/>
      <c r="K6" s="439"/>
      <c r="L6" s="442"/>
      <c r="M6" s="443"/>
      <c r="N6" s="443"/>
      <c r="O6" s="446"/>
      <c r="P6" s="436"/>
      <c r="Q6" s="436"/>
    </row>
    <row r="7" spans="1:17" ht="35.25" x14ac:dyDescent="0.25">
      <c r="B7" s="427"/>
      <c r="C7" s="427"/>
      <c r="D7" s="427"/>
      <c r="E7" s="438"/>
      <c r="F7" s="426"/>
      <c r="G7" s="431"/>
      <c r="H7" s="431"/>
      <c r="I7" s="278" t="s">
        <v>38</v>
      </c>
      <c r="J7" s="278" t="s">
        <v>38</v>
      </c>
      <c r="K7" s="278" t="s">
        <v>38</v>
      </c>
      <c r="L7" s="278" t="s">
        <v>263</v>
      </c>
      <c r="M7" s="444"/>
      <c r="N7" s="444"/>
      <c r="O7" s="278" t="s">
        <v>36</v>
      </c>
      <c r="P7" s="278" t="s">
        <v>264</v>
      </c>
      <c r="Q7" s="278" t="s">
        <v>264</v>
      </c>
    </row>
    <row r="8" spans="1:17" ht="35.25" x14ac:dyDescent="0.25">
      <c r="B8" s="278">
        <v>1</v>
      </c>
      <c r="C8" s="278">
        <v>2</v>
      </c>
      <c r="D8" s="278">
        <v>3</v>
      </c>
      <c r="E8" s="278">
        <v>4</v>
      </c>
      <c r="F8" s="278">
        <v>5</v>
      </c>
      <c r="G8" s="279">
        <v>5.5697674418604599</v>
      </c>
      <c r="H8" s="279">
        <v>7</v>
      </c>
      <c r="I8" s="279">
        <v>8</v>
      </c>
      <c r="J8" s="279">
        <v>9</v>
      </c>
      <c r="K8" s="279">
        <v>10</v>
      </c>
      <c r="L8" s="278">
        <v>11</v>
      </c>
      <c r="M8" s="279">
        <v>12</v>
      </c>
      <c r="N8" s="279">
        <v>13</v>
      </c>
      <c r="O8" s="279">
        <v>14</v>
      </c>
      <c r="P8" s="279">
        <v>15</v>
      </c>
      <c r="Q8" s="279">
        <v>16</v>
      </c>
    </row>
    <row r="9" spans="1:17" ht="45.75" x14ac:dyDescent="0.25">
      <c r="B9" s="432" t="s">
        <v>1016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4"/>
    </row>
    <row r="10" spans="1:17" ht="35.25" x14ac:dyDescent="0.4">
      <c r="B10" s="215" t="s">
        <v>1942</v>
      </c>
      <c r="C10" s="280"/>
      <c r="D10" s="281" t="s">
        <v>890</v>
      </c>
      <c r="E10" s="281" t="s">
        <v>890</v>
      </c>
      <c r="F10" s="281" t="s">
        <v>890</v>
      </c>
      <c r="G10" s="281" t="s">
        <v>890</v>
      </c>
      <c r="H10" s="281" t="s">
        <v>890</v>
      </c>
      <c r="I10" s="282">
        <f>I11+I63</f>
        <v>43052.78</v>
      </c>
      <c r="J10" s="282">
        <f>J11+J63</f>
        <v>37285.21</v>
      </c>
      <c r="K10" s="282">
        <f>K11+K63</f>
        <v>33378.71</v>
      </c>
      <c r="L10" s="283">
        <f>L11+L63</f>
        <v>1783</v>
      </c>
      <c r="M10" s="281" t="s">
        <v>890</v>
      </c>
      <c r="N10" s="281" t="s">
        <v>890</v>
      </c>
      <c r="O10" s="282">
        <v>81940725.300000012</v>
      </c>
      <c r="P10" s="284">
        <f>O10/I10</f>
        <v>1903.2621191941616</v>
      </c>
      <c r="Q10" s="190">
        <f>MAX(Q11:Q83)</f>
        <v>11442.668502202645</v>
      </c>
    </row>
    <row r="11" spans="1:17" ht="35.25" x14ac:dyDescent="0.4">
      <c r="B11" s="215" t="s">
        <v>1662</v>
      </c>
      <c r="C11" s="280"/>
      <c r="D11" s="281" t="s">
        <v>890</v>
      </c>
      <c r="E11" s="281" t="s">
        <v>890</v>
      </c>
      <c r="F11" s="281" t="s">
        <v>890</v>
      </c>
      <c r="G11" s="281" t="s">
        <v>890</v>
      </c>
      <c r="H11" s="281" t="s">
        <v>890</v>
      </c>
      <c r="I11" s="282">
        <f>I12+I14+I23+I25+I27+I29+I32+I35+I39+I41+I43+I47+I49+I51+I53+I57+I61+I59</f>
        <v>33695.279999999999</v>
      </c>
      <c r="J11" s="282">
        <f t="shared" ref="J11:L11" si="0">J12+J14+J23+J25+J27+J29+J32+J35+J39+J41+J43+J47+J49+J51+J53+J57+J61+J59</f>
        <v>29309.11</v>
      </c>
      <c r="K11" s="282">
        <f t="shared" si="0"/>
        <v>26092.609999999997</v>
      </c>
      <c r="L11" s="283">
        <f t="shared" si="0"/>
        <v>1359</v>
      </c>
      <c r="M11" s="281" t="s">
        <v>890</v>
      </c>
      <c r="N11" s="281" t="s">
        <v>890</v>
      </c>
      <c r="O11" s="282">
        <v>51357504.920000009</v>
      </c>
      <c r="P11" s="284">
        <f t="shared" ref="P11:P74" si="1">O11/I11</f>
        <v>1524.1750452882425</v>
      </c>
      <c r="Q11" s="190">
        <f>MAX(Q12:Q62)</f>
        <v>11442.668502202645</v>
      </c>
    </row>
    <row r="12" spans="1:17" ht="35.25" x14ac:dyDescent="0.4">
      <c r="B12" s="215" t="s">
        <v>815</v>
      </c>
      <c r="C12" s="280"/>
      <c r="D12" s="281" t="s">
        <v>890</v>
      </c>
      <c r="E12" s="281" t="s">
        <v>890</v>
      </c>
      <c r="F12" s="281" t="s">
        <v>890</v>
      </c>
      <c r="G12" s="281" t="s">
        <v>890</v>
      </c>
      <c r="H12" s="281" t="s">
        <v>890</v>
      </c>
      <c r="I12" s="282">
        <f>I13</f>
        <v>792.7</v>
      </c>
      <c r="J12" s="282">
        <f>J13</f>
        <v>481</v>
      </c>
      <c r="K12" s="282">
        <f>K13</f>
        <v>481</v>
      </c>
      <c r="L12" s="283">
        <f>L13</f>
        <v>42</v>
      </c>
      <c r="M12" s="281" t="s">
        <v>890</v>
      </c>
      <c r="N12" s="281" t="s">
        <v>890</v>
      </c>
      <c r="O12" s="284">
        <v>2123521.14</v>
      </c>
      <c r="P12" s="284">
        <f t="shared" si="1"/>
        <v>2678.8458937807495</v>
      </c>
      <c r="Q12" s="190">
        <f>Q13</f>
        <v>4277.1687902106714</v>
      </c>
    </row>
    <row r="13" spans="1:17" ht="35.25" x14ac:dyDescent="0.5">
      <c r="A13" s="6">
        <v>1</v>
      </c>
      <c r="B13" s="285">
        <f>SUBTOTAL(103,$A13:A$13)</f>
        <v>1</v>
      </c>
      <c r="C13" s="286" t="s">
        <v>1017</v>
      </c>
      <c r="D13" s="281">
        <v>1969</v>
      </c>
      <c r="E13" s="281"/>
      <c r="F13" s="281" t="s">
        <v>267</v>
      </c>
      <c r="G13" s="281" t="s">
        <v>303</v>
      </c>
      <c r="H13" s="281" t="s">
        <v>303</v>
      </c>
      <c r="I13" s="282">
        <v>792.7</v>
      </c>
      <c r="J13" s="282">
        <v>481</v>
      </c>
      <c r="K13" s="282">
        <f>J13</f>
        <v>481</v>
      </c>
      <c r="L13" s="283">
        <v>42</v>
      </c>
      <c r="M13" s="281" t="s">
        <v>266</v>
      </c>
      <c r="N13" s="281" t="s">
        <v>268</v>
      </c>
      <c r="O13" s="284">
        <v>2123521.14</v>
      </c>
      <c r="P13" s="284">
        <f t="shared" si="1"/>
        <v>2678.8458937807495</v>
      </c>
      <c r="Q13" s="190">
        <v>4277.1687902106714</v>
      </c>
    </row>
    <row r="14" spans="1:17" ht="35.25" x14ac:dyDescent="0.4">
      <c r="B14" s="286" t="s">
        <v>1044</v>
      </c>
      <c r="C14" s="286"/>
      <c r="D14" s="281" t="s">
        <v>890</v>
      </c>
      <c r="E14" s="281" t="s">
        <v>890</v>
      </c>
      <c r="F14" s="281" t="s">
        <v>890</v>
      </c>
      <c r="G14" s="281" t="s">
        <v>890</v>
      </c>
      <c r="H14" s="281" t="s">
        <v>890</v>
      </c>
      <c r="I14" s="282">
        <f>SUM(I15:I22)</f>
        <v>12811.8</v>
      </c>
      <c r="J14" s="282">
        <f>SUM(J15:J22)</f>
        <v>11686.800000000001</v>
      </c>
      <c r="K14" s="282">
        <f>SUM(K15:K22)</f>
        <v>10750.4</v>
      </c>
      <c r="L14" s="283">
        <f>SUM(L15:L22)</f>
        <v>434</v>
      </c>
      <c r="M14" s="281" t="s">
        <v>890</v>
      </c>
      <c r="N14" s="281" t="s">
        <v>890</v>
      </c>
      <c r="O14" s="284">
        <v>14141903.43</v>
      </c>
      <c r="P14" s="284">
        <f t="shared" si="1"/>
        <v>1103.8186226759706</v>
      </c>
      <c r="Q14" s="190">
        <f>MAX(Q15:Q22)</f>
        <v>11442.668502202645</v>
      </c>
    </row>
    <row r="15" spans="1:17" ht="35.25" x14ac:dyDescent="0.5">
      <c r="A15" s="6">
        <v>1</v>
      </c>
      <c r="B15" s="285">
        <f>SUBTOTAL(103,$A$13:A15)</f>
        <v>2</v>
      </c>
      <c r="C15" s="286" t="s">
        <v>1018</v>
      </c>
      <c r="D15" s="281">
        <v>1958</v>
      </c>
      <c r="E15" s="281"/>
      <c r="F15" s="281" t="s">
        <v>267</v>
      </c>
      <c r="G15" s="281" t="s">
        <v>351</v>
      </c>
      <c r="H15" s="281" t="s">
        <v>308</v>
      </c>
      <c r="I15" s="282">
        <v>5229.2</v>
      </c>
      <c r="J15" s="282">
        <v>5229.2</v>
      </c>
      <c r="K15" s="282">
        <f>J15-227.6</f>
        <v>5001.5999999999995</v>
      </c>
      <c r="L15" s="283">
        <v>121</v>
      </c>
      <c r="M15" s="281" t="s">
        <v>341</v>
      </c>
      <c r="N15" s="281" t="s">
        <v>1055</v>
      </c>
      <c r="O15" s="284">
        <v>6213014.2000000002</v>
      </c>
      <c r="P15" s="284">
        <f t="shared" si="1"/>
        <v>1188.1385680410006</v>
      </c>
      <c r="Q15" s="190">
        <v>1793.3136426221984</v>
      </c>
    </row>
    <row r="16" spans="1:17" ht="35.25" x14ac:dyDescent="0.5">
      <c r="A16" s="6">
        <v>1</v>
      </c>
      <c r="B16" s="285">
        <f>SUBTOTAL(103,$A$13:A16)</f>
        <v>3</v>
      </c>
      <c r="C16" s="286" t="s">
        <v>1019</v>
      </c>
      <c r="D16" s="281">
        <v>1979</v>
      </c>
      <c r="E16" s="281"/>
      <c r="F16" s="281" t="s">
        <v>267</v>
      </c>
      <c r="G16" s="281" t="s">
        <v>351</v>
      </c>
      <c r="H16" s="281" t="s">
        <v>304</v>
      </c>
      <c r="I16" s="282">
        <v>802.1</v>
      </c>
      <c r="J16" s="282">
        <v>554.1</v>
      </c>
      <c r="K16" s="282">
        <f>J16</f>
        <v>554.1</v>
      </c>
      <c r="L16" s="283">
        <v>25</v>
      </c>
      <c r="M16" s="281" t="s">
        <v>269</v>
      </c>
      <c r="N16" s="281" t="s">
        <v>1056</v>
      </c>
      <c r="O16" s="284">
        <v>801933.34000000008</v>
      </c>
      <c r="P16" s="284">
        <f t="shared" si="1"/>
        <v>999.79222042139395</v>
      </c>
      <c r="Q16" s="190">
        <v>1322.4723849894026</v>
      </c>
    </row>
    <row r="17" spans="1:17" ht="35.25" x14ac:dyDescent="0.5">
      <c r="A17" s="6">
        <v>1</v>
      </c>
      <c r="B17" s="285">
        <f>SUBTOTAL(103,$A$13:A17)</f>
        <v>4</v>
      </c>
      <c r="C17" s="286" t="s">
        <v>1020</v>
      </c>
      <c r="D17" s="281">
        <v>1961</v>
      </c>
      <c r="E17" s="281"/>
      <c r="F17" s="281" t="s">
        <v>267</v>
      </c>
      <c r="G17" s="281" t="s">
        <v>303</v>
      </c>
      <c r="H17" s="281" t="s">
        <v>304</v>
      </c>
      <c r="I17" s="282">
        <v>301.39999999999998</v>
      </c>
      <c r="J17" s="282">
        <v>276.5</v>
      </c>
      <c r="K17" s="282">
        <f>J17-38</f>
        <v>238.5</v>
      </c>
      <c r="L17" s="283">
        <v>16</v>
      </c>
      <c r="M17" s="281" t="s">
        <v>269</v>
      </c>
      <c r="N17" s="281" t="s">
        <v>997</v>
      </c>
      <c r="O17" s="284">
        <v>61989.62</v>
      </c>
      <c r="P17" s="284">
        <f t="shared" si="1"/>
        <v>205.67226277372265</v>
      </c>
      <c r="Q17" s="190">
        <v>205.67226277372265</v>
      </c>
    </row>
    <row r="18" spans="1:17" ht="35.25" x14ac:dyDescent="0.5">
      <c r="A18" s="6">
        <v>1</v>
      </c>
      <c r="B18" s="285">
        <f>SUBTOTAL(103,$A$13:A18)</f>
        <v>5</v>
      </c>
      <c r="C18" s="286" t="s">
        <v>1033</v>
      </c>
      <c r="D18" s="281">
        <v>1957</v>
      </c>
      <c r="E18" s="281"/>
      <c r="F18" s="281" t="s">
        <v>267</v>
      </c>
      <c r="G18" s="281" t="s">
        <v>303</v>
      </c>
      <c r="H18" s="281" t="s">
        <v>304</v>
      </c>
      <c r="I18" s="282">
        <v>272.39999999999998</v>
      </c>
      <c r="J18" s="282">
        <v>194.8</v>
      </c>
      <c r="K18" s="282">
        <f>J18-37.2</f>
        <v>157.60000000000002</v>
      </c>
      <c r="L18" s="283">
        <v>14</v>
      </c>
      <c r="M18" s="281" t="s">
        <v>269</v>
      </c>
      <c r="N18" s="281" t="s">
        <v>1057</v>
      </c>
      <c r="O18" s="284">
        <v>995484.92999999993</v>
      </c>
      <c r="P18" s="284">
        <f t="shared" si="1"/>
        <v>3654.4968061674008</v>
      </c>
      <c r="Q18" s="190">
        <v>11442.668502202645</v>
      </c>
    </row>
    <row r="19" spans="1:17" ht="35.25" x14ac:dyDescent="0.5">
      <c r="A19" s="6">
        <v>1</v>
      </c>
      <c r="B19" s="285">
        <f>SUBTOTAL(103,$A$13:A19)</f>
        <v>6</v>
      </c>
      <c r="C19" s="286" t="s">
        <v>1076</v>
      </c>
      <c r="D19" s="281">
        <v>1960</v>
      </c>
      <c r="E19" s="281"/>
      <c r="F19" s="281" t="s">
        <v>267</v>
      </c>
      <c r="G19" s="281" t="s">
        <v>308</v>
      </c>
      <c r="H19" s="281" t="s">
        <v>308</v>
      </c>
      <c r="I19" s="282">
        <v>2738.8</v>
      </c>
      <c r="J19" s="282">
        <v>2498.1</v>
      </c>
      <c r="K19" s="282">
        <f>2498.1-114.3</f>
        <v>2383.7999999999997</v>
      </c>
      <c r="L19" s="283">
        <v>128</v>
      </c>
      <c r="M19" s="281" t="s">
        <v>269</v>
      </c>
      <c r="N19" s="281" t="s">
        <v>1075</v>
      </c>
      <c r="O19" s="284">
        <v>4973435.79</v>
      </c>
      <c r="P19" s="284">
        <f t="shared" si="1"/>
        <v>1815.9178435811302</v>
      </c>
      <c r="Q19" s="190">
        <v>2321.463012998393</v>
      </c>
    </row>
    <row r="20" spans="1:17" ht="35.25" x14ac:dyDescent="0.5">
      <c r="A20" s="6">
        <v>1</v>
      </c>
      <c r="B20" s="285">
        <f>SUBTOTAL(103,$A$13:A20)</f>
        <v>7</v>
      </c>
      <c r="C20" s="287" t="s">
        <v>1084</v>
      </c>
      <c r="D20" s="281">
        <v>1956</v>
      </c>
      <c r="E20" s="281"/>
      <c r="F20" s="281" t="s">
        <v>267</v>
      </c>
      <c r="G20" s="281" t="s">
        <v>303</v>
      </c>
      <c r="H20" s="281" t="s">
        <v>304</v>
      </c>
      <c r="I20" s="282">
        <v>512.5</v>
      </c>
      <c r="J20" s="282">
        <v>512.20000000000005</v>
      </c>
      <c r="K20" s="282">
        <v>324.10000000000002</v>
      </c>
      <c r="L20" s="283">
        <v>25</v>
      </c>
      <c r="M20" s="281" t="s">
        <v>269</v>
      </c>
      <c r="N20" s="281" t="s">
        <v>1057</v>
      </c>
      <c r="O20" s="284">
        <v>50283.37</v>
      </c>
      <c r="P20" s="284">
        <f t="shared" si="1"/>
        <v>98.113892682926831</v>
      </c>
      <c r="Q20" s="190">
        <v>98.113892682926831</v>
      </c>
    </row>
    <row r="21" spans="1:17" ht="35.25" x14ac:dyDescent="0.5">
      <c r="A21" s="6">
        <v>1</v>
      </c>
      <c r="B21" s="285">
        <f>SUBTOTAL(103,$A$13:A21)</f>
        <v>8</v>
      </c>
      <c r="C21" s="287" t="s">
        <v>1399</v>
      </c>
      <c r="D21" s="281">
        <v>1957</v>
      </c>
      <c r="E21" s="281"/>
      <c r="F21" s="281" t="s">
        <v>267</v>
      </c>
      <c r="G21" s="281" t="s">
        <v>303</v>
      </c>
      <c r="H21" s="281" t="s">
        <v>304</v>
      </c>
      <c r="I21" s="282">
        <v>436.2</v>
      </c>
      <c r="J21" s="282">
        <v>387.1</v>
      </c>
      <c r="K21" s="282">
        <v>340.8</v>
      </c>
      <c r="L21" s="283">
        <v>20</v>
      </c>
      <c r="M21" s="281" t="s">
        <v>269</v>
      </c>
      <c r="N21" s="281" t="s">
        <v>1400</v>
      </c>
      <c r="O21" s="284">
        <v>43517.47</v>
      </c>
      <c r="P21" s="284">
        <f t="shared" si="1"/>
        <v>99.764947271893632</v>
      </c>
      <c r="Q21" s="190">
        <v>99.764947271893632</v>
      </c>
    </row>
    <row r="22" spans="1:17" ht="35.25" x14ac:dyDescent="0.5">
      <c r="A22" s="6">
        <v>1</v>
      </c>
      <c r="B22" s="285">
        <f>SUBTOTAL(103,$A$13:A22)</f>
        <v>9</v>
      </c>
      <c r="C22" s="287" t="s">
        <v>1718</v>
      </c>
      <c r="D22" s="281">
        <v>1965</v>
      </c>
      <c r="E22" s="281"/>
      <c r="F22" s="281" t="s">
        <v>267</v>
      </c>
      <c r="G22" s="281" t="s">
        <v>351</v>
      </c>
      <c r="H22" s="281" t="s">
        <v>303</v>
      </c>
      <c r="I22" s="282">
        <v>2519.1999999999998</v>
      </c>
      <c r="J22" s="282">
        <v>2034.8</v>
      </c>
      <c r="K22" s="282">
        <v>1749.9</v>
      </c>
      <c r="L22" s="283">
        <v>85</v>
      </c>
      <c r="M22" s="281" t="s">
        <v>265</v>
      </c>
      <c r="N22" s="281" t="s">
        <v>1380</v>
      </c>
      <c r="O22" s="284">
        <v>1002244.71</v>
      </c>
      <c r="P22" s="284">
        <f t="shared" si="1"/>
        <v>397.8424539536361</v>
      </c>
      <c r="Q22" s="190">
        <v>641.42999999999995</v>
      </c>
    </row>
    <row r="23" spans="1:17" ht="35.25" x14ac:dyDescent="0.4">
      <c r="B23" s="286" t="s">
        <v>819</v>
      </c>
      <c r="C23" s="286"/>
      <c r="D23" s="281" t="s">
        <v>890</v>
      </c>
      <c r="E23" s="281" t="s">
        <v>890</v>
      </c>
      <c r="F23" s="281" t="s">
        <v>890</v>
      </c>
      <c r="G23" s="281" t="s">
        <v>890</v>
      </c>
      <c r="H23" s="281" t="s">
        <v>890</v>
      </c>
      <c r="I23" s="282">
        <f>I24</f>
        <v>882.3</v>
      </c>
      <c r="J23" s="282">
        <f>J24</f>
        <v>779.5</v>
      </c>
      <c r="K23" s="282">
        <f>K24</f>
        <v>779.5</v>
      </c>
      <c r="L23" s="283">
        <f>L24</f>
        <v>29</v>
      </c>
      <c r="M23" s="281" t="s">
        <v>890</v>
      </c>
      <c r="N23" s="281" t="s">
        <v>890</v>
      </c>
      <c r="O23" s="284">
        <v>2046844.64</v>
      </c>
      <c r="P23" s="284">
        <f t="shared" si="1"/>
        <v>2319.8964524538137</v>
      </c>
      <c r="Q23" s="190">
        <f>MAX(Q24)</f>
        <v>2852.9733197325172</v>
      </c>
    </row>
    <row r="24" spans="1:17" ht="35.25" x14ac:dyDescent="0.5">
      <c r="A24" s="6">
        <v>1</v>
      </c>
      <c r="B24" s="285">
        <f>SUBTOTAL(103,$A$13:A24)</f>
        <v>10</v>
      </c>
      <c r="C24" s="286" t="s">
        <v>676</v>
      </c>
      <c r="D24" s="281">
        <v>1982</v>
      </c>
      <c r="E24" s="281"/>
      <c r="F24" s="281" t="s">
        <v>267</v>
      </c>
      <c r="G24" s="281" t="s">
        <v>308</v>
      </c>
      <c r="H24" s="281" t="s">
        <v>304</v>
      </c>
      <c r="I24" s="282">
        <v>882.3</v>
      </c>
      <c r="J24" s="282">
        <v>779.5</v>
      </c>
      <c r="K24" s="282">
        <f>J24</f>
        <v>779.5</v>
      </c>
      <c r="L24" s="283">
        <v>29</v>
      </c>
      <c r="M24" s="281" t="s">
        <v>266</v>
      </c>
      <c r="N24" s="281" t="s">
        <v>268</v>
      </c>
      <c r="O24" s="284">
        <v>2046844.64</v>
      </c>
      <c r="P24" s="284">
        <f t="shared" si="1"/>
        <v>2319.8964524538137</v>
      </c>
      <c r="Q24" s="190">
        <v>2852.9733197325172</v>
      </c>
    </row>
    <row r="25" spans="1:17" ht="35.25" x14ac:dyDescent="0.5">
      <c r="B25" s="288" t="s">
        <v>823</v>
      </c>
      <c r="C25" s="286"/>
      <c r="D25" s="281" t="s">
        <v>890</v>
      </c>
      <c r="E25" s="281" t="s">
        <v>890</v>
      </c>
      <c r="F25" s="281" t="s">
        <v>890</v>
      </c>
      <c r="G25" s="281" t="s">
        <v>890</v>
      </c>
      <c r="H25" s="281" t="s">
        <v>890</v>
      </c>
      <c r="I25" s="282">
        <f>I26</f>
        <v>1813.2</v>
      </c>
      <c r="J25" s="282">
        <f>J26</f>
        <v>1042.3</v>
      </c>
      <c r="K25" s="282">
        <f>K26</f>
        <v>567</v>
      </c>
      <c r="L25" s="283">
        <f>L26</f>
        <v>156</v>
      </c>
      <c r="M25" s="281" t="s">
        <v>890</v>
      </c>
      <c r="N25" s="281" t="s">
        <v>890</v>
      </c>
      <c r="O25" s="284">
        <v>5153989.53</v>
      </c>
      <c r="P25" s="284">
        <f t="shared" si="1"/>
        <v>2842.4826439444078</v>
      </c>
      <c r="Q25" s="190">
        <f>MAX(Q26)</f>
        <v>3878.3480145598937</v>
      </c>
    </row>
    <row r="26" spans="1:17" ht="35.25" x14ac:dyDescent="0.5">
      <c r="A26" s="6">
        <v>1</v>
      </c>
      <c r="B26" s="285">
        <f>SUBTOTAL(103,$A$13:A26)</f>
        <v>11</v>
      </c>
      <c r="C26" s="286" t="s">
        <v>1067</v>
      </c>
      <c r="D26" s="281">
        <v>2007</v>
      </c>
      <c r="E26" s="281"/>
      <c r="F26" s="281" t="s">
        <v>267</v>
      </c>
      <c r="G26" s="281" t="s">
        <v>312</v>
      </c>
      <c r="H26" s="281" t="s">
        <v>312</v>
      </c>
      <c r="I26" s="282">
        <v>1813.2</v>
      </c>
      <c r="J26" s="282">
        <v>1042.3</v>
      </c>
      <c r="K26" s="282">
        <f>J26-475.3</f>
        <v>567</v>
      </c>
      <c r="L26" s="283">
        <v>156</v>
      </c>
      <c r="M26" s="281" t="s">
        <v>269</v>
      </c>
      <c r="N26" s="281" t="s">
        <v>1069</v>
      </c>
      <c r="O26" s="284">
        <v>5153989.53</v>
      </c>
      <c r="P26" s="284">
        <f t="shared" si="1"/>
        <v>2842.4826439444078</v>
      </c>
      <c r="Q26" s="190">
        <v>3878.3480145598937</v>
      </c>
    </row>
    <row r="27" spans="1:17" ht="35.25" x14ac:dyDescent="0.4">
      <c r="B27" s="286" t="s">
        <v>824</v>
      </c>
      <c r="C27" s="286"/>
      <c r="D27" s="281" t="s">
        <v>890</v>
      </c>
      <c r="E27" s="281" t="s">
        <v>890</v>
      </c>
      <c r="F27" s="281" t="s">
        <v>890</v>
      </c>
      <c r="G27" s="281" t="s">
        <v>890</v>
      </c>
      <c r="H27" s="281" t="s">
        <v>890</v>
      </c>
      <c r="I27" s="282">
        <f>I28</f>
        <v>366.5</v>
      </c>
      <c r="J27" s="282">
        <f>J28</f>
        <v>336.9</v>
      </c>
      <c r="K27" s="282">
        <f>K28</f>
        <v>336.9</v>
      </c>
      <c r="L27" s="283">
        <f>L28</f>
        <v>13</v>
      </c>
      <c r="M27" s="281" t="s">
        <v>890</v>
      </c>
      <c r="N27" s="281" t="s">
        <v>890</v>
      </c>
      <c r="O27" s="284">
        <v>48440.03</v>
      </c>
      <c r="P27" s="284">
        <f t="shared" si="1"/>
        <v>132.16924965893588</v>
      </c>
      <c r="Q27" s="190">
        <f>MAX(Q28)</f>
        <v>132.16924965893588</v>
      </c>
    </row>
    <row r="28" spans="1:17" ht="35.25" x14ac:dyDescent="0.5">
      <c r="A28" s="6">
        <v>1</v>
      </c>
      <c r="B28" s="285">
        <f>SUBTOTAL(103,$A$13:A28)</f>
        <v>12</v>
      </c>
      <c r="C28" s="286" t="s">
        <v>1021</v>
      </c>
      <c r="D28" s="281">
        <v>1971</v>
      </c>
      <c r="E28" s="281"/>
      <c r="F28" s="281" t="s">
        <v>267</v>
      </c>
      <c r="G28" s="281" t="s">
        <v>303</v>
      </c>
      <c r="H28" s="281" t="s">
        <v>304</v>
      </c>
      <c r="I28" s="282">
        <v>366.5</v>
      </c>
      <c r="J28" s="282">
        <v>336.9</v>
      </c>
      <c r="K28" s="282">
        <f>J28</f>
        <v>336.9</v>
      </c>
      <c r="L28" s="283">
        <v>13</v>
      </c>
      <c r="M28" s="281" t="s">
        <v>269</v>
      </c>
      <c r="N28" s="281" t="s">
        <v>333</v>
      </c>
      <c r="O28" s="284">
        <v>48440.03</v>
      </c>
      <c r="P28" s="284">
        <f t="shared" si="1"/>
        <v>132.16924965893588</v>
      </c>
      <c r="Q28" s="190">
        <v>132.16924965893588</v>
      </c>
    </row>
    <row r="29" spans="1:17" ht="35.25" x14ac:dyDescent="0.4">
      <c r="B29" s="286" t="s">
        <v>1045</v>
      </c>
      <c r="C29" s="286"/>
      <c r="D29" s="281" t="s">
        <v>890</v>
      </c>
      <c r="E29" s="281" t="s">
        <v>890</v>
      </c>
      <c r="F29" s="281" t="s">
        <v>890</v>
      </c>
      <c r="G29" s="281" t="s">
        <v>890</v>
      </c>
      <c r="H29" s="281" t="s">
        <v>890</v>
      </c>
      <c r="I29" s="282">
        <f>I30+I31</f>
        <v>872.2</v>
      </c>
      <c r="J29" s="282">
        <f>J30+J31</f>
        <v>820.40000000000009</v>
      </c>
      <c r="K29" s="282">
        <f>K30+K31</f>
        <v>653.30000000000007</v>
      </c>
      <c r="L29" s="283">
        <f>L30+L31</f>
        <v>38</v>
      </c>
      <c r="M29" s="281" t="s">
        <v>890</v>
      </c>
      <c r="N29" s="281" t="s">
        <v>890</v>
      </c>
      <c r="O29" s="284">
        <v>31767</v>
      </c>
      <c r="P29" s="284">
        <f t="shared" si="1"/>
        <v>36.421692272414582</v>
      </c>
      <c r="Q29" s="190">
        <f>MAX(Q30:Q31)</f>
        <v>46.402933134476761</v>
      </c>
    </row>
    <row r="30" spans="1:17" ht="35.25" x14ac:dyDescent="0.5">
      <c r="A30" s="6">
        <v>1</v>
      </c>
      <c r="B30" s="285">
        <f>SUBTOTAL(103,$A$13:A30)</f>
        <v>13</v>
      </c>
      <c r="C30" s="286" t="s">
        <v>1022</v>
      </c>
      <c r="D30" s="281">
        <v>1938</v>
      </c>
      <c r="E30" s="281"/>
      <c r="F30" s="281" t="s">
        <v>330</v>
      </c>
      <c r="G30" s="281" t="s">
        <v>303</v>
      </c>
      <c r="H30" s="281" t="s">
        <v>303</v>
      </c>
      <c r="I30" s="282">
        <v>469.9</v>
      </c>
      <c r="J30" s="282">
        <v>418.1</v>
      </c>
      <c r="K30" s="282">
        <f>J30-167.1</f>
        <v>251.00000000000003</v>
      </c>
      <c r="L30" s="283">
        <v>19</v>
      </c>
      <c r="M30" s="281" t="s">
        <v>266</v>
      </c>
      <c r="N30" s="281" t="s">
        <v>268</v>
      </c>
      <c r="O30" s="284">
        <v>13099.1</v>
      </c>
      <c r="P30" s="284">
        <f t="shared" si="1"/>
        <v>27.876356671632266</v>
      </c>
      <c r="Q30" s="190">
        <v>27.876356671632266</v>
      </c>
    </row>
    <row r="31" spans="1:17" ht="35.25" x14ac:dyDescent="0.5">
      <c r="A31" s="6">
        <v>1</v>
      </c>
      <c r="B31" s="285">
        <f>SUBTOTAL(103,$A$13:A31)</f>
        <v>14</v>
      </c>
      <c r="C31" s="286" t="s">
        <v>1023</v>
      </c>
      <c r="D31" s="281">
        <v>1950</v>
      </c>
      <c r="E31" s="281"/>
      <c r="F31" s="281" t="s">
        <v>330</v>
      </c>
      <c r="G31" s="281" t="s">
        <v>303</v>
      </c>
      <c r="H31" s="281" t="s">
        <v>303</v>
      </c>
      <c r="I31" s="282">
        <v>402.3</v>
      </c>
      <c r="J31" s="282">
        <v>402.3</v>
      </c>
      <c r="K31" s="282">
        <f>J31</f>
        <v>402.3</v>
      </c>
      <c r="L31" s="283">
        <v>19</v>
      </c>
      <c r="M31" s="281" t="s">
        <v>266</v>
      </c>
      <c r="N31" s="281" t="s">
        <v>268</v>
      </c>
      <c r="O31" s="284">
        <v>18667.900000000001</v>
      </c>
      <c r="P31" s="284">
        <f t="shared" si="1"/>
        <v>46.402933134476761</v>
      </c>
      <c r="Q31" s="190">
        <v>46.402933134476761</v>
      </c>
    </row>
    <row r="32" spans="1:17" ht="35.25" x14ac:dyDescent="0.4">
      <c r="B32" s="286" t="s">
        <v>831</v>
      </c>
      <c r="C32" s="286"/>
      <c r="D32" s="281" t="s">
        <v>890</v>
      </c>
      <c r="E32" s="281" t="s">
        <v>890</v>
      </c>
      <c r="F32" s="281" t="s">
        <v>890</v>
      </c>
      <c r="G32" s="281" t="s">
        <v>890</v>
      </c>
      <c r="H32" s="281" t="s">
        <v>890</v>
      </c>
      <c r="I32" s="282">
        <f>I33+I34</f>
        <v>881.98</v>
      </c>
      <c r="J32" s="282">
        <f>J33+J34</f>
        <v>832.51</v>
      </c>
      <c r="K32" s="282">
        <f>K33+K34</f>
        <v>544.31000000000006</v>
      </c>
      <c r="L32" s="283">
        <f>L33+L34</f>
        <v>48</v>
      </c>
      <c r="M32" s="281" t="s">
        <v>890</v>
      </c>
      <c r="N32" s="281" t="s">
        <v>890</v>
      </c>
      <c r="O32" s="284">
        <v>3557815.66</v>
      </c>
      <c r="P32" s="284">
        <f t="shared" si="1"/>
        <v>4033.8960747409237</v>
      </c>
      <c r="Q32" s="190">
        <f>MAX(Q33:Q34)</f>
        <v>6940.3071047619051</v>
      </c>
    </row>
    <row r="33" spans="1:17" ht="35.25" x14ac:dyDescent="0.5">
      <c r="A33" s="6">
        <v>1</v>
      </c>
      <c r="B33" s="285">
        <f>SUBTOTAL(103,$A$13:A33)</f>
        <v>15</v>
      </c>
      <c r="C33" s="286" t="s">
        <v>1043</v>
      </c>
      <c r="D33" s="281">
        <v>1962</v>
      </c>
      <c r="E33" s="281"/>
      <c r="F33" s="281" t="s">
        <v>267</v>
      </c>
      <c r="G33" s="281" t="s">
        <v>303</v>
      </c>
      <c r="H33" s="281" t="s">
        <v>303</v>
      </c>
      <c r="I33" s="282">
        <v>671.98</v>
      </c>
      <c r="J33" s="282">
        <v>624.21</v>
      </c>
      <c r="K33" s="282">
        <f>J33-79.9</f>
        <v>544.31000000000006</v>
      </c>
      <c r="L33" s="283">
        <v>38</v>
      </c>
      <c r="M33" s="281" t="s">
        <v>269</v>
      </c>
      <c r="N33" s="281" t="s">
        <v>285</v>
      </c>
      <c r="O33" s="284">
        <v>2576429.98</v>
      </c>
      <c r="P33" s="284">
        <f t="shared" si="1"/>
        <v>3834.0872942647102</v>
      </c>
      <c r="Q33" s="190">
        <v>5854.5863835233185</v>
      </c>
    </row>
    <row r="34" spans="1:17" ht="35.25" x14ac:dyDescent="0.5">
      <c r="A34" s="6">
        <v>1</v>
      </c>
      <c r="B34" s="285">
        <f>SUBTOTAL(103,$A$13:A34)</f>
        <v>16</v>
      </c>
      <c r="C34" s="286" t="s">
        <v>1024</v>
      </c>
      <c r="D34" s="281">
        <v>1964</v>
      </c>
      <c r="E34" s="281"/>
      <c r="F34" s="281" t="s">
        <v>267</v>
      </c>
      <c r="G34" s="281" t="s">
        <v>303</v>
      </c>
      <c r="H34" s="281" t="s">
        <v>304</v>
      </c>
      <c r="I34" s="282">
        <v>210</v>
      </c>
      <c r="J34" s="282">
        <v>208.3</v>
      </c>
      <c r="K34" s="282">
        <v>0</v>
      </c>
      <c r="L34" s="283">
        <v>10</v>
      </c>
      <c r="M34" s="281" t="s">
        <v>266</v>
      </c>
      <c r="N34" s="281" t="s">
        <v>268</v>
      </c>
      <c r="O34" s="284">
        <v>981385.68</v>
      </c>
      <c r="P34" s="284">
        <f t="shared" si="1"/>
        <v>4673.2651428571435</v>
      </c>
      <c r="Q34" s="190">
        <v>6940.3071047619051</v>
      </c>
    </row>
    <row r="35" spans="1:17" ht="35.25" x14ac:dyDescent="0.4">
      <c r="B35" s="286" t="s">
        <v>760</v>
      </c>
      <c r="C35" s="286"/>
      <c r="D35" s="281" t="s">
        <v>890</v>
      </c>
      <c r="E35" s="281" t="s">
        <v>890</v>
      </c>
      <c r="F35" s="281" t="s">
        <v>890</v>
      </c>
      <c r="G35" s="281" t="s">
        <v>890</v>
      </c>
      <c r="H35" s="281" t="s">
        <v>890</v>
      </c>
      <c r="I35" s="282">
        <f>I36+I37+I38</f>
        <v>2093.1</v>
      </c>
      <c r="J35" s="282">
        <f>J36+J37+J38</f>
        <v>1649</v>
      </c>
      <c r="K35" s="282">
        <f>K36+K37+K38</f>
        <v>1480.6</v>
      </c>
      <c r="L35" s="283">
        <f>L36+L37+L38</f>
        <v>110</v>
      </c>
      <c r="M35" s="281" t="s">
        <v>890</v>
      </c>
      <c r="N35" s="281" t="s">
        <v>890</v>
      </c>
      <c r="O35" s="284">
        <v>223917.22</v>
      </c>
      <c r="P35" s="284">
        <f t="shared" si="1"/>
        <v>106.97874922363958</v>
      </c>
      <c r="Q35" s="190">
        <f>MAX(Q36:Q38)</f>
        <v>154.58582000000001</v>
      </c>
    </row>
    <row r="36" spans="1:17" ht="35.25" x14ac:dyDescent="0.5">
      <c r="A36" s="6">
        <v>1</v>
      </c>
      <c r="B36" s="285">
        <f>SUBTOTAL(103,$A$13:A36)</f>
        <v>17</v>
      </c>
      <c r="C36" s="286" t="s">
        <v>1025</v>
      </c>
      <c r="D36" s="281">
        <v>1960</v>
      </c>
      <c r="E36" s="281"/>
      <c r="F36" s="281" t="s">
        <v>267</v>
      </c>
      <c r="G36" s="281" t="s">
        <v>303</v>
      </c>
      <c r="H36" s="281" t="s">
        <v>304</v>
      </c>
      <c r="I36" s="282">
        <v>306.60000000000002</v>
      </c>
      <c r="J36" s="282">
        <v>285.60000000000002</v>
      </c>
      <c r="K36" s="282">
        <f>J36-33.2</f>
        <v>252.40000000000003</v>
      </c>
      <c r="L36" s="283">
        <v>21</v>
      </c>
      <c r="M36" s="281" t="s">
        <v>266</v>
      </c>
      <c r="N36" s="281" t="s">
        <v>268</v>
      </c>
      <c r="O36" s="284">
        <v>47271.85</v>
      </c>
      <c r="P36" s="284">
        <f t="shared" si="1"/>
        <v>154.18085453359424</v>
      </c>
      <c r="Q36" s="190">
        <v>154.18085453359424</v>
      </c>
    </row>
    <row r="37" spans="1:17" ht="35.25" x14ac:dyDescent="0.5">
      <c r="A37" s="6">
        <v>1</v>
      </c>
      <c r="B37" s="285">
        <f>SUBTOTAL(103,$A$13:A37)</f>
        <v>18</v>
      </c>
      <c r="C37" s="286" t="s">
        <v>784</v>
      </c>
      <c r="D37" s="281">
        <v>1960</v>
      </c>
      <c r="E37" s="281"/>
      <c r="F37" s="281" t="s">
        <v>267</v>
      </c>
      <c r="G37" s="281" t="s">
        <v>312</v>
      </c>
      <c r="H37" s="281" t="s">
        <v>303</v>
      </c>
      <c r="I37" s="282">
        <v>1286.5</v>
      </c>
      <c r="J37" s="282">
        <v>881.8</v>
      </c>
      <c r="K37" s="282">
        <f>J37-65.9</f>
        <v>815.9</v>
      </c>
      <c r="L37" s="283">
        <v>39</v>
      </c>
      <c r="M37" s="281" t="s">
        <v>266</v>
      </c>
      <c r="N37" s="281" t="s">
        <v>268</v>
      </c>
      <c r="O37" s="284">
        <v>99352.46</v>
      </c>
      <c r="P37" s="284">
        <f t="shared" si="1"/>
        <v>77.226941313641674</v>
      </c>
      <c r="Q37" s="190">
        <v>77.226941313641674</v>
      </c>
    </row>
    <row r="38" spans="1:17" ht="35.25" x14ac:dyDescent="0.5">
      <c r="A38" s="6">
        <v>1</v>
      </c>
      <c r="B38" s="285">
        <f>SUBTOTAL(103,$A$13:A38)</f>
        <v>19</v>
      </c>
      <c r="C38" s="286" t="s">
        <v>776</v>
      </c>
      <c r="D38" s="281">
        <v>1965</v>
      </c>
      <c r="E38" s="281"/>
      <c r="F38" s="281" t="s">
        <v>267</v>
      </c>
      <c r="G38" s="281" t="s">
        <v>303</v>
      </c>
      <c r="H38" s="281" t="s">
        <v>312</v>
      </c>
      <c r="I38" s="282">
        <v>500</v>
      </c>
      <c r="J38" s="282">
        <v>481.6</v>
      </c>
      <c r="K38" s="282">
        <f>J38-69.3</f>
        <v>412.3</v>
      </c>
      <c r="L38" s="283">
        <v>50</v>
      </c>
      <c r="M38" s="281" t="s">
        <v>266</v>
      </c>
      <c r="N38" s="281" t="s">
        <v>268</v>
      </c>
      <c r="O38" s="284">
        <v>77292.91</v>
      </c>
      <c r="P38" s="284">
        <f t="shared" si="1"/>
        <v>154.58582000000001</v>
      </c>
      <c r="Q38" s="190">
        <v>154.58582000000001</v>
      </c>
    </row>
    <row r="39" spans="1:17" ht="35.25" x14ac:dyDescent="0.4">
      <c r="B39" s="286" t="s">
        <v>838</v>
      </c>
      <c r="C39" s="286"/>
      <c r="D39" s="281" t="s">
        <v>890</v>
      </c>
      <c r="E39" s="281" t="s">
        <v>890</v>
      </c>
      <c r="F39" s="281" t="s">
        <v>890</v>
      </c>
      <c r="G39" s="281" t="s">
        <v>890</v>
      </c>
      <c r="H39" s="281" t="s">
        <v>890</v>
      </c>
      <c r="I39" s="282">
        <f>I40</f>
        <v>755.8</v>
      </c>
      <c r="J39" s="282">
        <f>J40</f>
        <v>690.5</v>
      </c>
      <c r="K39" s="282">
        <f>K40</f>
        <v>391.9</v>
      </c>
      <c r="L39" s="283">
        <f>L40</f>
        <v>20</v>
      </c>
      <c r="M39" s="281" t="s">
        <v>890</v>
      </c>
      <c r="N39" s="281" t="s">
        <v>890</v>
      </c>
      <c r="O39" s="284">
        <v>3265341.36</v>
      </c>
      <c r="P39" s="284">
        <f t="shared" si="1"/>
        <v>4320.3775602011119</v>
      </c>
      <c r="Q39" s="190">
        <f>MAX(Q40)</f>
        <v>5984.1909235247422</v>
      </c>
    </row>
    <row r="40" spans="1:17" ht="35.25" x14ac:dyDescent="0.5">
      <c r="A40" s="6">
        <v>1</v>
      </c>
      <c r="B40" s="285">
        <f>SUBTOTAL(103,$A$13:A40)</f>
        <v>20</v>
      </c>
      <c r="C40" s="286" t="s">
        <v>1026</v>
      </c>
      <c r="D40" s="281">
        <v>1953</v>
      </c>
      <c r="E40" s="281"/>
      <c r="F40" s="281" t="s">
        <v>267</v>
      </c>
      <c r="G40" s="281" t="s">
        <v>303</v>
      </c>
      <c r="H40" s="281" t="s">
        <v>303</v>
      </c>
      <c r="I40" s="282">
        <v>755.8</v>
      </c>
      <c r="J40" s="282">
        <v>690.5</v>
      </c>
      <c r="K40" s="282">
        <f>J40-298.6</f>
        <v>391.9</v>
      </c>
      <c r="L40" s="283">
        <v>20</v>
      </c>
      <c r="M40" s="281" t="s">
        <v>266</v>
      </c>
      <c r="N40" s="281" t="s">
        <v>268</v>
      </c>
      <c r="O40" s="284">
        <v>3265341.36</v>
      </c>
      <c r="P40" s="284">
        <f t="shared" si="1"/>
        <v>4320.3775602011119</v>
      </c>
      <c r="Q40" s="190">
        <v>5984.1909235247422</v>
      </c>
    </row>
    <row r="41" spans="1:17" ht="35.25" x14ac:dyDescent="0.4">
      <c r="B41" s="286" t="s">
        <v>840</v>
      </c>
      <c r="C41" s="286"/>
      <c r="D41" s="281" t="s">
        <v>890</v>
      </c>
      <c r="E41" s="281" t="s">
        <v>890</v>
      </c>
      <c r="F41" s="281" t="s">
        <v>890</v>
      </c>
      <c r="G41" s="281" t="s">
        <v>890</v>
      </c>
      <c r="H41" s="281" t="s">
        <v>890</v>
      </c>
      <c r="I41" s="282">
        <f>I42</f>
        <v>1840.2</v>
      </c>
      <c r="J41" s="282">
        <f>J42</f>
        <v>1840.2</v>
      </c>
      <c r="K41" s="282">
        <f>K42</f>
        <v>1695.4</v>
      </c>
      <c r="L41" s="283">
        <f>L42</f>
        <v>77</v>
      </c>
      <c r="M41" s="281" t="s">
        <v>890</v>
      </c>
      <c r="N41" s="281" t="s">
        <v>890</v>
      </c>
      <c r="O41" s="284">
        <v>97672.62</v>
      </c>
      <c r="P41" s="284">
        <f t="shared" si="1"/>
        <v>53.077176393870225</v>
      </c>
      <c r="Q41" s="190">
        <f>MAX(Q42)</f>
        <v>53.077176393870225</v>
      </c>
    </row>
    <row r="42" spans="1:17" ht="35.25" x14ac:dyDescent="0.5">
      <c r="A42" s="6">
        <v>1</v>
      </c>
      <c r="B42" s="285">
        <f>SUBTOTAL(103,$A$13:A42)</f>
        <v>21</v>
      </c>
      <c r="C42" s="286" t="s">
        <v>1027</v>
      </c>
      <c r="D42" s="281">
        <v>1986</v>
      </c>
      <c r="E42" s="281"/>
      <c r="F42" s="281" t="s">
        <v>267</v>
      </c>
      <c r="G42" s="281" t="s">
        <v>312</v>
      </c>
      <c r="H42" s="281" t="s">
        <v>312</v>
      </c>
      <c r="I42" s="282">
        <v>1840.2</v>
      </c>
      <c r="J42" s="282">
        <v>1840.2</v>
      </c>
      <c r="K42" s="282">
        <f>J42-144.8</f>
        <v>1695.4</v>
      </c>
      <c r="L42" s="283">
        <v>77</v>
      </c>
      <c r="M42" s="281" t="s">
        <v>341</v>
      </c>
      <c r="N42" s="281" t="s">
        <v>1058</v>
      </c>
      <c r="O42" s="284">
        <v>97672.62</v>
      </c>
      <c r="P42" s="284">
        <f t="shared" si="1"/>
        <v>53.077176393870225</v>
      </c>
      <c r="Q42" s="190">
        <v>53.077176393870225</v>
      </c>
    </row>
    <row r="43" spans="1:17" ht="35.25" x14ac:dyDescent="0.4">
      <c r="B43" s="286" t="s">
        <v>1046</v>
      </c>
      <c r="C43" s="286"/>
      <c r="D43" s="281" t="s">
        <v>890</v>
      </c>
      <c r="E43" s="281" t="s">
        <v>890</v>
      </c>
      <c r="F43" s="281" t="s">
        <v>890</v>
      </c>
      <c r="G43" s="281" t="s">
        <v>890</v>
      </c>
      <c r="H43" s="281" t="s">
        <v>890</v>
      </c>
      <c r="I43" s="282">
        <f>I44+I45+I46</f>
        <v>1621.7</v>
      </c>
      <c r="J43" s="282">
        <f>J44+J45+J46</f>
        <v>1475.1999999999998</v>
      </c>
      <c r="K43" s="282">
        <f>K44+K45+K46</f>
        <v>1246.9000000000001</v>
      </c>
      <c r="L43" s="283">
        <f>L44+L45+L46</f>
        <v>58</v>
      </c>
      <c r="M43" s="281" t="s">
        <v>890</v>
      </c>
      <c r="N43" s="281" t="s">
        <v>890</v>
      </c>
      <c r="O43" s="284">
        <v>7637123.5900000008</v>
      </c>
      <c r="P43" s="284">
        <f t="shared" si="1"/>
        <v>4709.3319294567436</v>
      </c>
      <c r="Q43" s="190">
        <f>MAX(Q44:Q46)</f>
        <v>5884.2396929375636</v>
      </c>
    </row>
    <row r="44" spans="1:17" ht="35.25" x14ac:dyDescent="0.5">
      <c r="A44" s="6">
        <v>1</v>
      </c>
      <c r="B44" s="285">
        <f>SUBTOTAL(103,$A$13:A44)</f>
        <v>22</v>
      </c>
      <c r="C44" s="286" t="s">
        <v>1028</v>
      </c>
      <c r="D44" s="281">
        <v>1950</v>
      </c>
      <c r="E44" s="281"/>
      <c r="F44" s="281" t="s">
        <v>267</v>
      </c>
      <c r="G44" s="281" t="s">
        <v>303</v>
      </c>
      <c r="H44" s="281" t="s">
        <v>304</v>
      </c>
      <c r="I44" s="282">
        <v>488.5</v>
      </c>
      <c r="J44" s="282">
        <v>433.9</v>
      </c>
      <c r="K44" s="282">
        <f>J44-53.4</f>
        <v>380.5</v>
      </c>
      <c r="L44" s="283">
        <v>18</v>
      </c>
      <c r="M44" s="281" t="s">
        <v>269</v>
      </c>
      <c r="N44" s="281" t="s">
        <v>321</v>
      </c>
      <c r="O44" s="284">
        <v>2406352.7599999998</v>
      </c>
      <c r="P44" s="284">
        <f t="shared" si="1"/>
        <v>4926.003602865916</v>
      </c>
      <c r="Q44" s="190">
        <v>5884.2396929375636</v>
      </c>
    </row>
    <row r="45" spans="1:17" ht="35.25" x14ac:dyDescent="0.5">
      <c r="A45" s="6">
        <v>1</v>
      </c>
      <c r="B45" s="285">
        <f>SUBTOTAL(103,$A$13:A45)</f>
        <v>23</v>
      </c>
      <c r="C45" s="286" t="s">
        <v>1029</v>
      </c>
      <c r="D45" s="281">
        <v>1956</v>
      </c>
      <c r="E45" s="281"/>
      <c r="F45" s="281" t="s">
        <v>267</v>
      </c>
      <c r="G45" s="281" t="s">
        <v>303</v>
      </c>
      <c r="H45" s="281" t="s">
        <v>304</v>
      </c>
      <c r="I45" s="282">
        <v>567.9</v>
      </c>
      <c r="J45" s="282">
        <v>524.79999999999995</v>
      </c>
      <c r="K45" s="282">
        <f>J45-79.8</f>
        <v>444.99999999999994</v>
      </c>
      <c r="L45" s="283">
        <v>13</v>
      </c>
      <c r="M45" s="281" t="s">
        <v>269</v>
      </c>
      <c r="N45" s="281" t="s">
        <v>321</v>
      </c>
      <c r="O45" s="284">
        <v>2491755.89</v>
      </c>
      <c r="P45" s="284">
        <f t="shared" si="1"/>
        <v>4387.6666490579328</v>
      </c>
      <c r="Q45" s="190">
        <v>5752.5363620355693</v>
      </c>
    </row>
    <row r="46" spans="1:17" ht="35.25" x14ac:dyDescent="0.5">
      <c r="A46" s="6">
        <v>1</v>
      </c>
      <c r="B46" s="285">
        <f>SUBTOTAL(103,$A$13:A46)</f>
        <v>24</v>
      </c>
      <c r="C46" s="286" t="s">
        <v>1030</v>
      </c>
      <c r="D46" s="281">
        <v>1963</v>
      </c>
      <c r="E46" s="281"/>
      <c r="F46" s="281" t="s">
        <v>267</v>
      </c>
      <c r="G46" s="281" t="s">
        <v>303</v>
      </c>
      <c r="H46" s="281" t="s">
        <v>303</v>
      </c>
      <c r="I46" s="282">
        <v>565.29999999999995</v>
      </c>
      <c r="J46" s="282">
        <v>516.5</v>
      </c>
      <c r="K46" s="282">
        <f>J46-95.1</f>
        <v>421.4</v>
      </c>
      <c r="L46" s="283">
        <v>27</v>
      </c>
      <c r="M46" s="281" t="s">
        <v>269</v>
      </c>
      <c r="N46" s="281" t="s">
        <v>327</v>
      </c>
      <c r="O46" s="284">
        <v>2739014.9400000004</v>
      </c>
      <c r="P46" s="284">
        <f t="shared" si="1"/>
        <v>4845.2413585706718</v>
      </c>
      <c r="Q46" s="190">
        <v>5698.4105784539188</v>
      </c>
    </row>
    <row r="47" spans="1:17" ht="35.25" x14ac:dyDescent="0.4">
      <c r="B47" s="286" t="s">
        <v>1047</v>
      </c>
      <c r="C47" s="286"/>
      <c r="D47" s="281" t="s">
        <v>890</v>
      </c>
      <c r="E47" s="281" t="s">
        <v>890</v>
      </c>
      <c r="F47" s="281" t="s">
        <v>890</v>
      </c>
      <c r="G47" s="281" t="s">
        <v>890</v>
      </c>
      <c r="H47" s="281" t="s">
        <v>890</v>
      </c>
      <c r="I47" s="282">
        <f>I48</f>
        <v>1598.9</v>
      </c>
      <c r="J47" s="282">
        <f>J48</f>
        <v>874</v>
      </c>
      <c r="K47" s="282">
        <f>K48</f>
        <v>786.4</v>
      </c>
      <c r="L47" s="283">
        <f>L48</f>
        <v>38</v>
      </c>
      <c r="M47" s="281" t="s">
        <v>890</v>
      </c>
      <c r="N47" s="281" t="s">
        <v>890</v>
      </c>
      <c r="O47" s="284">
        <v>2434994.4500000002</v>
      </c>
      <c r="P47" s="284">
        <f t="shared" si="1"/>
        <v>1522.9185377446995</v>
      </c>
      <c r="Q47" s="190">
        <f>MAX(Q48)</f>
        <v>3174.6863468634683</v>
      </c>
    </row>
    <row r="48" spans="1:17" ht="35.25" x14ac:dyDescent="0.5">
      <c r="A48" s="6">
        <v>1</v>
      </c>
      <c r="B48" s="285">
        <f>SUBTOTAL(103,$A$13:A48)</f>
        <v>25</v>
      </c>
      <c r="C48" s="286" t="s">
        <v>1035</v>
      </c>
      <c r="D48" s="281">
        <v>1974</v>
      </c>
      <c r="E48" s="281"/>
      <c r="F48" s="281" t="s">
        <v>267</v>
      </c>
      <c r="G48" s="281" t="s">
        <v>303</v>
      </c>
      <c r="H48" s="281" t="s">
        <v>312</v>
      </c>
      <c r="I48" s="282">
        <v>1598.9</v>
      </c>
      <c r="J48" s="282">
        <v>874</v>
      </c>
      <c r="K48" s="282">
        <f>J48-87.6</f>
        <v>786.4</v>
      </c>
      <c r="L48" s="283">
        <v>38</v>
      </c>
      <c r="M48" s="281" t="s">
        <v>269</v>
      </c>
      <c r="N48" s="281" t="s">
        <v>294</v>
      </c>
      <c r="O48" s="284">
        <v>2434994.4500000002</v>
      </c>
      <c r="P48" s="284">
        <f t="shared" si="1"/>
        <v>1522.9185377446995</v>
      </c>
      <c r="Q48" s="190">
        <v>3174.6863468634683</v>
      </c>
    </row>
    <row r="49" spans="1:17" ht="35.25" x14ac:dyDescent="0.4">
      <c r="B49" s="286" t="s">
        <v>851</v>
      </c>
      <c r="C49" s="286"/>
      <c r="D49" s="281" t="s">
        <v>890</v>
      </c>
      <c r="E49" s="281" t="s">
        <v>890</v>
      </c>
      <c r="F49" s="281" t="s">
        <v>890</v>
      </c>
      <c r="G49" s="281" t="s">
        <v>890</v>
      </c>
      <c r="H49" s="281" t="s">
        <v>890</v>
      </c>
      <c r="I49" s="282">
        <f>I50</f>
        <v>465</v>
      </c>
      <c r="J49" s="282">
        <f>J50</f>
        <v>424.6</v>
      </c>
      <c r="K49" s="282">
        <f>K50</f>
        <v>175.8</v>
      </c>
      <c r="L49" s="283">
        <f>L50</f>
        <v>26</v>
      </c>
      <c r="M49" s="281" t="s">
        <v>890</v>
      </c>
      <c r="N49" s="281" t="s">
        <v>890</v>
      </c>
      <c r="O49" s="284">
        <v>89459.11</v>
      </c>
      <c r="P49" s="284">
        <f t="shared" si="1"/>
        <v>192.38518279569894</v>
      </c>
      <c r="Q49" s="190">
        <f>MAX(Q50)</f>
        <v>192.38518279569894</v>
      </c>
    </row>
    <row r="50" spans="1:17" ht="35.25" x14ac:dyDescent="0.5">
      <c r="A50" s="6">
        <v>1</v>
      </c>
      <c r="B50" s="285">
        <f>SUBTOTAL(103,$A$13:A50)</f>
        <v>26</v>
      </c>
      <c r="C50" s="286" t="s">
        <v>1031</v>
      </c>
      <c r="D50" s="281">
        <v>1953</v>
      </c>
      <c r="E50" s="281"/>
      <c r="F50" s="281" t="s">
        <v>267</v>
      </c>
      <c r="G50" s="281" t="s">
        <v>303</v>
      </c>
      <c r="H50" s="281" t="s">
        <v>304</v>
      </c>
      <c r="I50" s="282">
        <v>465</v>
      </c>
      <c r="J50" s="282">
        <v>424.6</v>
      </c>
      <c r="K50" s="282">
        <f>J50-248.8</f>
        <v>175.8</v>
      </c>
      <c r="L50" s="283">
        <v>26</v>
      </c>
      <c r="M50" s="281" t="s">
        <v>266</v>
      </c>
      <c r="N50" s="281" t="s">
        <v>268</v>
      </c>
      <c r="O50" s="284">
        <v>89459.11</v>
      </c>
      <c r="P50" s="284">
        <f t="shared" si="1"/>
        <v>192.38518279569894</v>
      </c>
      <c r="Q50" s="190">
        <v>192.38518279569894</v>
      </c>
    </row>
    <row r="51" spans="1:17" ht="35.25" x14ac:dyDescent="0.4">
      <c r="B51" s="286" t="s">
        <v>857</v>
      </c>
      <c r="C51" s="286"/>
      <c r="D51" s="281" t="s">
        <v>890</v>
      </c>
      <c r="E51" s="281" t="s">
        <v>890</v>
      </c>
      <c r="F51" s="281" t="s">
        <v>890</v>
      </c>
      <c r="G51" s="281" t="s">
        <v>890</v>
      </c>
      <c r="H51" s="281" t="s">
        <v>890</v>
      </c>
      <c r="I51" s="282">
        <f>I52</f>
        <v>861.5</v>
      </c>
      <c r="J51" s="282">
        <f>J52</f>
        <v>861.5</v>
      </c>
      <c r="K51" s="282">
        <f>K52</f>
        <v>816.5</v>
      </c>
      <c r="L51" s="283">
        <f>L52</f>
        <v>31</v>
      </c>
      <c r="M51" s="281" t="s">
        <v>890</v>
      </c>
      <c r="N51" s="281" t="s">
        <v>890</v>
      </c>
      <c r="O51" s="284">
        <v>3168456.39</v>
      </c>
      <c r="P51" s="284">
        <f t="shared" si="1"/>
        <v>3677.8367846778874</v>
      </c>
      <c r="Q51" s="190">
        <f>MAX(Q52)</f>
        <v>6602.1239698200807</v>
      </c>
    </row>
    <row r="52" spans="1:17" ht="35.25" x14ac:dyDescent="0.5">
      <c r="A52" s="6">
        <v>1</v>
      </c>
      <c r="B52" s="285">
        <f>SUBTOTAL(103,$A$13:A52)</f>
        <v>27</v>
      </c>
      <c r="C52" s="286" t="s">
        <v>1034</v>
      </c>
      <c r="D52" s="281">
        <v>1980</v>
      </c>
      <c r="E52" s="281"/>
      <c r="F52" s="281" t="s">
        <v>267</v>
      </c>
      <c r="G52" s="281" t="s">
        <v>303</v>
      </c>
      <c r="H52" s="281" t="s">
        <v>312</v>
      </c>
      <c r="I52" s="282">
        <v>861.5</v>
      </c>
      <c r="J52" s="282">
        <v>861.5</v>
      </c>
      <c r="K52" s="282">
        <f>J52-45</f>
        <v>816.5</v>
      </c>
      <c r="L52" s="283">
        <v>31</v>
      </c>
      <c r="M52" s="281" t="s">
        <v>269</v>
      </c>
      <c r="N52" s="281" t="s">
        <v>282</v>
      </c>
      <c r="O52" s="284">
        <v>3168456.39</v>
      </c>
      <c r="P52" s="284">
        <f t="shared" si="1"/>
        <v>3677.8367846778874</v>
      </c>
      <c r="Q52" s="190">
        <v>6602.1239698200807</v>
      </c>
    </row>
    <row r="53" spans="1:17" ht="35.25" x14ac:dyDescent="0.4">
      <c r="B53" s="286" t="s">
        <v>859</v>
      </c>
      <c r="C53" s="286"/>
      <c r="D53" s="281" t="s">
        <v>890</v>
      </c>
      <c r="E53" s="281" t="s">
        <v>890</v>
      </c>
      <c r="F53" s="281" t="s">
        <v>890</v>
      </c>
      <c r="G53" s="281" t="s">
        <v>890</v>
      </c>
      <c r="H53" s="281" t="s">
        <v>890</v>
      </c>
      <c r="I53" s="282">
        <f>I55+I54+I56</f>
        <v>2249.1999999999998</v>
      </c>
      <c r="J53" s="282">
        <f>J55+J54+J56</f>
        <v>2068.4</v>
      </c>
      <c r="K53" s="282">
        <f>K55+K54+K56</f>
        <v>2023.6000000000001</v>
      </c>
      <c r="L53" s="283">
        <f>L55+L54+L56</f>
        <v>104</v>
      </c>
      <c r="M53" s="281" t="s">
        <v>890</v>
      </c>
      <c r="N53" s="281" t="s">
        <v>890</v>
      </c>
      <c r="O53" s="284">
        <v>4966030.97</v>
      </c>
      <c r="P53" s="284">
        <f t="shared" si="1"/>
        <v>2207.9099101902898</v>
      </c>
      <c r="Q53" s="190">
        <f>MAX(Q54:Q56)</f>
        <v>8081.8441367351998</v>
      </c>
    </row>
    <row r="54" spans="1:17" ht="35.25" x14ac:dyDescent="0.5">
      <c r="A54" s="6">
        <v>1</v>
      </c>
      <c r="B54" s="285">
        <f>SUBTOTAL(103,$A$13:A54)</f>
        <v>28</v>
      </c>
      <c r="C54" s="286" t="s">
        <v>1077</v>
      </c>
      <c r="D54" s="281">
        <v>1980</v>
      </c>
      <c r="E54" s="281"/>
      <c r="F54" s="281" t="s">
        <v>318</v>
      </c>
      <c r="G54" s="281" t="s">
        <v>312</v>
      </c>
      <c r="H54" s="281" t="s">
        <v>312</v>
      </c>
      <c r="I54" s="282">
        <v>1481.6</v>
      </c>
      <c r="J54" s="282">
        <v>1361.4</v>
      </c>
      <c r="K54" s="282">
        <v>1361.4</v>
      </c>
      <c r="L54" s="283">
        <v>70</v>
      </c>
      <c r="M54" s="281" t="s">
        <v>266</v>
      </c>
      <c r="N54" s="281" t="s">
        <v>268</v>
      </c>
      <c r="O54" s="284">
        <v>1924066.04</v>
      </c>
      <c r="P54" s="284">
        <f t="shared" si="1"/>
        <v>1298.6406857451404</v>
      </c>
      <c r="Q54" s="190">
        <v>2511.8948947084232</v>
      </c>
    </row>
    <row r="55" spans="1:17" ht="35.25" x14ac:dyDescent="0.5">
      <c r="A55" s="6">
        <v>1</v>
      </c>
      <c r="B55" s="285">
        <f>SUBTOTAL(103,$A$13:A55)</f>
        <v>29</v>
      </c>
      <c r="C55" s="286" t="s">
        <v>1032</v>
      </c>
      <c r="D55" s="281">
        <v>1970</v>
      </c>
      <c r="E55" s="281"/>
      <c r="F55" s="281" t="s">
        <v>267</v>
      </c>
      <c r="G55" s="281" t="s">
        <v>303</v>
      </c>
      <c r="H55" s="281" t="s">
        <v>304</v>
      </c>
      <c r="I55" s="282">
        <v>403.7</v>
      </c>
      <c r="J55" s="282">
        <v>373</v>
      </c>
      <c r="K55" s="282">
        <f>J55-44.8</f>
        <v>328.2</v>
      </c>
      <c r="L55" s="283">
        <v>20</v>
      </c>
      <c r="M55" s="281" t="s">
        <v>266</v>
      </c>
      <c r="N55" s="281" t="s">
        <v>268</v>
      </c>
      <c r="O55" s="284">
        <v>1650932.93</v>
      </c>
      <c r="P55" s="284">
        <f t="shared" si="1"/>
        <v>4089.5044092147632</v>
      </c>
      <c r="Q55" s="190">
        <v>8081.8441367351998</v>
      </c>
    </row>
    <row r="56" spans="1:17" ht="35.25" x14ac:dyDescent="0.5">
      <c r="A56" s="6">
        <v>1</v>
      </c>
      <c r="B56" s="285">
        <f>SUBTOTAL(103,$A$13:A56)</f>
        <v>30</v>
      </c>
      <c r="C56" s="286" t="s">
        <v>191</v>
      </c>
      <c r="D56" s="281">
        <v>1968</v>
      </c>
      <c r="E56" s="281"/>
      <c r="F56" s="281" t="s">
        <v>267</v>
      </c>
      <c r="G56" s="281" t="s">
        <v>303</v>
      </c>
      <c r="H56" s="281" t="s">
        <v>304</v>
      </c>
      <c r="I56" s="282">
        <v>363.9</v>
      </c>
      <c r="J56" s="282">
        <v>334</v>
      </c>
      <c r="K56" s="282">
        <v>334</v>
      </c>
      <c r="L56" s="283">
        <v>14</v>
      </c>
      <c r="M56" s="281" t="s">
        <v>266</v>
      </c>
      <c r="N56" s="281" t="s">
        <v>268</v>
      </c>
      <c r="O56" s="284">
        <v>1391032.0000000002</v>
      </c>
      <c r="P56" s="284">
        <f t="shared" si="1"/>
        <v>3822.5666391865907</v>
      </c>
      <c r="Q56" s="190">
        <v>5525.0176284693598</v>
      </c>
    </row>
    <row r="57" spans="1:17" ht="35.25" x14ac:dyDescent="0.4">
      <c r="B57" s="286" t="s">
        <v>858</v>
      </c>
      <c r="C57" s="286"/>
      <c r="D57" s="281" t="s">
        <v>890</v>
      </c>
      <c r="E57" s="281" t="s">
        <v>890</v>
      </c>
      <c r="F57" s="281" t="s">
        <v>890</v>
      </c>
      <c r="G57" s="281" t="s">
        <v>890</v>
      </c>
      <c r="H57" s="281" t="s">
        <v>890</v>
      </c>
      <c r="I57" s="282">
        <f>I58</f>
        <v>940.4</v>
      </c>
      <c r="J57" s="282">
        <f>J58</f>
        <v>940.4</v>
      </c>
      <c r="K57" s="282">
        <f>K58</f>
        <v>940.4</v>
      </c>
      <c r="L57" s="283">
        <f>L58</f>
        <v>26</v>
      </c>
      <c r="M57" s="281" t="s">
        <v>890</v>
      </c>
      <c r="N57" s="281" t="s">
        <v>890</v>
      </c>
      <c r="O57" s="284">
        <v>1661171.06</v>
      </c>
      <c r="P57" s="284">
        <f t="shared" si="1"/>
        <v>1766.4515737983838</v>
      </c>
      <c r="Q57" s="190">
        <f>MAX(Q58)</f>
        <v>3781.5107028923862</v>
      </c>
    </row>
    <row r="58" spans="1:17" ht="35.25" x14ac:dyDescent="0.5">
      <c r="A58" s="6">
        <v>1</v>
      </c>
      <c r="B58" s="285">
        <f>SUBTOTAL(103,$A$13:A58)</f>
        <v>31</v>
      </c>
      <c r="C58" s="286" t="s">
        <v>1068</v>
      </c>
      <c r="D58" s="281">
        <v>1987</v>
      </c>
      <c r="E58" s="281"/>
      <c r="F58" s="281" t="s">
        <v>267</v>
      </c>
      <c r="G58" s="281" t="s">
        <v>303</v>
      </c>
      <c r="H58" s="281" t="s">
        <v>303</v>
      </c>
      <c r="I58" s="282">
        <v>940.4</v>
      </c>
      <c r="J58" s="282">
        <v>940.4</v>
      </c>
      <c r="K58" s="282">
        <f>J58</f>
        <v>940.4</v>
      </c>
      <c r="L58" s="283">
        <v>26</v>
      </c>
      <c r="M58" s="281" t="s">
        <v>269</v>
      </c>
      <c r="N58" s="281" t="s">
        <v>1070</v>
      </c>
      <c r="O58" s="284">
        <v>1661171.06</v>
      </c>
      <c r="P58" s="284">
        <f t="shared" si="1"/>
        <v>1766.4515737983838</v>
      </c>
      <c r="Q58" s="190">
        <v>3781.5107028923862</v>
      </c>
    </row>
    <row r="59" spans="1:17" ht="35.25" x14ac:dyDescent="0.5">
      <c r="B59" s="288" t="s">
        <v>834</v>
      </c>
      <c r="C59" s="286"/>
      <c r="D59" s="281" t="s">
        <v>890</v>
      </c>
      <c r="E59" s="281" t="s">
        <v>890</v>
      </c>
      <c r="F59" s="281" t="s">
        <v>890</v>
      </c>
      <c r="G59" s="281" t="s">
        <v>890</v>
      </c>
      <c r="H59" s="281" t="s">
        <v>890</v>
      </c>
      <c r="I59" s="282">
        <f>I60</f>
        <v>1743.7</v>
      </c>
      <c r="J59" s="282">
        <f>J60</f>
        <v>1552.6</v>
      </c>
      <c r="K59" s="282">
        <f>K60</f>
        <v>1552.6</v>
      </c>
      <c r="L59" s="283">
        <f>L60</f>
        <v>65</v>
      </c>
      <c r="M59" s="281" t="s">
        <v>890</v>
      </c>
      <c r="N59" s="281" t="s">
        <v>890</v>
      </c>
      <c r="O59" s="284">
        <v>105794.97</v>
      </c>
      <c r="P59" s="284">
        <f t="shared" si="1"/>
        <v>60.672690256351437</v>
      </c>
      <c r="Q59" s="190">
        <f>Q60</f>
        <v>60.672690256351437</v>
      </c>
    </row>
    <row r="60" spans="1:17" ht="35.25" x14ac:dyDescent="0.5">
      <c r="A60" s="6">
        <v>1</v>
      </c>
      <c r="B60" s="285">
        <f>SUBTOTAL(103,$A$13:A60)</f>
        <v>32</v>
      </c>
      <c r="C60" s="286" t="s">
        <v>1401</v>
      </c>
      <c r="D60" s="281">
        <v>1978</v>
      </c>
      <c r="E60" s="281"/>
      <c r="F60" s="281" t="s">
        <v>267</v>
      </c>
      <c r="G60" s="281" t="s">
        <v>312</v>
      </c>
      <c r="H60" s="281" t="s">
        <v>312</v>
      </c>
      <c r="I60" s="282">
        <v>1743.7</v>
      </c>
      <c r="J60" s="282">
        <v>1552.6</v>
      </c>
      <c r="K60" s="282">
        <f>J60</f>
        <v>1552.6</v>
      </c>
      <c r="L60" s="283">
        <v>65</v>
      </c>
      <c r="M60" s="281" t="s">
        <v>269</v>
      </c>
      <c r="N60" s="281" t="s">
        <v>810</v>
      </c>
      <c r="O60" s="284">
        <v>105794.97</v>
      </c>
      <c r="P60" s="284">
        <f t="shared" si="1"/>
        <v>60.672690256351437</v>
      </c>
      <c r="Q60" s="190">
        <v>60.672690256351437</v>
      </c>
    </row>
    <row r="61" spans="1:17" ht="35.25" x14ac:dyDescent="0.5">
      <c r="B61" s="288" t="s">
        <v>870</v>
      </c>
      <c r="C61" s="286"/>
      <c r="D61" s="281" t="s">
        <v>890</v>
      </c>
      <c r="E61" s="281" t="s">
        <v>890</v>
      </c>
      <c r="F61" s="281" t="s">
        <v>890</v>
      </c>
      <c r="G61" s="281" t="s">
        <v>890</v>
      </c>
      <c r="H61" s="281" t="s">
        <v>890</v>
      </c>
      <c r="I61" s="282">
        <f>I62</f>
        <v>1105.0999999999999</v>
      </c>
      <c r="J61" s="282">
        <f>J62</f>
        <v>953.3</v>
      </c>
      <c r="K61" s="282">
        <f>K62</f>
        <v>870.1</v>
      </c>
      <c r="L61" s="283">
        <f>L62</f>
        <v>44</v>
      </c>
      <c r="M61" s="281" t="s">
        <v>890</v>
      </c>
      <c r="N61" s="281" t="s">
        <v>890</v>
      </c>
      <c r="O61" s="284">
        <v>603261.75</v>
      </c>
      <c r="P61" s="284">
        <f t="shared" si="1"/>
        <v>545.88883358972043</v>
      </c>
      <c r="Q61" s="190">
        <f>MAX(Q62)</f>
        <v>810.46</v>
      </c>
    </row>
    <row r="62" spans="1:17" ht="35.25" x14ac:dyDescent="0.5">
      <c r="A62" s="6">
        <v>1</v>
      </c>
      <c r="B62" s="285">
        <f>SUBTOTAL(103,$A$13:A62)</f>
        <v>33</v>
      </c>
      <c r="C62" s="286" t="s">
        <v>1402</v>
      </c>
      <c r="D62" s="281">
        <v>1979</v>
      </c>
      <c r="E62" s="281"/>
      <c r="F62" s="281" t="s">
        <v>267</v>
      </c>
      <c r="G62" s="281" t="s">
        <v>303</v>
      </c>
      <c r="H62" s="281" t="s">
        <v>312</v>
      </c>
      <c r="I62" s="282">
        <v>1105.0999999999999</v>
      </c>
      <c r="J62" s="282">
        <v>953.3</v>
      </c>
      <c r="K62" s="282">
        <v>870.1</v>
      </c>
      <c r="L62" s="283">
        <v>44</v>
      </c>
      <c r="M62" s="281" t="s">
        <v>269</v>
      </c>
      <c r="N62" s="281" t="s">
        <v>1357</v>
      </c>
      <c r="O62" s="284">
        <v>603261.75</v>
      </c>
      <c r="P62" s="284">
        <f t="shared" si="1"/>
        <v>545.88883358972043</v>
      </c>
      <c r="Q62" s="190">
        <v>810.46</v>
      </c>
    </row>
    <row r="63" spans="1:17" ht="35.25" x14ac:dyDescent="0.4">
      <c r="B63" s="215" t="s">
        <v>1940</v>
      </c>
      <c r="C63" s="280"/>
      <c r="D63" s="281" t="s">
        <v>890</v>
      </c>
      <c r="E63" s="281" t="s">
        <v>890</v>
      </c>
      <c r="F63" s="281" t="s">
        <v>890</v>
      </c>
      <c r="G63" s="281" t="s">
        <v>890</v>
      </c>
      <c r="H63" s="281" t="s">
        <v>890</v>
      </c>
      <c r="I63" s="282">
        <f>I64+I68+I70+I72+I76+I78+I80+I82</f>
        <v>9357.5</v>
      </c>
      <c r="J63" s="282">
        <f>J64+J68+J70+J72+J76+J78+J80+J82</f>
        <v>7976.1</v>
      </c>
      <c r="K63" s="282">
        <f>K64+K68+K70+K72+K76+K78+K80+K82</f>
        <v>7286.1</v>
      </c>
      <c r="L63" s="283">
        <f>L64+L68+L70+L72+L76+L78+L80+L82</f>
        <v>424</v>
      </c>
      <c r="M63" s="281" t="s">
        <v>890</v>
      </c>
      <c r="N63" s="281" t="s">
        <v>890</v>
      </c>
      <c r="O63" s="282">
        <v>30583220.379999999</v>
      </c>
      <c r="P63" s="284">
        <f t="shared" si="1"/>
        <v>3268.3110211060643</v>
      </c>
      <c r="Q63" s="190">
        <f>MAX(Q64:Q83)</f>
        <v>8764.5360338600458</v>
      </c>
    </row>
    <row r="64" spans="1:17" ht="35.25" x14ac:dyDescent="0.4">
      <c r="B64" s="286" t="s">
        <v>1044</v>
      </c>
      <c r="C64" s="286"/>
      <c r="D64" s="281" t="s">
        <v>890</v>
      </c>
      <c r="E64" s="281" t="s">
        <v>890</v>
      </c>
      <c r="F64" s="281" t="s">
        <v>890</v>
      </c>
      <c r="G64" s="281" t="s">
        <v>890</v>
      </c>
      <c r="H64" s="281" t="s">
        <v>890</v>
      </c>
      <c r="I64" s="282">
        <f>SUM(I65:I67)</f>
        <v>1180.5999999999999</v>
      </c>
      <c r="J64" s="282">
        <f>SUM(J65:J67)</f>
        <v>1060.7</v>
      </c>
      <c r="K64" s="282">
        <f>SUM(K65:K67)</f>
        <v>932.7</v>
      </c>
      <c r="L64" s="283">
        <f>SUM(L65:L67)</f>
        <v>60</v>
      </c>
      <c r="M64" s="281" t="s">
        <v>890</v>
      </c>
      <c r="N64" s="281" t="s">
        <v>890</v>
      </c>
      <c r="O64" s="284">
        <v>5103149.49</v>
      </c>
      <c r="P64" s="284">
        <f t="shared" si="1"/>
        <v>4322.5050736913436</v>
      </c>
      <c r="Q64" s="190">
        <f>MAX(Q65:Q67)</f>
        <v>8764.5360338600458</v>
      </c>
    </row>
    <row r="65" spans="1:17" ht="35.25" x14ac:dyDescent="0.5">
      <c r="A65" s="6">
        <v>1</v>
      </c>
      <c r="B65" s="285">
        <f>SUBTOTAL(103,$A$64:A65)</f>
        <v>1</v>
      </c>
      <c r="C65" s="286" t="s">
        <v>1020</v>
      </c>
      <c r="D65" s="281">
        <v>1961</v>
      </c>
      <c r="E65" s="281"/>
      <c r="F65" s="281" t="s">
        <v>267</v>
      </c>
      <c r="G65" s="281" t="s">
        <v>303</v>
      </c>
      <c r="H65" s="281" t="s">
        <v>304</v>
      </c>
      <c r="I65" s="282">
        <v>301.39999999999998</v>
      </c>
      <c r="J65" s="282">
        <v>276.5</v>
      </c>
      <c r="K65" s="282">
        <f>J65-38</f>
        <v>238.5</v>
      </c>
      <c r="L65" s="283">
        <v>16</v>
      </c>
      <c r="M65" s="281" t="s">
        <v>269</v>
      </c>
      <c r="N65" s="281" t="s">
        <v>997</v>
      </c>
      <c r="O65" s="284">
        <v>1063050</v>
      </c>
      <c r="P65" s="284">
        <f t="shared" si="1"/>
        <v>3527.0404777704052</v>
      </c>
      <c r="Q65" s="190">
        <v>5549.0341738553416</v>
      </c>
    </row>
    <row r="66" spans="1:17" ht="35.25" x14ac:dyDescent="0.5">
      <c r="A66" s="6">
        <v>1</v>
      </c>
      <c r="B66" s="285">
        <f>SUBTOTAL(103,$A$64:A66)</f>
        <v>2</v>
      </c>
      <c r="C66" s="287" t="s">
        <v>1083</v>
      </c>
      <c r="D66" s="281">
        <v>1956</v>
      </c>
      <c r="E66" s="281"/>
      <c r="F66" s="281" t="s">
        <v>267</v>
      </c>
      <c r="G66" s="281" t="s">
        <v>303</v>
      </c>
      <c r="H66" s="281" t="s">
        <v>304</v>
      </c>
      <c r="I66" s="282">
        <v>443</v>
      </c>
      <c r="J66" s="282">
        <v>397.1</v>
      </c>
      <c r="K66" s="282">
        <v>353.4</v>
      </c>
      <c r="L66" s="283">
        <v>24</v>
      </c>
      <c r="M66" s="281" t="s">
        <v>269</v>
      </c>
      <c r="N66" s="281" t="s">
        <v>1075</v>
      </c>
      <c r="O66" s="284">
        <v>2595067.46</v>
      </c>
      <c r="P66" s="284">
        <f t="shared" si="1"/>
        <v>5857.940090293454</v>
      </c>
      <c r="Q66" s="190">
        <v>8764.5360338600458</v>
      </c>
    </row>
    <row r="67" spans="1:17" ht="35.25" x14ac:dyDescent="0.5">
      <c r="A67" s="6">
        <v>1</v>
      </c>
      <c r="B67" s="285">
        <f>SUBTOTAL(103,$A$64:A67)</f>
        <v>3</v>
      </c>
      <c r="C67" s="287" t="s">
        <v>1399</v>
      </c>
      <c r="D67" s="281">
        <v>1957</v>
      </c>
      <c r="E67" s="281"/>
      <c r="F67" s="281" t="s">
        <v>267</v>
      </c>
      <c r="G67" s="281" t="s">
        <v>303</v>
      </c>
      <c r="H67" s="281" t="s">
        <v>304</v>
      </c>
      <c r="I67" s="282">
        <v>436.2</v>
      </c>
      <c r="J67" s="282">
        <v>387.1</v>
      </c>
      <c r="K67" s="282">
        <v>340.8</v>
      </c>
      <c r="L67" s="283">
        <v>20</v>
      </c>
      <c r="M67" s="281" t="s">
        <v>269</v>
      </c>
      <c r="N67" s="281" t="s">
        <v>1400</v>
      </c>
      <c r="O67" s="284">
        <v>1445032.0299999998</v>
      </c>
      <c r="P67" s="284">
        <f t="shared" si="1"/>
        <v>3312.774025676295</v>
      </c>
      <c r="Q67" s="190">
        <v>5593.6083470884923</v>
      </c>
    </row>
    <row r="68" spans="1:17" ht="35.25" x14ac:dyDescent="0.4">
      <c r="B68" s="286" t="s">
        <v>824</v>
      </c>
      <c r="C68" s="286"/>
      <c r="D68" s="281" t="s">
        <v>890</v>
      </c>
      <c r="E68" s="281" t="s">
        <v>890</v>
      </c>
      <c r="F68" s="281" t="s">
        <v>890</v>
      </c>
      <c r="G68" s="281" t="s">
        <v>890</v>
      </c>
      <c r="H68" s="281" t="s">
        <v>890</v>
      </c>
      <c r="I68" s="282">
        <f>I69</f>
        <v>366.5</v>
      </c>
      <c r="J68" s="282">
        <f>J69</f>
        <v>336.9</v>
      </c>
      <c r="K68" s="282">
        <f>K69</f>
        <v>336.9</v>
      </c>
      <c r="L68" s="283">
        <f>L69</f>
        <v>25</v>
      </c>
      <c r="M68" s="281" t="s">
        <v>890</v>
      </c>
      <c r="N68" s="281" t="s">
        <v>890</v>
      </c>
      <c r="O68" s="284">
        <v>1450562.89</v>
      </c>
      <c r="P68" s="284">
        <f t="shared" si="1"/>
        <v>3957.8796452933148</v>
      </c>
      <c r="Q68" s="190">
        <f>Q69</f>
        <v>5199.0574624829469</v>
      </c>
    </row>
    <row r="69" spans="1:17" ht="35.25" x14ac:dyDescent="0.5">
      <c r="A69" s="6">
        <v>1</v>
      </c>
      <c r="B69" s="285">
        <f>SUBTOTAL(103,$A$64:A69)</f>
        <v>4</v>
      </c>
      <c r="C69" s="286" t="s">
        <v>1021</v>
      </c>
      <c r="D69" s="281">
        <v>1971</v>
      </c>
      <c r="E69" s="281"/>
      <c r="F69" s="281" t="s">
        <v>267</v>
      </c>
      <c r="G69" s="281" t="s">
        <v>303</v>
      </c>
      <c r="H69" s="281" t="s">
        <v>304</v>
      </c>
      <c r="I69" s="282">
        <v>366.5</v>
      </c>
      <c r="J69" s="282">
        <v>336.9</v>
      </c>
      <c r="K69" s="282">
        <f>J69</f>
        <v>336.9</v>
      </c>
      <c r="L69" s="283">
        <f>L70</f>
        <v>25</v>
      </c>
      <c r="M69" s="281" t="s">
        <v>269</v>
      </c>
      <c r="N69" s="281" t="s">
        <v>333</v>
      </c>
      <c r="O69" s="284">
        <v>1450562.89</v>
      </c>
      <c r="P69" s="284">
        <f t="shared" si="1"/>
        <v>3957.8796452933148</v>
      </c>
      <c r="Q69" s="190">
        <v>5199.0574624829469</v>
      </c>
    </row>
    <row r="70" spans="1:17" ht="35.25" x14ac:dyDescent="0.4">
      <c r="B70" s="286" t="s">
        <v>1045</v>
      </c>
      <c r="C70" s="286"/>
      <c r="D70" s="281" t="s">
        <v>890</v>
      </c>
      <c r="E70" s="281" t="s">
        <v>890</v>
      </c>
      <c r="F70" s="281" t="s">
        <v>890</v>
      </c>
      <c r="G70" s="281" t="s">
        <v>890</v>
      </c>
      <c r="H70" s="281" t="s">
        <v>890</v>
      </c>
      <c r="I70" s="282">
        <f>I71</f>
        <v>410.7</v>
      </c>
      <c r="J70" s="282">
        <f>J71</f>
        <v>379.6</v>
      </c>
      <c r="K70" s="282">
        <f>K71</f>
        <v>379.6</v>
      </c>
      <c r="L70" s="283">
        <f>L71</f>
        <v>25</v>
      </c>
      <c r="M70" s="281" t="s">
        <v>890</v>
      </c>
      <c r="N70" s="281" t="s">
        <v>890</v>
      </c>
      <c r="O70" s="284">
        <v>2607490.21</v>
      </c>
      <c r="P70" s="284">
        <f t="shared" si="1"/>
        <v>6348.892646700755</v>
      </c>
      <c r="Q70" s="190">
        <f>Q71</f>
        <v>6348.892646700755</v>
      </c>
    </row>
    <row r="71" spans="1:17" ht="35.25" x14ac:dyDescent="0.5">
      <c r="A71" s="6">
        <v>1</v>
      </c>
      <c r="B71" s="285">
        <f>SUBTOTAL(103,$A$64:A71)</f>
        <v>5</v>
      </c>
      <c r="C71" s="286" t="s">
        <v>1941</v>
      </c>
      <c r="D71" s="281">
        <v>1997</v>
      </c>
      <c r="E71" s="281"/>
      <c r="F71" s="281" t="s">
        <v>267</v>
      </c>
      <c r="G71" s="281">
        <v>2</v>
      </c>
      <c r="H71" s="281">
        <v>1</v>
      </c>
      <c r="I71" s="282">
        <v>410.7</v>
      </c>
      <c r="J71" s="282">
        <v>379.6</v>
      </c>
      <c r="K71" s="282">
        <v>379.6</v>
      </c>
      <c r="L71" s="283">
        <v>25</v>
      </c>
      <c r="M71" s="281" t="s">
        <v>266</v>
      </c>
      <c r="N71" s="281" t="s">
        <v>268</v>
      </c>
      <c r="O71" s="284">
        <v>2607490.21</v>
      </c>
      <c r="P71" s="284">
        <f t="shared" si="1"/>
        <v>6348.892646700755</v>
      </c>
      <c r="Q71" s="190">
        <v>6348.892646700755</v>
      </c>
    </row>
    <row r="72" spans="1:17" ht="35.25" x14ac:dyDescent="0.4">
      <c r="B72" s="286" t="s">
        <v>760</v>
      </c>
      <c r="C72" s="286"/>
      <c r="D72" s="281" t="s">
        <v>890</v>
      </c>
      <c r="E72" s="281" t="s">
        <v>890</v>
      </c>
      <c r="F72" s="281" t="s">
        <v>890</v>
      </c>
      <c r="G72" s="281" t="s">
        <v>890</v>
      </c>
      <c r="H72" s="281" t="s">
        <v>890</v>
      </c>
      <c r="I72" s="282">
        <f>I73+I74+I75</f>
        <v>2093.1</v>
      </c>
      <c r="J72" s="282">
        <f>J73+J74+J75</f>
        <v>1649</v>
      </c>
      <c r="K72" s="282">
        <f>K73+K74+K75</f>
        <v>1480.6</v>
      </c>
      <c r="L72" s="283">
        <f>L73+L74+L75</f>
        <v>110</v>
      </c>
      <c r="M72" s="281" t="s">
        <v>890</v>
      </c>
      <c r="N72" s="281" t="s">
        <v>890</v>
      </c>
      <c r="O72" s="284">
        <v>6106153.4399999995</v>
      </c>
      <c r="P72" s="284">
        <f t="shared" si="1"/>
        <v>2917.277454493335</v>
      </c>
      <c r="Q72" s="190">
        <f>MAX(Q73:Q75)</f>
        <v>6168.9430136986293</v>
      </c>
    </row>
    <row r="73" spans="1:17" ht="35.25" x14ac:dyDescent="0.5">
      <c r="A73" s="6">
        <v>1</v>
      </c>
      <c r="B73" s="285">
        <f>SUBTOTAL(103,$A$64:A73)</f>
        <v>6</v>
      </c>
      <c r="C73" s="286" t="s">
        <v>1025</v>
      </c>
      <c r="D73" s="281">
        <v>1960</v>
      </c>
      <c r="E73" s="281"/>
      <c r="F73" s="281" t="s">
        <v>267</v>
      </c>
      <c r="G73" s="281" t="s">
        <v>303</v>
      </c>
      <c r="H73" s="281" t="s">
        <v>304</v>
      </c>
      <c r="I73" s="282">
        <v>306.60000000000002</v>
      </c>
      <c r="J73" s="282">
        <v>285.60000000000002</v>
      </c>
      <c r="K73" s="282">
        <f>J73-33.2</f>
        <v>252.40000000000003</v>
      </c>
      <c r="L73" s="283">
        <v>21</v>
      </c>
      <c r="M73" s="281" t="s">
        <v>266</v>
      </c>
      <c r="N73" s="281" t="s">
        <v>268</v>
      </c>
      <c r="O73" s="284">
        <v>1005353.44</v>
      </c>
      <c r="P73" s="284">
        <f t="shared" si="1"/>
        <v>3279.0392694063921</v>
      </c>
      <c r="Q73" s="190">
        <v>6168.9430136986293</v>
      </c>
    </row>
    <row r="74" spans="1:17" ht="35.25" x14ac:dyDescent="0.5">
      <c r="A74" s="6">
        <v>1</v>
      </c>
      <c r="B74" s="285">
        <f>SUBTOTAL(103,$A$64:A74)</f>
        <v>7</v>
      </c>
      <c r="C74" s="286" t="s">
        <v>784</v>
      </c>
      <c r="D74" s="281">
        <v>1960</v>
      </c>
      <c r="E74" s="281"/>
      <c r="F74" s="281" t="s">
        <v>267</v>
      </c>
      <c r="G74" s="281" t="s">
        <v>312</v>
      </c>
      <c r="H74" s="281" t="s">
        <v>303</v>
      </c>
      <c r="I74" s="282">
        <v>1286.5</v>
      </c>
      <c r="J74" s="282">
        <v>881.8</v>
      </c>
      <c r="K74" s="282">
        <f>J74-65.9</f>
        <v>815.9</v>
      </c>
      <c r="L74" s="283">
        <v>39</v>
      </c>
      <c r="M74" s="281" t="s">
        <v>266</v>
      </c>
      <c r="N74" s="281" t="s">
        <v>268</v>
      </c>
      <c r="O74" s="284">
        <v>2664800</v>
      </c>
      <c r="P74" s="284">
        <f t="shared" si="1"/>
        <v>2071.3563933151963</v>
      </c>
      <c r="Q74" s="190">
        <v>2913.6690244850365</v>
      </c>
    </row>
    <row r="75" spans="1:17" ht="35.25" x14ac:dyDescent="0.5">
      <c r="A75" s="6">
        <v>1</v>
      </c>
      <c r="B75" s="285">
        <f>SUBTOTAL(103,$A$64:A75)</f>
        <v>8</v>
      </c>
      <c r="C75" s="286" t="s">
        <v>776</v>
      </c>
      <c r="D75" s="281">
        <v>1965</v>
      </c>
      <c r="E75" s="281"/>
      <c r="F75" s="281" t="s">
        <v>267</v>
      </c>
      <c r="G75" s="281" t="s">
        <v>303</v>
      </c>
      <c r="H75" s="281" t="s">
        <v>312</v>
      </c>
      <c r="I75" s="282">
        <v>500</v>
      </c>
      <c r="J75" s="282">
        <v>481.6</v>
      </c>
      <c r="K75" s="282">
        <f>J75-69.3</f>
        <v>412.3</v>
      </c>
      <c r="L75" s="283">
        <v>50</v>
      </c>
      <c r="M75" s="281" t="s">
        <v>266</v>
      </c>
      <c r="N75" s="281" t="s">
        <v>268</v>
      </c>
      <c r="O75" s="284">
        <v>2436000</v>
      </c>
      <c r="P75" s="284">
        <f t="shared" ref="P75:P83" si="2">O75/I75</f>
        <v>4872</v>
      </c>
      <c r="Q75" s="190">
        <v>5635.6682000000001</v>
      </c>
    </row>
    <row r="76" spans="1:17" ht="35.25" x14ac:dyDescent="0.4">
      <c r="B76" s="286" t="s">
        <v>840</v>
      </c>
      <c r="C76" s="286"/>
      <c r="D76" s="281" t="s">
        <v>890</v>
      </c>
      <c r="E76" s="281" t="s">
        <v>890</v>
      </c>
      <c r="F76" s="281" t="s">
        <v>890</v>
      </c>
      <c r="G76" s="281" t="s">
        <v>890</v>
      </c>
      <c r="H76" s="281" t="s">
        <v>890</v>
      </c>
      <c r="I76" s="282">
        <f>I77</f>
        <v>1840.2</v>
      </c>
      <c r="J76" s="282">
        <f>J77</f>
        <v>1840.2</v>
      </c>
      <c r="K76" s="282">
        <f>K77</f>
        <v>1695.4</v>
      </c>
      <c r="L76" s="283">
        <f>L77</f>
        <v>77</v>
      </c>
      <c r="M76" s="281" t="s">
        <v>890</v>
      </c>
      <c r="N76" s="281" t="s">
        <v>890</v>
      </c>
      <c r="O76" s="284">
        <v>5538174.9500000002</v>
      </c>
      <c r="P76" s="284">
        <f t="shared" si="2"/>
        <v>3009.5505651559615</v>
      </c>
      <c r="Q76" s="190">
        <f>Q77</f>
        <v>3659.5822144332137</v>
      </c>
    </row>
    <row r="77" spans="1:17" ht="35.25" x14ac:dyDescent="0.5">
      <c r="A77" s="6">
        <v>1</v>
      </c>
      <c r="B77" s="285">
        <f>SUBTOTAL(103,$A$64:A77)</f>
        <v>9</v>
      </c>
      <c r="C77" s="286" t="s">
        <v>1027</v>
      </c>
      <c r="D77" s="281">
        <v>1986</v>
      </c>
      <c r="E77" s="281"/>
      <c r="F77" s="281" t="s">
        <v>267</v>
      </c>
      <c r="G77" s="281" t="s">
        <v>312</v>
      </c>
      <c r="H77" s="281" t="s">
        <v>312</v>
      </c>
      <c r="I77" s="282">
        <v>1840.2</v>
      </c>
      <c r="J77" s="282">
        <v>1840.2</v>
      </c>
      <c r="K77" s="282">
        <f>J77-144.8</f>
        <v>1695.4</v>
      </c>
      <c r="L77" s="283">
        <v>77</v>
      </c>
      <c r="M77" s="281" t="s">
        <v>341</v>
      </c>
      <c r="N77" s="281" t="s">
        <v>1058</v>
      </c>
      <c r="O77" s="284">
        <v>5538174.9500000002</v>
      </c>
      <c r="P77" s="284">
        <f t="shared" si="2"/>
        <v>3009.5505651559615</v>
      </c>
      <c r="Q77" s="190">
        <v>3659.5822144332137</v>
      </c>
    </row>
    <row r="78" spans="1:17" ht="35.25" x14ac:dyDescent="0.4">
      <c r="B78" s="286" t="s">
        <v>1701</v>
      </c>
      <c r="C78" s="286"/>
      <c r="D78" s="281" t="s">
        <v>890</v>
      </c>
      <c r="E78" s="281" t="s">
        <v>890</v>
      </c>
      <c r="F78" s="281" t="s">
        <v>890</v>
      </c>
      <c r="G78" s="281" t="s">
        <v>890</v>
      </c>
      <c r="H78" s="281" t="s">
        <v>890</v>
      </c>
      <c r="I78" s="282">
        <f>I79</f>
        <v>1257.7</v>
      </c>
      <c r="J78" s="282">
        <f>J79</f>
        <v>732.5</v>
      </c>
      <c r="K78" s="282">
        <f>K79</f>
        <v>732.5</v>
      </c>
      <c r="L78" s="283">
        <f>L79</f>
        <v>36</v>
      </c>
      <c r="M78" s="281" t="s">
        <v>890</v>
      </c>
      <c r="N78" s="281" t="s">
        <v>890</v>
      </c>
      <c r="O78" s="284">
        <v>3672464.4</v>
      </c>
      <c r="P78" s="284">
        <f t="shared" si="2"/>
        <v>2919.9844159974555</v>
      </c>
      <c r="Q78" s="190">
        <f>Q79</f>
        <v>3438.8307386499164</v>
      </c>
    </row>
    <row r="79" spans="1:17" ht="35.25" x14ac:dyDescent="0.5">
      <c r="A79" s="6">
        <v>1</v>
      </c>
      <c r="B79" s="285">
        <f>SUBTOTAL(103,$A$64:A79)</f>
        <v>10</v>
      </c>
      <c r="C79" s="286" t="s">
        <v>1700</v>
      </c>
      <c r="D79" s="281">
        <v>1972</v>
      </c>
      <c r="E79" s="281"/>
      <c r="F79" s="281" t="s">
        <v>267</v>
      </c>
      <c r="G79" s="281" t="s">
        <v>303</v>
      </c>
      <c r="H79" s="281" t="s">
        <v>303</v>
      </c>
      <c r="I79" s="282">
        <v>1257.7</v>
      </c>
      <c r="J79" s="282">
        <v>732.5</v>
      </c>
      <c r="K79" s="282">
        <f>J79</f>
        <v>732.5</v>
      </c>
      <c r="L79" s="283">
        <v>36</v>
      </c>
      <c r="M79" s="281" t="s">
        <v>341</v>
      </c>
      <c r="N79" s="281" t="s">
        <v>1702</v>
      </c>
      <c r="O79" s="284">
        <v>3672464.4</v>
      </c>
      <c r="P79" s="284">
        <f t="shared" si="2"/>
        <v>2919.9844159974555</v>
      </c>
      <c r="Q79" s="190">
        <v>3438.8307386499164</v>
      </c>
    </row>
    <row r="80" spans="1:17" ht="35.25" x14ac:dyDescent="0.4">
      <c r="B80" s="286" t="s">
        <v>851</v>
      </c>
      <c r="C80" s="286"/>
      <c r="D80" s="281" t="s">
        <v>890</v>
      </c>
      <c r="E80" s="281" t="s">
        <v>890</v>
      </c>
      <c r="F80" s="281" t="s">
        <v>890</v>
      </c>
      <c r="G80" s="281" t="s">
        <v>890</v>
      </c>
      <c r="H80" s="281" t="s">
        <v>890</v>
      </c>
      <c r="I80" s="282">
        <f>I81</f>
        <v>465</v>
      </c>
      <c r="J80" s="282">
        <f>J81</f>
        <v>424.6</v>
      </c>
      <c r="K80" s="282">
        <f>K81</f>
        <v>175.8</v>
      </c>
      <c r="L80" s="283">
        <f>L81</f>
        <v>26</v>
      </c>
      <c r="M80" s="281" t="s">
        <v>890</v>
      </c>
      <c r="N80" s="281" t="s">
        <v>890</v>
      </c>
      <c r="O80" s="284">
        <v>2476600</v>
      </c>
      <c r="P80" s="284">
        <f t="shared" si="2"/>
        <v>5326.0215053763441</v>
      </c>
      <c r="Q80" s="190">
        <f>Q81</f>
        <v>5326.0215053763441</v>
      </c>
    </row>
    <row r="81" spans="1:17" ht="35.25" x14ac:dyDescent="0.5">
      <c r="A81" s="6">
        <v>1</v>
      </c>
      <c r="B81" s="285">
        <f>SUBTOTAL(103,$A$64:A81)</f>
        <v>11</v>
      </c>
      <c r="C81" s="286" t="s">
        <v>1031</v>
      </c>
      <c r="D81" s="281">
        <v>1953</v>
      </c>
      <c r="E81" s="281"/>
      <c r="F81" s="281" t="s">
        <v>267</v>
      </c>
      <c r="G81" s="281" t="s">
        <v>303</v>
      </c>
      <c r="H81" s="281" t="s">
        <v>304</v>
      </c>
      <c r="I81" s="282">
        <v>465</v>
      </c>
      <c r="J81" s="282">
        <v>424.6</v>
      </c>
      <c r="K81" s="282">
        <f>J81-248.8</f>
        <v>175.8</v>
      </c>
      <c r="L81" s="283">
        <v>26</v>
      </c>
      <c r="M81" s="281" t="s">
        <v>266</v>
      </c>
      <c r="N81" s="281" t="s">
        <v>268</v>
      </c>
      <c r="O81" s="284">
        <v>2476600</v>
      </c>
      <c r="P81" s="284">
        <f t="shared" si="2"/>
        <v>5326.0215053763441</v>
      </c>
      <c r="Q81" s="190">
        <v>5326.0215053763441</v>
      </c>
    </row>
    <row r="82" spans="1:17" ht="35.25" x14ac:dyDescent="0.5">
      <c r="B82" s="288" t="s">
        <v>834</v>
      </c>
      <c r="C82" s="286"/>
      <c r="D82" s="281" t="s">
        <v>890</v>
      </c>
      <c r="E82" s="281" t="s">
        <v>890</v>
      </c>
      <c r="F82" s="281" t="s">
        <v>890</v>
      </c>
      <c r="G82" s="281" t="s">
        <v>890</v>
      </c>
      <c r="H82" s="281" t="s">
        <v>890</v>
      </c>
      <c r="I82" s="282">
        <f>I83</f>
        <v>1743.7</v>
      </c>
      <c r="J82" s="282">
        <f>J83</f>
        <v>1552.6</v>
      </c>
      <c r="K82" s="282">
        <f>K83</f>
        <v>1552.6</v>
      </c>
      <c r="L82" s="283">
        <f>L83</f>
        <v>65</v>
      </c>
      <c r="M82" s="281" t="s">
        <v>890</v>
      </c>
      <c r="N82" s="281" t="s">
        <v>890</v>
      </c>
      <c r="O82" s="284">
        <v>3628625</v>
      </c>
      <c r="P82" s="284">
        <f t="shared" si="2"/>
        <v>2080.9915696507428</v>
      </c>
      <c r="Q82" s="190">
        <f>Q83</f>
        <v>2668.4667660721452</v>
      </c>
    </row>
    <row r="83" spans="1:17" ht="35.25" x14ac:dyDescent="0.5">
      <c r="A83" s="6">
        <v>1</v>
      </c>
      <c r="B83" s="285">
        <f>SUBTOTAL(103,$A$64:A83)</f>
        <v>12</v>
      </c>
      <c r="C83" s="286" t="s">
        <v>1401</v>
      </c>
      <c r="D83" s="281">
        <v>1978</v>
      </c>
      <c r="E83" s="281"/>
      <c r="F83" s="281" t="s">
        <v>267</v>
      </c>
      <c r="G83" s="281" t="s">
        <v>312</v>
      </c>
      <c r="H83" s="281" t="s">
        <v>312</v>
      </c>
      <c r="I83" s="282">
        <v>1743.7</v>
      </c>
      <c r="J83" s="282">
        <v>1552.6</v>
      </c>
      <c r="K83" s="282">
        <f>J83</f>
        <v>1552.6</v>
      </c>
      <c r="L83" s="283">
        <v>65</v>
      </c>
      <c r="M83" s="281" t="s">
        <v>269</v>
      </c>
      <c r="N83" s="281" t="s">
        <v>810</v>
      </c>
      <c r="O83" s="284">
        <v>3628625</v>
      </c>
      <c r="P83" s="284">
        <f t="shared" si="2"/>
        <v>2080.9915696507428</v>
      </c>
      <c r="Q83" s="190">
        <v>2668.4667660721452</v>
      </c>
    </row>
    <row r="84" spans="1:17" ht="45.75" x14ac:dyDescent="0.25">
      <c r="B84" s="432" t="s">
        <v>1403</v>
      </c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4"/>
    </row>
    <row r="85" spans="1:17" ht="35.25" x14ac:dyDescent="0.5">
      <c r="B85" s="289" t="s">
        <v>1048</v>
      </c>
      <c r="C85" s="289"/>
      <c r="D85" s="290" t="s">
        <v>751</v>
      </c>
      <c r="E85" s="290" t="s">
        <v>751</v>
      </c>
      <c r="F85" s="291" t="s">
        <v>751</v>
      </c>
      <c r="G85" s="291" t="s">
        <v>751</v>
      </c>
      <c r="H85" s="291" t="s">
        <v>751</v>
      </c>
      <c r="I85" s="292">
        <f>I86+I95+I99+I116+I124+I129+I156+I172+I179+I182+I185+I187+I193+I195+I198+I201+I205+I207+I209+I211+I216+I218+I220+I222+I224+I226+I228+I231+I233+I237+I93+I235</f>
        <v>301139.78000000003</v>
      </c>
      <c r="J85" s="292">
        <f>J86+J95+J99+J116+J124+J129+J156+J172+J179+J182+J185+J187+J193+J195+J198+J201+J205+J207+J209+J211+J216+J218+J220+J222+J224+J226+J228+J231+J233+J237+J93+J235</f>
        <v>251457.20000000004</v>
      </c>
      <c r="K85" s="292">
        <f>K86+K95+K99+K116+K124+K129+K156+K172+K179+K182+K185+K187+K193+K195+K198+K201+K205+K207+K209+K211+K216+K218+K220+K222+K224+K226+K228+K231+K233+K237+K93+K235</f>
        <v>223969.73999999996</v>
      </c>
      <c r="L85" s="293">
        <f>L86+L95+L99+L116+L124+L129+L156+L172+L179+L182+L185+L187+L193+L195+L198+L201+L205+L207+L209+L211+L216+L218+L220+L222+L224+L226+L228+L231+L233+L237+L93+L235</f>
        <v>12523</v>
      </c>
      <c r="M85" s="290" t="s">
        <v>890</v>
      </c>
      <c r="N85" s="294" t="s">
        <v>890</v>
      </c>
      <c r="O85" s="292">
        <v>43945688.250000022</v>
      </c>
      <c r="P85" s="292">
        <f t="shared" ref="P85:P148" si="3">O85/I85</f>
        <v>145.93119597151866</v>
      </c>
      <c r="Q85" s="292">
        <f>MAX(Q86:Q238)</f>
        <v>13365.003411244476</v>
      </c>
    </row>
    <row r="86" spans="1:17" ht="35.25" x14ac:dyDescent="0.5">
      <c r="B86" s="289" t="s">
        <v>815</v>
      </c>
      <c r="C86" s="289"/>
      <c r="D86" s="290" t="s">
        <v>751</v>
      </c>
      <c r="E86" s="290" t="s">
        <v>751</v>
      </c>
      <c r="F86" s="291" t="s">
        <v>751</v>
      </c>
      <c r="G86" s="290" t="s">
        <v>751</v>
      </c>
      <c r="H86" s="290" t="s">
        <v>751</v>
      </c>
      <c r="I86" s="292">
        <f>SUM(I87:I92)</f>
        <v>13682.619999999999</v>
      </c>
      <c r="J86" s="292">
        <f>SUM(J87:J92)</f>
        <v>11157.02</v>
      </c>
      <c r="K86" s="292">
        <f>SUM(K87:K92)</f>
        <v>10128.199999999999</v>
      </c>
      <c r="L86" s="293">
        <f>SUM(L87:L92)</f>
        <v>744</v>
      </c>
      <c r="M86" s="290" t="s">
        <v>890</v>
      </c>
      <c r="N86" s="294" t="s">
        <v>890</v>
      </c>
      <c r="O86" s="292">
        <v>3100133.77</v>
      </c>
      <c r="P86" s="292">
        <f t="shared" si="3"/>
        <v>226.57457197525036</v>
      </c>
      <c r="Q86" s="292">
        <f>MAX(Q87:Q92)</f>
        <v>3575.8287148879731</v>
      </c>
    </row>
    <row r="87" spans="1:17" ht="35.25" x14ac:dyDescent="0.5">
      <c r="A87" s="6">
        <v>1</v>
      </c>
      <c r="B87" s="295">
        <v>1</v>
      </c>
      <c r="C87" s="296" t="s">
        <v>619</v>
      </c>
      <c r="D87" s="290">
        <v>1965</v>
      </c>
      <c r="E87" s="290"/>
      <c r="F87" s="291" t="s">
        <v>267</v>
      </c>
      <c r="G87" s="290">
        <v>5</v>
      </c>
      <c r="H87" s="290">
        <v>2</v>
      </c>
      <c r="I87" s="292">
        <v>2985.38</v>
      </c>
      <c r="J87" s="292">
        <v>2398.58</v>
      </c>
      <c r="K87" s="292">
        <v>1889.27</v>
      </c>
      <c r="L87" s="293">
        <v>202</v>
      </c>
      <c r="M87" s="290" t="s">
        <v>269</v>
      </c>
      <c r="N87" s="290" t="s">
        <v>1313</v>
      </c>
      <c r="O87" s="292">
        <v>546562.15</v>
      </c>
      <c r="P87" s="292">
        <f t="shared" si="3"/>
        <v>183.07959120781945</v>
      </c>
      <c r="Q87" s="292">
        <v>1856.8017672792071</v>
      </c>
    </row>
    <row r="88" spans="1:17" ht="35.25" x14ac:dyDescent="0.5">
      <c r="A88" s="6">
        <v>1</v>
      </c>
      <c r="B88" s="295">
        <v>2</v>
      </c>
      <c r="C88" s="296" t="s">
        <v>1407</v>
      </c>
      <c r="D88" s="290">
        <v>1986</v>
      </c>
      <c r="E88" s="290"/>
      <c r="F88" s="291" t="s">
        <v>267</v>
      </c>
      <c r="G88" s="290">
        <v>4</v>
      </c>
      <c r="H88" s="290">
        <v>1</v>
      </c>
      <c r="I88" s="292">
        <v>2374.1999999999998</v>
      </c>
      <c r="J88" s="292">
        <v>1689.3</v>
      </c>
      <c r="K88" s="292">
        <v>1639.4</v>
      </c>
      <c r="L88" s="293">
        <v>151</v>
      </c>
      <c r="M88" s="290" t="s">
        <v>269</v>
      </c>
      <c r="N88" s="294" t="s">
        <v>1500</v>
      </c>
      <c r="O88" s="292">
        <v>491248.27</v>
      </c>
      <c r="P88" s="292">
        <f t="shared" si="3"/>
        <v>206.91107320360544</v>
      </c>
      <c r="Q88" s="292">
        <v>2471.0182587819054</v>
      </c>
    </row>
    <row r="89" spans="1:17" ht="35.25" x14ac:dyDescent="0.5">
      <c r="A89" s="6">
        <v>1</v>
      </c>
      <c r="B89" s="295">
        <v>3</v>
      </c>
      <c r="C89" s="296" t="s">
        <v>1408</v>
      </c>
      <c r="D89" s="290">
        <v>1969</v>
      </c>
      <c r="E89" s="290"/>
      <c r="F89" s="291" t="s">
        <v>267</v>
      </c>
      <c r="G89" s="290">
        <v>5</v>
      </c>
      <c r="H89" s="290">
        <v>4</v>
      </c>
      <c r="I89" s="292">
        <v>2953.64</v>
      </c>
      <c r="J89" s="292">
        <v>2684.14</v>
      </c>
      <c r="K89" s="292">
        <v>2616.34</v>
      </c>
      <c r="L89" s="293">
        <v>107</v>
      </c>
      <c r="M89" s="290" t="s">
        <v>269</v>
      </c>
      <c r="N89" s="294" t="s">
        <v>1078</v>
      </c>
      <c r="O89" s="292">
        <v>1439722.57</v>
      </c>
      <c r="P89" s="292">
        <f t="shared" si="3"/>
        <v>487.44009764223131</v>
      </c>
      <c r="Q89" s="292">
        <v>1786.8611950000679</v>
      </c>
    </row>
    <row r="90" spans="1:17" ht="35.25" x14ac:dyDescent="0.5">
      <c r="A90" s="6">
        <v>1</v>
      </c>
      <c r="B90" s="295">
        <v>4</v>
      </c>
      <c r="C90" s="296" t="s">
        <v>1409</v>
      </c>
      <c r="D90" s="290">
        <v>1928</v>
      </c>
      <c r="E90" s="290"/>
      <c r="F90" s="291" t="s">
        <v>267</v>
      </c>
      <c r="G90" s="290">
        <v>3</v>
      </c>
      <c r="H90" s="290">
        <v>2</v>
      </c>
      <c r="I90" s="292">
        <v>884.1</v>
      </c>
      <c r="J90" s="292">
        <v>763.7</v>
      </c>
      <c r="K90" s="292">
        <v>441.4</v>
      </c>
      <c r="L90" s="293">
        <v>48</v>
      </c>
      <c r="M90" s="290" t="s">
        <v>269</v>
      </c>
      <c r="N90" s="290" t="s">
        <v>1501</v>
      </c>
      <c r="O90" s="292">
        <v>361374.29000000004</v>
      </c>
      <c r="P90" s="292">
        <f t="shared" si="3"/>
        <v>408.74820721637826</v>
      </c>
      <c r="Q90" s="292">
        <v>712.1</v>
      </c>
    </row>
    <row r="91" spans="1:17" ht="35.25" x14ac:dyDescent="0.5">
      <c r="A91" s="6">
        <v>1</v>
      </c>
      <c r="B91" s="295">
        <v>5</v>
      </c>
      <c r="C91" s="296" t="s">
        <v>1410</v>
      </c>
      <c r="D91" s="290">
        <v>1958</v>
      </c>
      <c r="E91" s="290"/>
      <c r="F91" s="291" t="s">
        <v>267</v>
      </c>
      <c r="G91" s="290">
        <v>3</v>
      </c>
      <c r="H91" s="290">
        <v>3</v>
      </c>
      <c r="I91" s="292">
        <v>2111.1</v>
      </c>
      <c r="J91" s="292">
        <v>1932</v>
      </c>
      <c r="K91" s="292">
        <v>1902.39</v>
      </c>
      <c r="L91" s="293">
        <v>85</v>
      </c>
      <c r="M91" s="290" t="s">
        <v>266</v>
      </c>
      <c r="N91" s="290" t="s">
        <v>268</v>
      </c>
      <c r="O91" s="292">
        <v>179920.82</v>
      </c>
      <c r="P91" s="292">
        <f t="shared" si="3"/>
        <v>85.226100137369144</v>
      </c>
      <c r="Q91" s="292">
        <v>3575.8287148879731</v>
      </c>
    </row>
    <row r="92" spans="1:17" ht="35.25" x14ac:dyDescent="0.5">
      <c r="A92" s="6">
        <v>1</v>
      </c>
      <c r="B92" s="295">
        <v>6</v>
      </c>
      <c r="C92" s="296" t="s">
        <v>1411</v>
      </c>
      <c r="D92" s="290">
        <v>1986</v>
      </c>
      <c r="E92" s="290"/>
      <c r="F92" s="291" t="s">
        <v>267</v>
      </c>
      <c r="G92" s="290">
        <v>4</v>
      </c>
      <c r="H92" s="290">
        <v>1</v>
      </c>
      <c r="I92" s="292">
        <v>2374.1999999999998</v>
      </c>
      <c r="J92" s="292">
        <v>1689.3</v>
      </c>
      <c r="K92" s="292">
        <v>1639.4</v>
      </c>
      <c r="L92" s="293">
        <v>151</v>
      </c>
      <c r="M92" s="290" t="s">
        <v>269</v>
      </c>
      <c r="N92" s="290" t="s">
        <v>1500</v>
      </c>
      <c r="O92" s="292">
        <v>81305.67</v>
      </c>
      <c r="P92" s="292">
        <f t="shared" si="3"/>
        <v>34.245501642658581</v>
      </c>
      <c r="Q92" s="292">
        <v>3015.1082469884595</v>
      </c>
    </row>
    <row r="93" spans="1:17" ht="35.25" x14ac:dyDescent="0.5">
      <c r="B93" s="289" t="s">
        <v>816</v>
      </c>
      <c r="C93" s="289"/>
      <c r="D93" s="290" t="s">
        <v>751</v>
      </c>
      <c r="E93" s="290" t="s">
        <v>751</v>
      </c>
      <c r="F93" s="291" t="s">
        <v>751</v>
      </c>
      <c r="G93" s="290" t="s">
        <v>751</v>
      </c>
      <c r="H93" s="290" t="s">
        <v>751</v>
      </c>
      <c r="I93" s="292">
        <f>I94</f>
        <v>4101.7</v>
      </c>
      <c r="J93" s="292">
        <f>J94</f>
        <v>2751.3</v>
      </c>
      <c r="K93" s="292">
        <f>K94</f>
        <v>2562.4</v>
      </c>
      <c r="L93" s="293">
        <f>L94</f>
        <v>111</v>
      </c>
      <c r="M93" s="290" t="s">
        <v>890</v>
      </c>
      <c r="N93" s="294" t="s">
        <v>890</v>
      </c>
      <c r="O93" s="292">
        <v>418959.01</v>
      </c>
      <c r="P93" s="292">
        <f t="shared" si="3"/>
        <v>102.14277250895971</v>
      </c>
      <c r="Q93" s="292">
        <f>Q94</f>
        <v>1300.5245849282007</v>
      </c>
    </row>
    <row r="94" spans="1:17" ht="35.25" x14ac:dyDescent="0.5">
      <c r="A94" s="6">
        <v>1</v>
      </c>
      <c r="B94" s="295">
        <v>7</v>
      </c>
      <c r="C94" s="296" t="s">
        <v>1927</v>
      </c>
      <c r="D94" s="290">
        <v>1980</v>
      </c>
      <c r="E94" s="290"/>
      <c r="F94" s="291" t="s">
        <v>267</v>
      </c>
      <c r="G94" s="290">
        <v>5</v>
      </c>
      <c r="H94" s="290">
        <v>4</v>
      </c>
      <c r="I94" s="292">
        <v>4101.7</v>
      </c>
      <c r="J94" s="292">
        <v>2751.3</v>
      </c>
      <c r="K94" s="292">
        <f>J94-188.9</f>
        <v>2562.4</v>
      </c>
      <c r="L94" s="293">
        <v>111</v>
      </c>
      <c r="M94" s="290" t="s">
        <v>269</v>
      </c>
      <c r="N94" s="290" t="s">
        <v>709</v>
      </c>
      <c r="O94" s="292">
        <v>418959.01</v>
      </c>
      <c r="P94" s="292">
        <f t="shared" si="3"/>
        <v>102.14277250895971</v>
      </c>
      <c r="Q94" s="292">
        <v>1300.5245849282007</v>
      </c>
    </row>
    <row r="95" spans="1:17" ht="35.25" x14ac:dyDescent="0.5">
      <c r="B95" s="289" t="s">
        <v>819</v>
      </c>
      <c r="C95" s="296"/>
      <c r="D95" s="290" t="s">
        <v>751</v>
      </c>
      <c r="E95" s="290" t="s">
        <v>751</v>
      </c>
      <c r="F95" s="290" t="s">
        <v>751</v>
      </c>
      <c r="G95" s="290" t="s">
        <v>751</v>
      </c>
      <c r="H95" s="290" t="s">
        <v>751</v>
      </c>
      <c r="I95" s="292">
        <f>I96+I97+I98</f>
        <v>2327.5</v>
      </c>
      <c r="J95" s="292">
        <f>J96+J97+J98</f>
        <v>2088.7999999999997</v>
      </c>
      <c r="K95" s="292">
        <f>K96+K97+K98</f>
        <v>1990.8000000000002</v>
      </c>
      <c r="L95" s="293">
        <f>L96+L97+L98</f>
        <v>106</v>
      </c>
      <c r="M95" s="290" t="s">
        <v>890</v>
      </c>
      <c r="N95" s="294" t="s">
        <v>890</v>
      </c>
      <c r="O95" s="292">
        <v>34418.18</v>
      </c>
      <c r="P95" s="292">
        <f t="shared" si="3"/>
        <v>14.787617615467239</v>
      </c>
      <c r="Q95" s="292">
        <f>MAX(Q96:Q98)</f>
        <v>6691.6217678893554</v>
      </c>
    </row>
    <row r="96" spans="1:17" ht="35.25" x14ac:dyDescent="0.5">
      <c r="A96" s="6">
        <v>1</v>
      </c>
      <c r="B96" s="295">
        <v>8</v>
      </c>
      <c r="C96" s="296" t="s">
        <v>1412</v>
      </c>
      <c r="D96" s="290">
        <v>1979</v>
      </c>
      <c r="E96" s="290"/>
      <c r="F96" s="291" t="s">
        <v>267</v>
      </c>
      <c r="G96" s="290">
        <v>2</v>
      </c>
      <c r="H96" s="290">
        <v>3</v>
      </c>
      <c r="I96" s="292">
        <v>1053.2</v>
      </c>
      <c r="J96" s="292">
        <v>928.3</v>
      </c>
      <c r="K96" s="292">
        <v>866</v>
      </c>
      <c r="L96" s="293">
        <v>38</v>
      </c>
      <c r="M96" s="290" t="s">
        <v>266</v>
      </c>
      <c r="N96" s="294" t="s">
        <v>268</v>
      </c>
      <c r="O96" s="292">
        <v>11221.62</v>
      </c>
      <c r="P96" s="292">
        <f t="shared" si="3"/>
        <v>10.654785415875427</v>
      </c>
      <c r="Q96" s="292">
        <v>5709.3759969616403</v>
      </c>
    </row>
    <row r="97" spans="1:17" ht="35.25" x14ac:dyDescent="0.5">
      <c r="A97" s="6">
        <v>1</v>
      </c>
      <c r="B97" s="295">
        <v>9</v>
      </c>
      <c r="C97" s="296" t="s">
        <v>1413</v>
      </c>
      <c r="D97" s="290">
        <v>1980</v>
      </c>
      <c r="E97" s="290"/>
      <c r="F97" s="291" t="s">
        <v>267</v>
      </c>
      <c r="G97" s="290">
        <v>2</v>
      </c>
      <c r="H97" s="290">
        <v>3</v>
      </c>
      <c r="I97" s="292">
        <v>941.7</v>
      </c>
      <c r="J97" s="292">
        <v>856.9</v>
      </c>
      <c r="K97" s="292">
        <v>856.9</v>
      </c>
      <c r="L97" s="293">
        <v>53</v>
      </c>
      <c r="M97" s="290" t="s">
        <v>266</v>
      </c>
      <c r="N97" s="294" t="s">
        <v>268</v>
      </c>
      <c r="O97" s="292">
        <v>19576.66</v>
      </c>
      <c r="P97" s="292">
        <f t="shared" si="3"/>
        <v>20.78863757035149</v>
      </c>
      <c r="Q97" s="292">
        <v>5155.2980779441432</v>
      </c>
    </row>
    <row r="98" spans="1:17" ht="35.25" x14ac:dyDescent="0.5">
      <c r="B98" s="295">
        <v>10</v>
      </c>
      <c r="C98" s="296" t="s">
        <v>1882</v>
      </c>
      <c r="D98" s="290">
        <v>1962</v>
      </c>
      <c r="E98" s="290"/>
      <c r="F98" s="291" t="s">
        <v>267</v>
      </c>
      <c r="G98" s="290">
        <v>2</v>
      </c>
      <c r="H98" s="290">
        <v>1</v>
      </c>
      <c r="I98" s="292">
        <v>332.6</v>
      </c>
      <c r="J98" s="292">
        <v>303.60000000000002</v>
      </c>
      <c r="K98" s="292">
        <v>267.89999999999998</v>
      </c>
      <c r="L98" s="293">
        <v>15</v>
      </c>
      <c r="M98" s="290" t="s">
        <v>266</v>
      </c>
      <c r="N98" s="294" t="s">
        <v>268</v>
      </c>
      <c r="O98" s="292">
        <v>3619.9</v>
      </c>
      <c r="P98" s="292">
        <f t="shared" si="3"/>
        <v>10.883644016837041</v>
      </c>
      <c r="Q98" s="292">
        <v>6691.6217678893554</v>
      </c>
    </row>
    <row r="99" spans="1:17" ht="35.25" x14ac:dyDescent="0.5">
      <c r="B99" s="289" t="s">
        <v>1044</v>
      </c>
      <c r="C99" s="296"/>
      <c r="D99" s="290" t="s">
        <v>751</v>
      </c>
      <c r="E99" s="290" t="s">
        <v>751</v>
      </c>
      <c r="F99" s="291" t="s">
        <v>751</v>
      </c>
      <c r="G99" s="290" t="s">
        <v>751</v>
      </c>
      <c r="H99" s="290" t="s">
        <v>751</v>
      </c>
      <c r="I99" s="292">
        <f>SUM(I100:I115)</f>
        <v>28928.739999999998</v>
      </c>
      <c r="J99" s="292">
        <f>SUM(J100:J115)</f>
        <v>24894.54</v>
      </c>
      <c r="K99" s="292">
        <f>SUM(K100:K115)</f>
        <v>22312.100000000002</v>
      </c>
      <c r="L99" s="293">
        <f>SUM(L100:L115)</f>
        <v>1177</v>
      </c>
      <c r="M99" s="290" t="s">
        <v>890</v>
      </c>
      <c r="N99" s="294" t="s">
        <v>890</v>
      </c>
      <c r="O99" s="292">
        <v>1921865.3299999994</v>
      </c>
      <c r="P99" s="292">
        <f t="shared" si="3"/>
        <v>66.434463789297411</v>
      </c>
      <c r="Q99" s="292">
        <f>MAX(Q100:Q115)</f>
        <v>13365.003411244476</v>
      </c>
    </row>
    <row r="100" spans="1:17" ht="35.25" x14ac:dyDescent="0.5">
      <c r="A100" s="6">
        <v>1</v>
      </c>
      <c r="B100" s="295">
        <v>11</v>
      </c>
      <c r="C100" s="296" t="s">
        <v>1414</v>
      </c>
      <c r="D100" s="290">
        <v>1966</v>
      </c>
      <c r="E100" s="290"/>
      <c r="F100" s="291" t="s">
        <v>267</v>
      </c>
      <c r="G100" s="290">
        <v>5</v>
      </c>
      <c r="H100" s="290">
        <v>4</v>
      </c>
      <c r="I100" s="292">
        <v>4070</v>
      </c>
      <c r="J100" s="292">
        <v>3151.1</v>
      </c>
      <c r="K100" s="292">
        <v>2925.4</v>
      </c>
      <c r="L100" s="293">
        <v>137</v>
      </c>
      <c r="M100" s="290" t="s">
        <v>269</v>
      </c>
      <c r="N100" s="294" t="s">
        <v>1503</v>
      </c>
      <c r="O100" s="292">
        <v>9167.9599999999991</v>
      </c>
      <c r="P100" s="292">
        <f t="shared" si="3"/>
        <v>2.2525700245700242</v>
      </c>
      <c r="Q100" s="292">
        <v>1790.8167076167076</v>
      </c>
    </row>
    <row r="101" spans="1:17" ht="35.25" x14ac:dyDescent="0.5">
      <c r="A101" s="6">
        <v>1</v>
      </c>
      <c r="B101" s="295">
        <v>12</v>
      </c>
      <c r="C101" s="296" t="s">
        <v>1415</v>
      </c>
      <c r="D101" s="290">
        <v>1960</v>
      </c>
      <c r="E101" s="290">
        <v>2006</v>
      </c>
      <c r="F101" s="291" t="s">
        <v>267</v>
      </c>
      <c r="G101" s="290">
        <v>2</v>
      </c>
      <c r="H101" s="290">
        <v>3</v>
      </c>
      <c r="I101" s="292">
        <v>1011.9</v>
      </c>
      <c r="J101" s="292">
        <v>804.7</v>
      </c>
      <c r="K101" s="292">
        <v>655.4</v>
      </c>
      <c r="L101" s="293">
        <v>42</v>
      </c>
      <c r="M101" s="290" t="s">
        <v>269</v>
      </c>
      <c r="N101" s="294" t="s">
        <v>1504</v>
      </c>
      <c r="O101" s="292">
        <v>208365.3</v>
      </c>
      <c r="P101" s="292">
        <f t="shared" si="3"/>
        <v>205.9149125407649</v>
      </c>
      <c r="Q101" s="292">
        <v>4682.6628362486417</v>
      </c>
    </row>
    <row r="102" spans="1:17" ht="35.25" x14ac:dyDescent="0.5">
      <c r="A102" s="6">
        <v>1</v>
      </c>
      <c r="B102" s="295">
        <v>13</v>
      </c>
      <c r="C102" s="296" t="s">
        <v>1416</v>
      </c>
      <c r="D102" s="290">
        <v>1951</v>
      </c>
      <c r="E102" s="290"/>
      <c r="F102" s="291" t="s">
        <v>267</v>
      </c>
      <c r="G102" s="290">
        <v>2</v>
      </c>
      <c r="H102" s="290">
        <v>2</v>
      </c>
      <c r="I102" s="292">
        <v>695</v>
      </c>
      <c r="J102" s="292">
        <v>626.9</v>
      </c>
      <c r="K102" s="292">
        <v>626.9</v>
      </c>
      <c r="L102" s="293">
        <v>33</v>
      </c>
      <c r="M102" s="290" t="s">
        <v>269</v>
      </c>
      <c r="N102" s="294" t="s">
        <v>989</v>
      </c>
      <c r="O102" s="292">
        <v>170151.06</v>
      </c>
      <c r="P102" s="292">
        <f t="shared" si="3"/>
        <v>244.82166906474819</v>
      </c>
      <c r="Q102" s="292">
        <v>7069.5158273381294</v>
      </c>
    </row>
    <row r="103" spans="1:17" ht="35.25" x14ac:dyDescent="0.5">
      <c r="A103" s="6">
        <v>1</v>
      </c>
      <c r="B103" s="295">
        <v>14</v>
      </c>
      <c r="C103" s="296" t="s">
        <v>1417</v>
      </c>
      <c r="D103" s="290">
        <v>1953</v>
      </c>
      <c r="E103" s="290">
        <v>2006</v>
      </c>
      <c r="F103" s="291" t="s">
        <v>267</v>
      </c>
      <c r="G103" s="290">
        <v>2</v>
      </c>
      <c r="H103" s="290">
        <v>1</v>
      </c>
      <c r="I103" s="292">
        <v>537.54</v>
      </c>
      <c r="J103" s="292">
        <v>501.3</v>
      </c>
      <c r="K103" s="292">
        <v>310.2</v>
      </c>
      <c r="L103" s="293">
        <v>37</v>
      </c>
      <c r="M103" s="290" t="s">
        <v>269</v>
      </c>
      <c r="N103" s="294" t="s">
        <v>1502</v>
      </c>
      <c r="O103" s="292">
        <v>39070.28</v>
      </c>
      <c r="P103" s="292">
        <f t="shared" si="3"/>
        <v>72.68348401979388</v>
      </c>
      <c r="Q103" s="292">
        <v>6016.9046024481904</v>
      </c>
    </row>
    <row r="104" spans="1:17" ht="35.25" x14ac:dyDescent="0.5">
      <c r="A104" s="6">
        <v>1</v>
      </c>
      <c r="B104" s="295">
        <v>15</v>
      </c>
      <c r="C104" s="296" t="s">
        <v>1418</v>
      </c>
      <c r="D104" s="290">
        <v>1958</v>
      </c>
      <c r="E104" s="290">
        <v>2007</v>
      </c>
      <c r="F104" s="291" t="s">
        <v>267</v>
      </c>
      <c r="G104" s="290">
        <v>2</v>
      </c>
      <c r="H104" s="290">
        <v>2</v>
      </c>
      <c r="I104" s="292">
        <v>854.8</v>
      </c>
      <c r="J104" s="292">
        <v>789.8</v>
      </c>
      <c r="K104" s="292">
        <v>434.07</v>
      </c>
      <c r="L104" s="293">
        <v>42</v>
      </c>
      <c r="M104" s="290" t="s">
        <v>269</v>
      </c>
      <c r="N104" s="294" t="s">
        <v>1504</v>
      </c>
      <c r="O104" s="292">
        <v>35421.97</v>
      </c>
      <c r="P104" s="292">
        <f t="shared" si="3"/>
        <v>41.438897987833414</v>
      </c>
      <c r="Q104" s="292">
        <v>4841.9480580252693</v>
      </c>
    </row>
    <row r="105" spans="1:17" ht="35.25" x14ac:dyDescent="0.5">
      <c r="A105" s="6">
        <v>1</v>
      </c>
      <c r="B105" s="295">
        <v>16</v>
      </c>
      <c r="C105" s="296" t="s">
        <v>1419</v>
      </c>
      <c r="D105" s="290">
        <v>1940</v>
      </c>
      <c r="E105" s="290"/>
      <c r="F105" s="291" t="s">
        <v>267</v>
      </c>
      <c r="G105" s="290">
        <v>3</v>
      </c>
      <c r="H105" s="290">
        <v>2</v>
      </c>
      <c r="I105" s="292">
        <v>1189.4000000000001</v>
      </c>
      <c r="J105" s="292">
        <v>1119.5999999999999</v>
      </c>
      <c r="K105" s="292">
        <v>1021.2</v>
      </c>
      <c r="L105" s="293">
        <v>46</v>
      </c>
      <c r="M105" s="290" t="s">
        <v>269</v>
      </c>
      <c r="N105" s="294" t="s">
        <v>349</v>
      </c>
      <c r="O105" s="292">
        <v>381944.5</v>
      </c>
      <c r="P105" s="292">
        <f t="shared" si="3"/>
        <v>321.12367580292585</v>
      </c>
      <c r="Q105" s="292">
        <v>3529.0621321674789</v>
      </c>
    </row>
    <row r="106" spans="1:17" ht="35.25" x14ac:dyDescent="0.5">
      <c r="A106" s="6">
        <v>1</v>
      </c>
      <c r="B106" s="295">
        <v>17</v>
      </c>
      <c r="C106" s="296" t="s">
        <v>1420</v>
      </c>
      <c r="D106" s="290">
        <v>1961</v>
      </c>
      <c r="E106" s="290"/>
      <c r="F106" s="291" t="s">
        <v>267</v>
      </c>
      <c r="G106" s="290">
        <v>4</v>
      </c>
      <c r="H106" s="290">
        <v>3</v>
      </c>
      <c r="I106" s="292">
        <v>2136.1</v>
      </c>
      <c r="J106" s="292">
        <v>1990.2</v>
      </c>
      <c r="K106" s="292">
        <v>1946.2</v>
      </c>
      <c r="L106" s="293">
        <v>89</v>
      </c>
      <c r="M106" s="290" t="s">
        <v>269</v>
      </c>
      <c r="N106" s="294" t="s">
        <v>989</v>
      </c>
      <c r="O106" s="292">
        <v>7571.98</v>
      </c>
      <c r="P106" s="292">
        <f t="shared" si="3"/>
        <v>3.5447685033472216</v>
      </c>
      <c r="Q106" s="292">
        <v>2107.6222728336688</v>
      </c>
    </row>
    <row r="107" spans="1:17" ht="35.25" x14ac:dyDescent="0.5">
      <c r="A107" s="6">
        <v>1</v>
      </c>
      <c r="B107" s="295">
        <v>18</v>
      </c>
      <c r="C107" s="296" t="s">
        <v>1421</v>
      </c>
      <c r="D107" s="290">
        <v>1935</v>
      </c>
      <c r="E107" s="290"/>
      <c r="F107" s="291" t="s">
        <v>267</v>
      </c>
      <c r="G107" s="290">
        <v>2</v>
      </c>
      <c r="H107" s="290">
        <v>2</v>
      </c>
      <c r="I107" s="292">
        <v>474.9</v>
      </c>
      <c r="J107" s="292">
        <v>427.5</v>
      </c>
      <c r="K107" s="292">
        <v>427.5</v>
      </c>
      <c r="L107" s="293">
        <v>15</v>
      </c>
      <c r="M107" s="290" t="s">
        <v>269</v>
      </c>
      <c r="N107" s="294" t="s">
        <v>349</v>
      </c>
      <c r="O107" s="292">
        <v>433416.75</v>
      </c>
      <c r="P107" s="292">
        <f t="shared" si="3"/>
        <v>912.64845230574861</v>
      </c>
      <c r="Q107" s="292">
        <v>13365.003411244476</v>
      </c>
    </row>
    <row r="108" spans="1:17" ht="35.25" x14ac:dyDescent="0.5">
      <c r="A108" s="6">
        <v>1</v>
      </c>
      <c r="B108" s="295">
        <v>19</v>
      </c>
      <c r="C108" s="296" t="s">
        <v>1117</v>
      </c>
      <c r="D108" s="290">
        <v>1991</v>
      </c>
      <c r="E108" s="290">
        <v>2010</v>
      </c>
      <c r="F108" s="291" t="s">
        <v>1318</v>
      </c>
      <c r="G108" s="290">
        <v>13</v>
      </c>
      <c r="H108" s="290">
        <v>1</v>
      </c>
      <c r="I108" s="292">
        <v>4135.3</v>
      </c>
      <c r="J108" s="292">
        <v>3928.9</v>
      </c>
      <c r="K108" s="292">
        <v>3680.79</v>
      </c>
      <c r="L108" s="293">
        <v>225</v>
      </c>
      <c r="M108" s="294" t="s">
        <v>269</v>
      </c>
      <c r="N108" s="297" t="s">
        <v>348</v>
      </c>
      <c r="O108" s="292">
        <v>167825.19</v>
      </c>
      <c r="P108" s="292">
        <f t="shared" si="3"/>
        <v>40.583558629361832</v>
      </c>
      <c r="Q108" s="292">
        <v>609.51312843082724</v>
      </c>
    </row>
    <row r="109" spans="1:17" ht="35.25" x14ac:dyDescent="0.5">
      <c r="A109" s="6">
        <v>1</v>
      </c>
      <c r="B109" s="295">
        <v>20</v>
      </c>
      <c r="C109" s="296" t="s">
        <v>1422</v>
      </c>
      <c r="D109" s="290">
        <v>1959</v>
      </c>
      <c r="E109" s="290"/>
      <c r="F109" s="291" t="s">
        <v>267</v>
      </c>
      <c r="G109" s="290">
        <v>4</v>
      </c>
      <c r="H109" s="290">
        <v>3</v>
      </c>
      <c r="I109" s="292">
        <v>3123</v>
      </c>
      <c r="J109" s="292">
        <v>2505.0300000000002</v>
      </c>
      <c r="K109" s="292">
        <v>2369.63</v>
      </c>
      <c r="L109" s="293">
        <v>89</v>
      </c>
      <c r="M109" s="297" t="s">
        <v>269</v>
      </c>
      <c r="N109" s="297" t="s">
        <v>1317</v>
      </c>
      <c r="O109" s="292">
        <v>11003.900000000001</v>
      </c>
      <c r="P109" s="292">
        <f t="shared" si="3"/>
        <v>3.5235030419468463</v>
      </c>
      <c r="Q109" s="292">
        <v>2408.8700608389372</v>
      </c>
    </row>
    <row r="110" spans="1:17" ht="35.25" x14ac:dyDescent="0.5">
      <c r="A110" s="6">
        <v>1</v>
      </c>
      <c r="B110" s="295">
        <v>21</v>
      </c>
      <c r="C110" s="296" t="s">
        <v>1489</v>
      </c>
      <c r="D110" s="290">
        <v>1953</v>
      </c>
      <c r="E110" s="290">
        <v>2008</v>
      </c>
      <c r="F110" s="291" t="s">
        <v>267</v>
      </c>
      <c r="G110" s="290">
        <v>2</v>
      </c>
      <c r="H110" s="290">
        <v>1</v>
      </c>
      <c r="I110" s="292">
        <v>520.79999999999995</v>
      </c>
      <c r="J110" s="292">
        <v>480.7</v>
      </c>
      <c r="K110" s="292">
        <v>406.6</v>
      </c>
      <c r="L110" s="293">
        <v>27</v>
      </c>
      <c r="M110" s="297" t="s">
        <v>269</v>
      </c>
      <c r="N110" s="297" t="s">
        <v>348</v>
      </c>
      <c r="O110" s="292">
        <v>111509.89</v>
      </c>
      <c r="P110" s="292">
        <f t="shared" si="3"/>
        <v>214.11269201228882</v>
      </c>
      <c r="Q110" s="292">
        <v>9325.2146313364065</v>
      </c>
    </row>
    <row r="111" spans="1:17" ht="35.25" x14ac:dyDescent="0.5">
      <c r="A111" s="6">
        <v>1</v>
      </c>
      <c r="B111" s="295">
        <v>22</v>
      </c>
      <c r="C111" s="296" t="s">
        <v>1490</v>
      </c>
      <c r="D111" s="290">
        <v>1936</v>
      </c>
      <c r="E111" s="290">
        <v>2008</v>
      </c>
      <c r="F111" s="291" t="s">
        <v>267</v>
      </c>
      <c r="G111" s="290">
        <v>3</v>
      </c>
      <c r="H111" s="290">
        <v>4</v>
      </c>
      <c r="I111" s="292">
        <v>1637.8</v>
      </c>
      <c r="J111" s="292">
        <v>1246.5999999999999</v>
      </c>
      <c r="K111" s="292">
        <v>1142.8</v>
      </c>
      <c r="L111" s="293">
        <v>53</v>
      </c>
      <c r="M111" s="297" t="s">
        <v>269</v>
      </c>
      <c r="N111" s="297" t="s">
        <v>349</v>
      </c>
      <c r="O111" s="292">
        <v>155632.46</v>
      </c>
      <c r="P111" s="292">
        <f t="shared" si="3"/>
        <v>95.025314446208327</v>
      </c>
      <c r="Q111" s="292">
        <v>2473.9829350348027</v>
      </c>
    </row>
    <row r="112" spans="1:17" ht="35.25" x14ac:dyDescent="0.5">
      <c r="A112" s="6">
        <v>1</v>
      </c>
      <c r="B112" s="295">
        <v>23</v>
      </c>
      <c r="C112" s="296" t="s">
        <v>1491</v>
      </c>
      <c r="D112" s="290">
        <v>1950</v>
      </c>
      <c r="E112" s="290"/>
      <c r="F112" s="291" t="s">
        <v>267</v>
      </c>
      <c r="G112" s="290">
        <v>2</v>
      </c>
      <c r="H112" s="290">
        <v>1</v>
      </c>
      <c r="I112" s="292">
        <v>459.9</v>
      </c>
      <c r="J112" s="292">
        <v>417.6</v>
      </c>
      <c r="K112" s="292">
        <v>417.6</v>
      </c>
      <c r="L112" s="293">
        <v>24</v>
      </c>
      <c r="M112" s="297" t="s">
        <v>269</v>
      </c>
      <c r="N112" s="297" t="s">
        <v>989</v>
      </c>
      <c r="O112" s="292">
        <v>7503.39</v>
      </c>
      <c r="P112" s="292">
        <f t="shared" si="3"/>
        <v>16.31526418786693</v>
      </c>
      <c r="Q112" s="292">
        <v>7782.6375298978046</v>
      </c>
    </row>
    <row r="113" spans="1:17" ht="35.25" x14ac:dyDescent="0.5">
      <c r="A113" s="6">
        <v>1</v>
      </c>
      <c r="B113" s="295">
        <v>24</v>
      </c>
      <c r="C113" s="296" t="s">
        <v>1492</v>
      </c>
      <c r="D113" s="290">
        <v>1961</v>
      </c>
      <c r="E113" s="290"/>
      <c r="F113" s="291" t="s">
        <v>267</v>
      </c>
      <c r="G113" s="290">
        <v>4</v>
      </c>
      <c r="H113" s="290">
        <v>2</v>
      </c>
      <c r="I113" s="292">
        <v>2794.3</v>
      </c>
      <c r="J113" s="292">
        <v>1973.11</v>
      </c>
      <c r="K113" s="292">
        <v>1887.11</v>
      </c>
      <c r="L113" s="293">
        <v>86</v>
      </c>
      <c r="M113" s="297" t="s">
        <v>269</v>
      </c>
      <c r="N113" s="297" t="s">
        <v>1562</v>
      </c>
      <c r="O113" s="292">
        <v>48190.02</v>
      </c>
      <c r="P113" s="292">
        <f t="shared" si="3"/>
        <v>17.245829009054145</v>
      </c>
      <c r="Q113" s="292">
        <v>1879.4381061446513</v>
      </c>
    </row>
    <row r="114" spans="1:17" ht="35.25" x14ac:dyDescent="0.5">
      <c r="A114" s="6">
        <v>1</v>
      </c>
      <c r="B114" s="295">
        <v>25</v>
      </c>
      <c r="C114" s="296" t="s">
        <v>1598</v>
      </c>
      <c r="D114" s="290">
        <v>1952</v>
      </c>
      <c r="E114" s="290"/>
      <c r="F114" s="291" t="s">
        <v>336</v>
      </c>
      <c r="G114" s="290">
        <v>2</v>
      </c>
      <c r="H114" s="290">
        <v>3</v>
      </c>
      <c r="I114" s="292">
        <v>1380</v>
      </c>
      <c r="J114" s="292">
        <v>1114.5</v>
      </c>
      <c r="K114" s="292">
        <v>895.5</v>
      </c>
      <c r="L114" s="293">
        <v>35</v>
      </c>
      <c r="M114" s="297" t="s">
        <v>269</v>
      </c>
      <c r="N114" s="297" t="s">
        <v>1597</v>
      </c>
      <c r="O114" s="292">
        <v>91476.549999999988</v>
      </c>
      <c r="P114" s="292">
        <f t="shared" si="3"/>
        <v>66.287355072463754</v>
      </c>
      <c r="Q114" s="292">
        <v>4993.9523913043477</v>
      </c>
    </row>
    <row r="115" spans="1:17" ht="35.25" x14ac:dyDescent="0.5">
      <c r="B115" s="295">
        <v>26</v>
      </c>
      <c r="C115" s="296" t="s">
        <v>1884</v>
      </c>
      <c r="D115" s="290" t="s">
        <v>374</v>
      </c>
      <c r="E115" s="290"/>
      <c r="F115" s="291" t="s">
        <v>311</v>
      </c>
      <c r="G115" s="290">
        <v>5</v>
      </c>
      <c r="H115" s="290">
        <v>4</v>
      </c>
      <c r="I115" s="292">
        <v>3908</v>
      </c>
      <c r="J115" s="292">
        <v>3817</v>
      </c>
      <c r="K115" s="292">
        <v>3165.2</v>
      </c>
      <c r="L115" s="293">
        <v>197</v>
      </c>
      <c r="M115" s="297" t="s">
        <v>269</v>
      </c>
      <c r="N115" s="294" t="s">
        <v>1690</v>
      </c>
      <c r="O115" s="292">
        <v>43614.13</v>
      </c>
      <c r="P115" s="292">
        <f t="shared" si="3"/>
        <v>11.160217502558853</v>
      </c>
      <c r="Q115" s="292">
        <v>1586.9595957011259</v>
      </c>
    </row>
    <row r="116" spans="1:17" ht="35.25" x14ac:dyDescent="0.5">
      <c r="B116" s="289" t="s">
        <v>823</v>
      </c>
      <c r="C116" s="296"/>
      <c r="D116" s="290" t="s">
        <v>751</v>
      </c>
      <c r="E116" s="290" t="s">
        <v>751</v>
      </c>
      <c r="F116" s="291" t="s">
        <v>751</v>
      </c>
      <c r="G116" s="290" t="s">
        <v>751</v>
      </c>
      <c r="H116" s="290" t="s">
        <v>751</v>
      </c>
      <c r="I116" s="292">
        <f>SUM(I117:I123)</f>
        <v>14909.5</v>
      </c>
      <c r="J116" s="292">
        <f>SUM(J117:J123)</f>
        <v>8883.0999999999985</v>
      </c>
      <c r="K116" s="292">
        <f>SUM(K117:K123)</f>
        <v>7514.1</v>
      </c>
      <c r="L116" s="293">
        <f>SUM(L117:L123)</f>
        <v>477</v>
      </c>
      <c r="M116" s="290" t="s">
        <v>890</v>
      </c>
      <c r="N116" s="294" t="s">
        <v>890</v>
      </c>
      <c r="O116" s="292">
        <v>2680155.8899999997</v>
      </c>
      <c r="P116" s="292">
        <f t="shared" si="3"/>
        <v>179.76162111405478</v>
      </c>
      <c r="Q116" s="292">
        <f>MAX(Q117:Q123)</f>
        <v>6142.803164774682</v>
      </c>
    </row>
    <row r="117" spans="1:17" ht="35.25" x14ac:dyDescent="0.5">
      <c r="A117" s="6">
        <v>1</v>
      </c>
      <c r="B117" s="295">
        <v>27</v>
      </c>
      <c r="C117" s="296" t="s">
        <v>1423</v>
      </c>
      <c r="D117" s="290">
        <v>1992</v>
      </c>
      <c r="E117" s="290"/>
      <c r="F117" s="291" t="s">
        <v>267</v>
      </c>
      <c r="G117" s="290">
        <v>3</v>
      </c>
      <c r="H117" s="290">
        <v>3</v>
      </c>
      <c r="I117" s="292">
        <v>3997</v>
      </c>
      <c r="J117" s="292">
        <v>1901.1</v>
      </c>
      <c r="K117" s="292">
        <v>1791.5</v>
      </c>
      <c r="L117" s="293">
        <v>73</v>
      </c>
      <c r="M117" s="290" t="s">
        <v>269</v>
      </c>
      <c r="N117" s="294" t="s">
        <v>1505</v>
      </c>
      <c r="O117" s="292">
        <v>502837.5</v>
      </c>
      <c r="P117" s="292">
        <f t="shared" si="3"/>
        <v>125.80372779584688</v>
      </c>
      <c r="Q117" s="292">
        <v>1869.1117338003501</v>
      </c>
    </row>
    <row r="118" spans="1:17" ht="35.25" x14ac:dyDescent="0.5">
      <c r="A118" s="6">
        <v>1</v>
      </c>
      <c r="B118" s="295">
        <v>28</v>
      </c>
      <c r="C118" s="296" t="s">
        <v>1424</v>
      </c>
      <c r="D118" s="290">
        <v>1983</v>
      </c>
      <c r="E118" s="290"/>
      <c r="F118" s="291" t="s">
        <v>311</v>
      </c>
      <c r="G118" s="290">
        <v>5</v>
      </c>
      <c r="H118" s="290">
        <v>4</v>
      </c>
      <c r="I118" s="292">
        <v>4357</v>
      </c>
      <c r="J118" s="292">
        <v>1821.4</v>
      </c>
      <c r="K118" s="292">
        <v>1678.3</v>
      </c>
      <c r="L118" s="293">
        <v>159</v>
      </c>
      <c r="M118" s="290" t="s">
        <v>269</v>
      </c>
      <c r="N118" s="294" t="s">
        <v>1505</v>
      </c>
      <c r="O118" s="292">
        <v>1853524.39</v>
      </c>
      <c r="P118" s="292">
        <f t="shared" si="3"/>
        <v>425.41298829469815</v>
      </c>
      <c r="Q118" s="292">
        <v>1213.5658136332338</v>
      </c>
    </row>
    <row r="119" spans="1:17" ht="35.25" x14ac:dyDescent="0.5">
      <c r="A119" s="6">
        <v>1</v>
      </c>
      <c r="B119" s="295">
        <v>29</v>
      </c>
      <c r="C119" s="296" t="s">
        <v>1425</v>
      </c>
      <c r="D119" s="290">
        <v>1940</v>
      </c>
      <c r="E119" s="290"/>
      <c r="F119" s="291" t="s">
        <v>267</v>
      </c>
      <c r="G119" s="290">
        <v>3</v>
      </c>
      <c r="H119" s="290">
        <v>3</v>
      </c>
      <c r="I119" s="292">
        <v>2021</v>
      </c>
      <c r="J119" s="292">
        <v>1886.9</v>
      </c>
      <c r="K119" s="292">
        <v>1320.5</v>
      </c>
      <c r="L119" s="293">
        <v>47</v>
      </c>
      <c r="M119" s="290" t="s">
        <v>269</v>
      </c>
      <c r="N119" s="294" t="s">
        <v>1506</v>
      </c>
      <c r="O119" s="292">
        <v>57982.38</v>
      </c>
      <c r="P119" s="292">
        <f t="shared" si="3"/>
        <v>28.689945571499255</v>
      </c>
      <c r="Q119" s="292">
        <v>3994.6523067788216</v>
      </c>
    </row>
    <row r="120" spans="1:17" ht="35.25" x14ac:dyDescent="0.5">
      <c r="A120" s="6">
        <v>1</v>
      </c>
      <c r="B120" s="295">
        <v>30</v>
      </c>
      <c r="C120" s="296" t="s">
        <v>1426</v>
      </c>
      <c r="D120" s="290">
        <v>1994</v>
      </c>
      <c r="E120" s="290"/>
      <c r="F120" s="291" t="s">
        <v>267</v>
      </c>
      <c r="G120" s="290">
        <v>3</v>
      </c>
      <c r="H120" s="290">
        <v>3</v>
      </c>
      <c r="I120" s="292">
        <v>1540.3</v>
      </c>
      <c r="J120" s="292">
        <v>1362.4</v>
      </c>
      <c r="K120" s="292">
        <v>1247.3</v>
      </c>
      <c r="L120" s="293">
        <v>65</v>
      </c>
      <c r="M120" s="290" t="s">
        <v>266</v>
      </c>
      <c r="N120" s="294" t="s">
        <v>268</v>
      </c>
      <c r="O120" s="292">
        <v>175548.91</v>
      </c>
      <c r="P120" s="292">
        <f t="shared" si="3"/>
        <v>113.97059663701877</v>
      </c>
      <c r="Q120" s="292">
        <v>3540.5132766344218</v>
      </c>
    </row>
    <row r="121" spans="1:17" ht="35.25" x14ac:dyDescent="0.5">
      <c r="A121" s="6">
        <v>1</v>
      </c>
      <c r="B121" s="295">
        <v>31</v>
      </c>
      <c r="C121" s="296" t="s">
        <v>1427</v>
      </c>
      <c r="D121" s="290">
        <v>1955</v>
      </c>
      <c r="E121" s="290"/>
      <c r="F121" s="291" t="s">
        <v>267</v>
      </c>
      <c r="G121" s="290">
        <v>2</v>
      </c>
      <c r="H121" s="290">
        <v>2</v>
      </c>
      <c r="I121" s="292">
        <v>872.1</v>
      </c>
      <c r="J121" s="292">
        <v>557</v>
      </c>
      <c r="K121" s="292">
        <v>255.4</v>
      </c>
      <c r="L121" s="293">
        <v>40</v>
      </c>
      <c r="M121" s="290" t="s">
        <v>269</v>
      </c>
      <c r="N121" s="294" t="s">
        <v>1506</v>
      </c>
      <c r="O121" s="292">
        <v>63565.37</v>
      </c>
      <c r="P121" s="292">
        <f t="shared" si="3"/>
        <v>72.887707831670681</v>
      </c>
      <c r="Q121" s="292">
        <v>6142.803164774682</v>
      </c>
    </row>
    <row r="122" spans="1:17" ht="35.25" x14ac:dyDescent="0.5">
      <c r="A122" s="6">
        <v>1</v>
      </c>
      <c r="B122" s="295">
        <v>32</v>
      </c>
      <c r="C122" s="296" t="s">
        <v>1428</v>
      </c>
      <c r="D122" s="290">
        <v>1928</v>
      </c>
      <c r="E122" s="290"/>
      <c r="F122" s="291" t="s">
        <v>267</v>
      </c>
      <c r="G122" s="290">
        <v>2</v>
      </c>
      <c r="H122" s="290">
        <v>2</v>
      </c>
      <c r="I122" s="292">
        <v>552</v>
      </c>
      <c r="J122" s="292">
        <v>401.5</v>
      </c>
      <c r="K122" s="292">
        <v>268.3</v>
      </c>
      <c r="L122" s="293">
        <v>32</v>
      </c>
      <c r="M122" s="290" t="s">
        <v>266</v>
      </c>
      <c r="N122" s="294" t="s">
        <v>268</v>
      </c>
      <c r="O122" s="292">
        <v>2454.27</v>
      </c>
      <c r="P122" s="292">
        <f t="shared" si="3"/>
        <v>4.446141304347826</v>
      </c>
      <c r="Q122" s="292">
        <v>5564.5550724637678</v>
      </c>
    </row>
    <row r="123" spans="1:17" ht="35.25" x14ac:dyDescent="0.5">
      <c r="B123" s="295">
        <v>33</v>
      </c>
      <c r="C123" s="296" t="s">
        <v>1885</v>
      </c>
      <c r="D123" s="290" t="s">
        <v>369</v>
      </c>
      <c r="E123" s="290"/>
      <c r="F123" s="291" t="s">
        <v>267</v>
      </c>
      <c r="G123" s="290">
        <v>3</v>
      </c>
      <c r="H123" s="290">
        <v>3</v>
      </c>
      <c r="I123" s="292">
        <v>1570.1</v>
      </c>
      <c r="J123" s="292">
        <v>952.8</v>
      </c>
      <c r="K123" s="292">
        <v>952.8</v>
      </c>
      <c r="L123" s="293">
        <v>61</v>
      </c>
      <c r="M123" s="290" t="s">
        <v>341</v>
      </c>
      <c r="N123" s="294" t="s">
        <v>1897</v>
      </c>
      <c r="O123" s="292">
        <v>24243.07</v>
      </c>
      <c r="P123" s="292">
        <f t="shared" si="3"/>
        <v>15.440462390930515</v>
      </c>
      <c r="Q123" s="292">
        <v>4082.5963314438573</v>
      </c>
    </row>
    <row r="124" spans="1:17" ht="35.25" x14ac:dyDescent="0.5">
      <c r="B124" s="289" t="s">
        <v>822</v>
      </c>
      <c r="C124" s="296"/>
      <c r="D124" s="290" t="s">
        <v>751</v>
      </c>
      <c r="E124" s="290" t="s">
        <v>751</v>
      </c>
      <c r="F124" s="291" t="s">
        <v>751</v>
      </c>
      <c r="G124" s="290" t="s">
        <v>751</v>
      </c>
      <c r="H124" s="290" t="s">
        <v>751</v>
      </c>
      <c r="I124" s="292">
        <f>SUM(I125:I128)</f>
        <v>3874.7000000000003</v>
      </c>
      <c r="J124" s="292">
        <f>SUM(J125:J128)</f>
        <v>2543</v>
      </c>
      <c r="K124" s="292">
        <f>SUM(K125:K128)</f>
        <v>1614</v>
      </c>
      <c r="L124" s="293">
        <f>SUM(L125:L128)</f>
        <v>141</v>
      </c>
      <c r="M124" s="290" t="s">
        <v>890</v>
      </c>
      <c r="N124" s="294" t="s">
        <v>890</v>
      </c>
      <c r="O124" s="292">
        <v>3091318.25</v>
      </c>
      <c r="P124" s="292">
        <f t="shared" si="3"/>
        <v>797.82131519859593</v>
      </c>
      <c r="Q124" s="292">
        <f>MAX(Q125:Q128)</f>
        <v>4684.4219827586203</v>
      </c>
    </row>
    <row r="125" spans="1:17" ht="35.25" x14ac:dyDescent="0.5">
      <c r="A125" s="6">
        <v>1</v>
      </c>
      <c r="B125" s="295">
        <v>34</v>
      </c>
      <c r="C125" s="296" t="s">
        <v>1429</v>
      </c>
      <c r="D125" s="290">
        <v>1965</v>
      </c>
      <c r="E125" s="290"/>
      <c r="F125" s="291" t="s">
        <v>267</v>
      </c>
      <c r="G125" s="290">
        <v>2</v>
      </c>
      <c r="H125" s="290">
        <v>2</v>
      </c>
      <c r="I125" s="292">
        <v>772.6</v>
      </c>
      <c r="J125" s="292">
        <v>450.9</v>
      </c>
      <c r="K125" s="292">
        <v>299.5</v>
      </c>
      <c r="L125" s="293">
        <v>27</v>
      </c>
      <c r="M125" s="290" t="s">
        <v>266</v>
      </c>
      <c r="N125" s="290" t="s">
        <v>268</v>
      </c>
      <c r="O125" s="292">
        <v>48915.49</v>
      </c>
      <c r="P125" s="292">
        <f t="shared" si="3"/>
        <v>63.312826818534816</v>
      </c>
      <c r="Q125" s="292">
        <v>3470.3241004400725</v>
      </c>
    </row>
    <row r="126" spans="1:17" ht="35.25" x14ac:dyDescent="0.5">
      <c r="A126" s="6">
        <v>1</v>
      </c>
      <c r="B126" s="295">
        <v>35</v>
      </c>
      <c r="C126" s="296" t="s">
        <v>1430</v>
      </c>
      <c r="D126" s="290">
        <v>1942</v>
      </c>
      <c r="E126" s="290"/>
      <c r="F126" s="291" t="s">
        <v>330</v>
      </c>
      <c r="G126" s="290">
        <v>2</v>
      </c>
      <c r="H126" s="290">
        <v>2</v>
      </c>
      <c r="I126" s="292">
        <v>842.2</v>
      </c>
      <c r="J126" s="292">
        <v>492.3</v>
      </c>
      <c r="K126" s="292">
        <v>352</v>
      </c>
      <c r="L126" s="293">
        <v>33</v>
      </c>
      <c r="M126" s="290" t="s">
        <v>266</v>
      </c>
      <c r="N126" s="290" t="s">
        <v>268</v>
      </c>
      <c r="O126" s="292">
        <v>14682.87</v>
      </c>
      <c r="P126" s="292">
        <f t="shared" si="3"/>
        <v>17.433946805984327</v>
      </c>
      <c r="Q126" s="292">
        <v>3925.3284255521253</v>
      </c>
    </row>
    <row r="127" spans="1:17" ht="35.25" x14ac:dyDescent="0.5">
      <c r="A127" s="6">
        <v>1</v>
      </c>
      <c r="B127" s="295">
        <v>36</v>
      </c>
      <c r="C127" s="296" t="s">
        <v>1431</v>
      </c>
      <c r="D127" s="290">
        <v>1933</v>
      </c>
      <c r="E127" s="290"/>
      <c r="F127" s="291" t="s">
        <v>267</v>
      </c>
      <c r="G127" s="290">
        <v>3</v>
      </c>
      <c r="H127" s="290">
        <v>3</v>
      </c>
      <c r="I127" s="292">
        <v>1795.9</v>
      </c>
      <c r="J127" s="292">
        <v>1183</v>
      </c>
      <c r="K127" s="292">
        <v>857.7</v>
      </c>
      <c r="L127" s="293">
        <v>48</v>
      </c>
      <c r="M127" s="290" t="s">
        <v>266</v>
      </c>
      <c r="N127" s="290" t="s">
        <v>268</v>
      </c>
      <c r="O127" s="292">
        <v>2981100.72</v>
      </c>
      <c r="P127" s="292">
        <f t="shared" si="3"/>
        <v>1659.94805946879</v>
      </c>
      <c r="Q127" s="292">
        <v>2645.259201514561</v>
      </c>
    </row>
    <row r="128" spans="1:17" ht="35.25" x14ac:dyDescent="0.5">
      <c r="A128" s="6">
        <v>1</v>
      </c>
      <c r="B128" s="295">
        <v>37</v>
      </c>
      <c r="C128" s="296" t="s">
        <v>1432</v>
      </c>
      <c r="D128" s="290">
        <v>1934</v>
      </c>
      <c r="E128" s="290"/>
      <c r="F128" s="291" t="s">
        <v>330</v>
      </c>
      <c r="G128" s="290">
        <v>2</v>
      </c>
      <c r="H128" s="290">
        <v>2</v>
      </c>
      <c r="I128" s="292">
        <v>464</v>
      </c>
      <c r="J128" s="292">
        <v>416.8</v>
      </c>
      <c r="K128" s="292">
        <v>104.80000000000001</v>
      </c>
      <c r="L128" s="293">
        <v>33</v>
      </c>
      <c r="M128" s="290" t="s">
        <v>266</v>
      </c>
      <c r="N128" s="290" t="s">
        <v>268</v>
      </c>
      <c r="O128" s="292">
        <v>46619.17</v>
      </c>
      <c r="P128" s="292">
        <f t="shared" si="3"/>
        <v>100.47234913793103</v>
      </c>
      <c r="Q128" s="292">
        <v>4684.4219827586203</v>
      </c>
    </row>
    <row r="129" spans="1:17" ht="35.25" x14ac:dyDescent="0.5">
      <c r="B129" s="289" t="s">
        <v>760</v>
      </c>
      <c r="C129" s="296"/>
      <c r="D129" s="290" t="s">
        <v>751</v>
      </c>
      <c r="E129" s="290" t="s">
        <v>751</v>
      </c>
      <c r="F129" s="291" t="s">
        <v>751</v>
      </c>
      <c r="G129" s="290" t="s">
        <v>751</v>
      </c>
      <c r="H129" s="290" t="s">
        <v>751</v>
      </c>
      <c r="I129" s="292">
        <f>SUM(I130:I155)</f>
        <v>53886.020000000004</v>
      </c>
      <c r="J129" s="292">
        <f>SUM(J130:J155)</f>
        <v>44025.96</v>
      </c>
      <c r="K129" s="292">
        <f>SUM(K130:K155)</f>
        <v>37797.509999999995</v>
      </c>
      <c r="L129" s="293">
        <f>SUM(L130:L155)</f>
        <v>1709</v>
      </c>
      <c r="M129" s="290" t="s">
        <v>890</v>
      </c>
      <c r="N129" s="294" t="s">
        <v>890</v>
      </c>
      <c r="O129" s="292">
        <v>8824746.5700000003</v>
      </c>
      <c r="P129" s="292">
        <f t="shared" si="3"/>
        <v>163.76690225034247</v>
      </c>
      <c r="Q129" s="292">
        <f>MAX(Q130:Q155)</f>
        <v>6843.6696229163299</v>
      </c>
    </row>
    <row r="130" spans="1:17" ht="35.25" x14ac:dyDescent="0.5">
      <c r="A130" s="6">
        <v>1</v>
      </c>
      <c r="B130" s="295">
        <v>38</v>
      </c>
      <c r="C130" s="296" t="s">
        <v>1433</v>
      </c>
      <c r="D130" s="290">
        <v>1962</v>
      </c>
      <c r="E130" s="290"/>
      <c r="F130" s="291" t="s">
        <v>267</v>
      </c>
      <c r="G130" s="290">
        <v>5</v>
      </c>
      <c r="H130" s="290">
        <v>2</v>
      </c>
      <c r="I130" s="292">
        <v>1612.2</v>
      </c>
      <c r="J130" s="292">
        <v>1358.8</v>
      </c>
      <c r="K130" s="292">
        <v>1358.8</v>
      </c>
      <c r="L130" s="293">
        <v>53</v>
      </c>
      <c r="M130" s="290" t="s">
        <v>269</v>
      </c>
      <c r="N130" s="290" t="s">
        <v>1507</v>
      </c>
      <c r="O130" s="292">
        <v>13000.44</v>
      </c>
      <c r="P130" s="292">
        <f t="shared" si="3"/>
        <v>8.0637886118347595</v>
      </c>
      <c r="Q130" s="292">
        <v>810.46</v>
      </c>
    </row>
    <row r="131" spans="1:17" ht="35.25" x14ac:dyDescent="0.5">
      <c r="A131" s="6">
        <v>1</v>
      </c>
      <c r="B131" s="295">
        <v>39</v>
      </c>
      <c r="C131" s="296" t="s">
        <v>1434</v>
      </c>
      <c r="D131" s="290">
        <v>1958</v>
      </c>
      <c r="E131" s="290"/>
      <c r="F131" s="291" t="s">
        <v>267</v>
      </c>
      <c r="G131" s="290">
        <v>4</v>
      </c>
      <c r="H131" s="290">
        <v>4</v>
      </c>
      <c r="I131" s="292">
        <v>5485.5</v>
      </c>
      <c r="J131" s="292">
        <v>4412.8</v>
      </c>
      <c r="K131" s="292">
        <v>3382.7</v>
      </c>
      <c r="L131" s="293">
        <v>96</v>
      </c>
      <c r="M131" s="290" t="s">
        <v>269</v>
      </c>
      <c r="N131" s="294" t="s">
        <v>1353</v>
      </c>
      <c r="O131" s="292">
        <v>2190830</v>
      </c>
      <c r="P131" s="292">
        <f t="shared" si="3"/>
        <v>399.385653085407</v>
      </c>
      <c r="Q131" s="292">
        <v>1898.1533132804666</v>
      </c>
    </row>
    <row r="132" spans="1:17" ht="35.25" x14ac:dyDescent="0.5">
      <c r="A132" s="6">
        <v>1</v>
      </c>
      <c r="B132" s="295">
        <v>40</v>
      </c>
      <c r="C132" s="296" t="s">
        <v>1435</v>
      </c>
      <c r="D132" s="290">
        <v>1929</v>
      </c>
      <c r="E132" s="290"/>
      <c r="F132" s="291" t="s">
        <v>267</v>
      </c>
      <c r="G132" s="290">
        <v>4</v>
      </c>
      <c r="H132" s="290">
        <v>5</v>
      </c>
      <c r="I132" s="292">
        <v>2469.13</v>
      </c>
      <c r="J132" s="292">
        <v>2349.9299999999998</v>
      </c>
      <c r="K132" s="292">
        <v>2349.9299999999998</v>
      </c>
      <c r="L132" s="293">
        <v>95</v>
      </c>
      <c r="M132" s="290" t="s">
        <v>269</v>
      </c>
      <c r="N132" s="294" t="s">
        <v>1508</v>
      </c>
      <c r="O132" s="292">
        <v>485978.33</v>
      </c>
      <c r="P132" s="292">
        <f t="shared" si="3"/>
        <v>196.82168618096253</v>
      </c>
      <c r="Q132" s="292">
        <v>2174.0740973541283</v>
      </c>
    </row>
    <row r="133" spans="1:17" ht="35.25" x14ac:dyDescent="0.5">
      <c r="A133" s="6">
        <v>1</v>
      </c>
      <c r="B133" s="295">
        <v>41</v>
      </c>
      <c r="C133" s="296" t="s">
        <v>1436</v>
      </c>
      <c r="D133" s="290">
        <v>1961</v>
      </c>
      <c r="E133" s="290"/>
      <c r="F133" s="291" t="s">
        <v>267</v>
      </c>
      <c r="G133" s="290">
        <v>4</v>
      </c>
      <c r="H133" s="290">
        <v>2</v>
      </c>
      <c r="I133" s="292">
        <v>1371.7</v>
      </c>
      <c r="J133" s="292">
        <v>1268.5999999999999</v>
      </c>
      <c r="K133" s="292">
        <v>1268.5999999999999</v>
      </c>
      <c r="L133" s="293">
        <v>55</v>
      </c>
      <c r="M133" s="290" t="s">
        <v>269</v>
      </c>
      <c r="N133" s="294" t="s">
        <v>1509</v>
      </c>
      <c r="O133" s="292">
        <v>450455.92</v>
      </c>
      <c r="P133" s="292">
        <f t="shared" si="3"/>
        <v>328.39244732813296</v>
      </c>
      <c r="Q133" s="292">
        <v>2265.8580739228692</v>
      </c>
    </row>
    <row r="134" spans="1:17" ht="35.25" x14ac:dyDescent="0.5">
      <c r="A134" s="6">
        <v>1</v>
      </c>
      <c r="B134" s="295">
        <v>42</v>
      </c>
      <c r="C134" s="296" t="s">
        <v>1437</v>
      </c>
      <c r="D134" s="290">
        <v>1959</v>
      </c>
      <c r="E134" s="290"/>
      <c r="F134" s="291" t="s">
        <v>267</v>
      </c>
      <c r="G134" s="290">
        <v>4</v>
      </c>
      <c r="H134" s="290">
        <v>3</v>
      </c>
      <c r="I134" s="292">
        <v>2155.1999999999998</v>
      </c>
      <c r="J134" s="292">
        <v>1435.2</v>
      </c>
      <c r="K134" s="292">
        <v>1184.7</v>
      </c>
      <c r="L134" s="293">
        <v>62</v>
      </c>
      <c r="M134" s="290" t="s">
        <v>269</v>
      </c>
      <c r="N134" s="294" t="s">
        <v>1510</v>
      </c>
      <c r="O134" s="292">
        <v>428766.45</v>
      </c>
      <c r="P134" s="292">
        <f t="shared" si="3"/>
        <v>198.94508630289533</v>
      </c>
      <c r="Q134" s="292">
        <v>1303.8348459539718</v>
      </c>
    </row>
    <row r="135" spans="1:17" ht="35.25" x14ac:dyDescent="0.5">
      <c r="A135" s="6">
        <v>1</v>
      </c>
      <c r="B135" s="295">
        <v>43</v>
      </c>
      <c r="C135" s="296" t="s">
        <v>1438</v>
      </c>
      <c r="D135" s="290">
        <v>1959</v>
      </c>
      <c r="E135" s="290"/>
      <c r="F135" s="291" t="s">
        <v>267</v>
      </c>
      <c r="G135" s="290">
        <v>4</v>
      </c>
      <c r="H135" s="290">
        <v>3</v>
      </c>
      <c r="I135" s="292">
        <v>3647.3</v>
      </c>
      <c r="J135" s="292">
        <v>2675.1</v>
      </c>
      <c r="K135" s="292">
        <v>2194.3000000000002</v>
      </c>
      <c r="L135" s="293">
        <v>61</v>
      </c>
      <c r="M135" s="290" t="s">
        <v>269</v>
      </c>
      <c r="N135" s="294" t="s">
        <v>1511</v>
      </c>
      <c r="O135" s="292">
        <v>1170243.6200000001</v>
      </c>
      <c r="P135" s="292">
        <f t="shared" si="3"/>
        <v>320.85203301072028</v>
      </c>
      <c r="Q135" s="292">
        <v>1980.5190140651989</v>
      </c>
    </row>
    <row r="136" spans="1:17" ht="35.25" x14ac:dyDescent="0.5">
      <c r="A136" s="6">
        <v>1</v>
      </c>
      <c r="B136" s="295">
        <v>44</v>
      </c>
      <c r="C136" s="296" t="s">
        <v>1439</v>
      </c>
      <c r="D136" s="290">
        <v>1973</v>
      </c>
      <c r="E136" s="290"/>
      <c r="F136" s="291" t="s">
        <v>267</v>
      </c>
      <c r="G136" s="290">
        <v>5</v>
      </c>
      <c r="H136" s="290">
        <v>6</v>
      </c>
      <c r="I136" s="292">
        <v>4358.8999999999996</v>
      </c>
      <c r="J136" s="292">
        <v>3381.5</v>
      </c>
      <c r="K136" s="292">
        <v>2777</v>
      </c>
      <c r="L136" s="293">
        <v>177</v>
      </c>
      <c r="M136" s="290" t="s">
        <v>269</v>
      </c>
      <c r="N136" s="294" t="s">
        <v>1390</v>
      </c>
      <c r="O136" s="292">
        <v>82236.160000000003</v>
      </c>
      <c r="P136" s="292">
        <f t="shared" si="3"/>
        <v>18.866264424510774</v>
      </c>
      <c r="Q136" s="292">
        <v>2368.146491087201</v>
      </c>
    </row>
    <row r="137" spans="1:17" ht="35.25" x14ac:dyDescent="0.5">
      <c r="A137" s="6">
        <v>1</v>
      </c>
      <c r="B137" s="295">
        <v>45</v>
      </c>
      <c r="C137" s="296" t="s">
        <v>1440</v>
      </c>
      <c r="D137" s="290">
        <v>1956</v>
      </c>
      <c r="E137" s="290"/>
      <c r="F137" s="291" t="s">
        <v>267</v>
      </c>
      <c r="G137" s="290">
        <v>4</v>
      </c>
      <c r="H137" s="290">
        <v>3</v>
      </c>
      <c r="I137" s="292">
        <v>4032.8</v>
      </c>
      <c r="J137" s="292">
        <v>3036.64</v>
      </c>
      <c r="K137" s="292">
        <v>2440.14</v>
      </c>
      <c r="L137" s="293">
        <v>93</v>
      </c>
      <c r="M137" s="290" t="s">
        <v>269</v>
      </c>
      <c r="N137" s="294" t="s">
        <v>1511</v>
      </c>
      <c r="O137" s="292">
        <v>253750</v>
      </c>
      <c r="P137" s="292">
        <f t="shared" si="3"/>
        <v>62.921543344574488</v>
      </c>
      <c r="Q137" s="292">
        <v>810.46</v>
      </c>
    </row>
    <row r="138" spans="1:17" ht="35.25" x14ac:dyDescent="0.5">
      <c r="A138" s="6">
        <v>1</v>
      </c>
      <c r="B138" s="295">
        <v>46</v>
      </c>
      <c r="C138" s="296" t="s">
        <v>1441</v>
      </c>
      <c r="D138" s="290">
        <v>1953</v>
      </c>
      <c r="E138" s="290"/>
      <c r="F138" s="291" t="s">
        <v>267</v>
      </c>
      <c r="G138" s="290">
        <v>2</v>
      </c>
      <c r="H138" s="290">
        <v>1</v>
      </c>
      <c r="I138" s="292">
        <v>617.9</v>
      </c>
      <c r="J138" s="292">
        <v>408.9</v>
      </c>
      <c r="K138" s="292">
        <v>408.9</v>
      </c>
      <c r="L138" s="293">
        <v>21</v>
      </c>
      <c r="M138" s="290" t="s">
        <v>266</v>
      </c>
      <c r="N138" s="294" t="s">
        <v>268</v>
      </c>
      <c r="O138" s="292">
        <v>23581.1</v>
      </c>
      <c r="P138" s="292">
        <f t="shared" si="3"/>
        <v>38.163295031558505</v>
      </c>
      <c r="Q138" s="292">
        <v>6843.6696229163299</v>
      </c>
    </row>
    <row r="139" spans="1:17" ht="35.25" x14ac:dyDescent="0.5">
      <c r="A139" s="6">
        <v>1</v>
      </c>
      <c r="B139" s="295">
        <v>47</v>
      </c>
      <c r="C139" s="296" t="s">
        <v>1442</v>
      </c>
      <c r="D139" s="290">
        <v>1937</v>
      </c>
      <c r="E139" s="290"/>
      <c r="F139" s="291" t="s">
        <v>267</v>
      </c>
      <c r="G139" s="290">
        <v>4</v>
      </c>
      <c r="H139" s="290">
        <v>6</v>
      </c>
      <c r="I139" s="292">
        <v>2381.6999999999998</v>
      </c>
      <c r="J139" s="292">
        <v>2256.8000000000002</v>
      </c>
      <c r="K139" s="292">
        <v>2256.8000000000002</v>
      </c>
      <c r="L139" s="293">
        <v>155</v>
      </c>
      <c r="M139" s="290" t="s">
        <v>269</v>
      </c>
      <c r="N139" s="294" t="s">
        <v>1602</v>
      </c>
      <c r="O139" s="292">
        <v>650544.2699999999</v>
      </c>
      <c r="P139" s="292">
        <f t="shared" si="3"/>
        <v>273.14282655246251</v>
      </c>
      <c r="Q139" s="292">
        <v>3456.4556829155649</v>
      </c>
    </row>
    <row r="140" spans="1:17" ht="35.25" x14ac:dyDescent="0.5">
      <c r="A140" s="6">
        <v>1</v>
      </c>
      <c r="B140" s="295">
        <v>48</v>
      </c>
      <c r="C140" s="296" t="s">
        <v>1443</v>
      </c>
      <c r="D140" s="290">
        <v>1955</v>
      </c>
      <c r="E140" s="290"/>
      <c r="F140" s="291" t="s">
        <v>267</v>
      </c>
      <c r="G140" s="290">
        <v>3</v>
      </c>
      <c r="H140" s="290">
        <v>3</v>
      </c>
      <c r="I140" s="292">
        <v>1854.6</v>
      </c>
      <c r="J140" s="292">
        <v>1281.7</v>
      </c>
      <c r="K140" s="292">
        <v>834.3</v>
      </c>
      <c r="L140" s="293">
        <v>34</v>
      </c>
      <c r="M140" s="290" t="s">
        <v>269</v>
      </c>
      <c r="N140" s="294" t="s">
        <v>1603</v>
      </c>
      <c r="O140" s="292">
        <v>186610.06</v>
      </c>
      <c r="P140" s="292">
        <f t="shared" si="3"/>
        <v>100.62011215356411</v>
      </c>
      <c r="Q140" s="292">
        <v>4091.4365361803088</v>
      </c>
    </row>
    <row r="141" spans="1:17" ht="35.25" x14ac:dyDescent="0.5">
      <c r="A141" s="6">
        <v>1</v>
      </c>
      <c r="B141" s="295">
        <v>49</v>
      </c>
      <c r="C141" s="296" t="s">
        <v>1444</v>
      </c>
      <c r="D141" s="290">
        <v>1929</v>
      </c>
      <c r="E141" s="290"/>
      <c r="F141" s="291" t="s">
        <v>267</v>
      </c>
      <c r="G141" s="290">
        <v>3</v>
      </c>
      <c r="H141" s="290">
        <v>5</v>
      </c>
      <c r="I141" s="292">
        <v>2240.83</v>
      </c>
      <c r="J141" s="292">
        <v>1864.33</v>
      </c>
      <c r="K141" s="292">
        <v>1864.33</v>
      </c>
      <c r="L141" s="293">
        <v>90</v>
      </c>
      <c r="M141" s="290" t="s">
        <v>269</v>
      </c>
      <c r="N141" s="294" t="s">
        <v>1353</v>
      </c>
      <c r="O141" s="292">
        <v>69345.69</v>
      </c>
      <c r="P141" s="292">
        <f t="shared" si="3"/>
        <v>30.946430563675069</v>
      </c>
      <c r="Q141" s="292">
        <v>919.08571154438323</v>
      </c>
    </row>
    <row r="142" spans="1:17" ht="35.25" x14ac:dyDescent="0.5">
      <c r="A142" s="6">
        <v>1</v>
      </c>
      <c r="B142" s="295">
        <v>50</v>
      </c>
      <c r="C142" s="296" t="s">
        <v>1445</v>
      </c>
      <c r="D142" s="290">
        <v>1959</v>
      </c>
      <c r="E142" s="290"/>
      <c r="F142" s="291" t="s">
        <v>267</v>
      </c>
      <c r="G142" s="290">
        <v>2</v>
      </c>
      <c r="H142" s="290">
        <v>1</v>
      </c>
      <c r="I142" s="292">
        <v>367.5</v>
      </c>
      <c r="J142" s="292">
        <v>251</v>
      </c>
      <c r="K142" s="292">
        <v>251</v>
      </c>
      <c r="L142" s="293">
        <v>14</v>
      </c>
      <c r="M142" s="290" t="s">
        <v>269</v>
      </c>
      <c r="N142" s="294" t="s">
        <v>986</v>
      </c>
      <c r="O142" s="292">
        <v>49508.61</v>
      </c>
      <c r="P142" s="292">
        <f t="shared" si="3"/>
        <v>134.71730612244897</v>
      </c>
      <c r="Q142" s="292">
        <v>5036.1629387755102</v>
      </c>
    </row>
    <row r="143" spans="1:17" ht="35.25" x14ac:dyDescent="0.5">
      <c r="A143" s="6">
        <v>1</v>
      </c>
      <c r="B143" s="295">
        <v>51</v>
      </c>
      <c r="C143" s="296" t="s">
        <v>1446</v>
      </c>
      <c r="D143" s="290">
        <v>1934</v>
      </c>
      <c r="E143" s="290"/>
      <c r="F143" s="291" t="s">
        <v>267</v>
      </c>
      <c r="G143" s="290">
        <v>3</v>
      </c>
      <c r="H143" s="290">
        <v>7</v>
      </c>
      <c r="I143" s="292">
        <v>2922</v>
      </c>
      <c r="J143" s="292">
        <v>2656.4</v>
      </c>
      <c r="K143" s="292">
        <v>2656.4</v>
      </c>
      <c r="L143" s="293">
        <v>95</v>
      </c>
      <c r="M143" s="290" t="s">
        <v>269</v>
      </c>
      <c r="N143" s="294" t="s">
        <v>986</v>
      </c>
      <c r="O143" s="292">
        <v>194179.65</v>
      </c>
      <c r="P143" s="292">
        <f t="shared" si="3"/>
        <v>66.454363449691996</v>
      </c>
      <c r="Q143" s="292">
        <v>3427.5668377823404</v>
      </c>
    </row>
    <row r="144" spans="1:17" ht="35.25" x14ac:dyDescent="0.5">
      <c r="A144" s="6">
        <v>1</v>
      </c>
      <c r="B144" s="295">
        <v>52</v>
      </c>
      <c r="C144" s="296" t="s">
        <v>1447</v>
      </c>
      <c r="D144" s="290">
        <v>1934</v>
      </c>
      <c r="E144" s="290"/>
      <c r="F144" s="291" t="s">
        <v>267</v>
      </c>
      <c r="G144" s="290">
        <v>3</v>
      </c>
      <c r="H144" s="290">
        <v>5</v>
      </c>
      <c r="I144" s="292">
        <v>1040.8</v>
      </c>
      <c r="J144" s="292">
        <v>878</v>
      </c>
      <c r="K144" s="292">
        <v>878</v>
      </c>
      <c r="L144" s="293">
        <v>58</v>
      </c>
      <c r="M144" s="290" t="s">
        <v>266</v>
      </c>
      <c r="N144" s="294" t="s">
        <v>268</v>
      </c>
      <c r="O144" s="292">
        <v>874380.28</v>
      </c>
      <c r="P144" s="292">
        <f t="shared" si="3"/>
        <v>840.10403535741739</v>
      </c>
      <c r="Q144" s="292">
        <v>4676.9404304381242</v>
      </c>
    </row>
    <row r="145" spans="1:17" ht="35.25" x14ac:dyDescent="0.5">
      <c r="A145" s="6">
        <v>1</v>
      </c>
      <c r="B145" s="295">
        <v>53</v>
      </c>
      <c r="C145" s="296" t="s">
        <v>1448</v>
      </c>
      <c r="D145" s="290">
        <v>1928</v>
      </c>
      <c r="E145" s="290"/>
      <c r="F145" s="291" t="s">
        <v>330</v>
      </c>
      <c r="G145" s="290">
        <v>2</v>
      </c>
      <c r="H145" s="290">
        <v>1</v>
      </c>
      <c r="I145" s="292">
        <v>286.10000000000002</v>
      </c>
      <c r="J145" s="292">
        <v>205.8</v>
      </c>
      <c r="K145" s="292">
        <v>205.8</v>
      </c>
      <c r="L145" s="293">
        <v>16</v>
      </c>
      <c r="M145" s="290" t="s">
        <v>266</v>
      </c>
      <c r="N145" s="294" t="s">
        <v>268</v>
      </c>
      <c r="O145" s="292">
        <v>37308.06</v>
      </c>
      <c r="P145" s="292">
        <f t="shared" si="3"/>
        <v>130.40216707444947</v>
      </c>
      <c r="Q145" s="292">
        <v>2420.2238378189445</v>
      </c>
    </row>
    <row r="146" spans="1:17" ht="35.25" x14ac:dyDescent="0.5">
      <c r="A146" s="6">
        <v>1</v>
      </c>
      <c r="B146" s="295">
        <v>54</v>
      </c>
      <c r="C146" s="296" t="s">
        <v>1449</v>
      </c>
      <c r="D146" s="290">
        <v>1958</v>
      </c>
      <c r="E146" s="290"/>
      <c r="F146" s="291" t="s">
        <v>267</v>
      </c>
      <c r="G146" s="290">
        <v>2</v>
      </c>
      <c r="H146" s="290">
        <v>1</v>
      </c>
      <c r="I146" s="292">
        <v>417.2</v>
      </c>
      <c r="J146" s="292">
        <v>385.8</v>
      </c>
      <c r="K146" s="292">
        <v>385.8</v>
      </c>
      <c r="L146" s="293">
        <v>20</v>
      </c>
      <c r="M146" s="290" t="s">
        <v>266</v>
      </c>
      <c r="N146" s="294" t="s">
        <v>268</v>
      </c>
      <c r="O146" s="292">
        <v>41021.47</v>
      </c>
      <c r="P146" s="292">
        <f t="shared" si="3"/>
        <v>98.325671140939605</v>
      </c>
      <c r="Q146" s="292">
        <v>4518.2655369127524</v>
      </c>
    </row>
    <row r="147" spans="1:17" ht="35.25" x14ac:dyDescent="0.5">
      <c r="A147" s="6">
        <v>1</v>
      </c>
      <c r="B147" s="295">
        <v>55</v>
      </c>
      <c r="C147" s="296" t="s">
        <v>1450</v>
      </c>
      <c r="D147" s="290">
        <v>1958</v>
      </c>
      <c r="E147" s="290"/>
      <c r="F147" s="291" t="s">
        <v>267</v>
      </c>
      <c r="G147" s="290">
        <v>4</v>
      </c>
      <c r="H147" s="290">
        <v>5</v>
      </c>
      <c r="I147" s="292">
        <v>3533.4</v>
      </c>
      <c r="J147" s="292">
        <v>3254</v>
      </c>
      <c r="K147" s="292">
        <v>3254</v>
      </c>
      <c r="L147" s="293">
        <v>98</v>
      </c>
      <c r="M147" s="290" t="s">
        <v>269</v>
      </c>
      <c r="N147" s="294" t="s">
        <v>1390</v>
      </c>
      <c r="O147" s="292">
        <v>504846.64999999997</v>
      </c>
      <c r="P147" s="292">
        <f t="shared" si="3"/>
        <v>142.87843153902756</v>
      </c>
      <c r="Q147" s="292">
        <v>6332.09859059263</v>
      </c>
    </row>
    <row r="148" spans="1:17" ht="35.25" x14ac:dyDescent="0.5">
      <c r="A148" s="6">
        <v>1</v>
      </c>
      <c r="B148" s="295">
        <v>56</v>
      </c>
      <c r="C148" s="296" t="s">
        <v>1493</v>
      </c>
      <c r="D148" s="290">
        <v>1958</v>
      </c>
      <c r="E148" s="290"/>
      <c r="F148" s="291" t="s">
        <v>267</v>
      </c>
      <c r="G148" s="290">
        <v>4</v>
      </c>
      <c r="H148" s="290">
        <v>4</v>
      </c>
      <c r="I148" s="292">
        <v>3399.9</v>
      </c>
      <c r="J148" s="292">
        <v>2625.8</v>
      </c>
      <c r="K148" s="292">
        <v>2062.6999999999998</v>
      </c>
      <c r="L148" s="293">
        <v>68</v>
      </c>
      <c r="M148" s="290" t="s">
        <v>269</v>
      </c>
      <c r="N148" s="294" t="s">
        <v>1563</v>
      </c>
      <c r="O148" s="292">
        <v>42749.45</v>
      </c>
      <c r="P148" s="292">
        <f t="shared" si="3"/>
        <v>12.573737462866553</v>
      </c>
      <c r="Q148" s="292">
        <v>3667.1465631342103</v>
      </c>
    </row>
    <row r="149" spans="1:17" ht="35.25" x14ac:dyDescent="0.5">
      <c r="A149" s="6">
        <v>1</v>
      </c>
      <c r="B149" s="295">
        <v>57</v>
      </c>
      <c r="C149" s="296" t="s">
        <v>1494</v>
      </c>
      <c r="D149" s="290">
        <v>1942</v>
      </c>
      <c r="E149" s="290"/>
      <c r="F149" s="291" t="s">
        <v>330</v>
      </c>
      <c r="G149" s="290">
        <v>2</v>
      </c>
      <c r="H149" s="290">
        <v>2</v>
      </c>
      <c r="I149" s="292">
        <v>489</v>
      </c>
      <c r="J149" s="292">
        <v>431</v>
      </c>
      <c r="K149" s="292">
        <v>431</v>
      </c>
      <c r="L149" s="293">
        <v>39</v>
      </c>
      <c r="M149" s="290" t="s">
        <v>266</v>
      </c>
      <c r="N149" s="294" t="s">
        <v>268</v>
      </c>
      <c r="O149" s="292">
        <v>65602.210000000006</v>
      </c>
      <c r="P149" s="292">
        <f t="shared" ref="P149:P212" si="4">O149/I149</f>
        <v>134.15584867075665</v>
      </c>
      <c r="Q149" s="292">
        <v>4684.4793456032721</v>
      </c>
    </row>
    <row r="150" spans="1:17" ht="35.25" x14ac:dyDescent="0.5">
      <c r="A150" s="6">
        <v>1</v>
      </c>
      <c r="B150" s="295">
        <v>58</v>
      </c>
      <c r="C150" s="296" t="s">
        <v>1495</v>
      </c>
      <c r="D150" s="290">
        <v>1931</v>
      </c>
      <c r="E150" s="290"/>
      <c r="F150" s="291" t="s">
        <v>267</v>
      </c>
      <c r="G150" s="290">
        <v>3</v>
      </c>
      <c r="H150" s="290">
        <v>5</v>
      </c>
      <c r="I150" s="292">
        <v>1823.46</v>
      </c>
      <c r="J150" s="292">
        <v>1514.06</v>
      </c>
      <c r="K150" s="292">
        <v>1514.06</v>
      </c>
      <c r="L150" s="293">
        <v>60</v>
      </c>
      <c r="M150" s="290" t="s">
        <v>269</v>
      </c>
      <c r="N150" s="294" t="s">
        <v>1390</v>
      </c>
      <c r="O150" s="292">
        <v>7245.74</v>
      </c>
      <c r="P150" s="292">
        <f t="shared" si="4"/>
        <v>3.9736215765632368</v>
      </c>
      <c r="Q150" s="292">
        <v>3247.6758470161121</v>
      </c>
    </row>
    <row r="151" spans="1:17" ht="35.25" x14ac:dyDescent="0.5">
      <c r="A151" s="6">
        <v>1</v>
      </c>
      <c r="B151" s="295">
        <v>59</v>
      </c>
      <c r="C151" s="296" t="s">
        <v>1670</v>
      </c>
      <c r="D151" s="290">
        <v>1984</v>
      </c>
      <c r="E151" s="290"/>
      <c r="F151" s="291" t="s">
        <v>311</v>
      </c>
      <c r="G151" s="290">
        <v>5</v>
      </c>
      <c r="H151" s="290">
        <v>5</v>
      </c>
      <c r="I151" s="292">
        <v>4724.5</v>
      </c>
      <c r="J151" s="292">
        <v>4003.6</v>
      </c>
      <c r="K151" s="292">
        <v>1759.6</v>
      </c>
      <c r="L151" s="293">
        <v>146</v>
      </c>
      <c r="M151" s="290" t="s">
        <v>269</v>
      </c>
      <c r="N151" s="294" t="s">
        <v>1508</v>
      </c>
      <c r="O151" s="292">
        <v>16859.560000000001</v>
      </c>
      <c r="P151" s="292">
        <f t="shared" si="4"/>
        <v>3.5685384696793316</v>
      </c>
      <c r="Q151" s="292">
        <v>1239.69308921579</v>
      </c>
    </row>
    <row r="152" spans="1:17" ht="35.25" x14ac:dyDescent="0.5">
      <c r="B152" s="295">
        <v>60</v>
      </c>
      <c r="C152" s="296" t="s">
        <v>1886</v>
      </c>
      <c r="D152" s="290">
        <v>1959</v>
      </c>
      <c r="E152" s="290"/>
      <c r="F152" s="291" t="s">
        <v>267</v>
      </c>
      <c r="G152" s="290">
        <v>2</v>
      </c>
      <c r="H152" s="290">
        <v>1</v>
      </c>
      <c r="I152" s="292">
        <v>416.5</v>
      </c>
      <c r="J152" s="292">
        <v>259.3</v>
      </c>
      <c r="K152" s="292">
        <v>259.3</v>
      </c>
      <c r="L152" s="293">
        <v>14</v>
      </c>
      <c r="M152" s="297" t="s">
        <v>269</v>
      </c>
      <c r="N152" s="294" t="s">
        <v>1898</v>
      </c>
      <c r="O152" s="292">
        <v>27161.4</v>
      </c>
      <c r="P152" s="292">
        <f t="shared" si="4"/>
        <v>65.213445378151263</v>
      </c>
      <c r="Q152" s="292">
        <v>5399.9066506602639</v>
      </c>
    </row>
    <row r="153" spans="1:17" ht="35.25" x14ac:dyDescent="0.5">
      <c r="B153" s="295">
        <v>61</v>
      </c>
      <c r="C153" s="296" t="s">
        <v>1887</v>
      </c>
      <c r="D153" s="290">
        <v>1959</v>
      </c>
      <c r="E153" s="290"/>
      <c r="F153" s="291" t="s">
        <v>267</v>
      </c>
      <c r="G153" s="290">
        <v>3</v>
      </c>
      <c r="H153" s="290">
        <v>2</v>
      </c>
      <c r="I153" s="292">
        <v>1142</v>
      </c>
      <c r="J153" s="292">
        <v>934</v>
      </c>
      <c r="K153" s="292">
        <v>922.45</v>
      </c>
      <c r="L153" s="293">
        <v>42</v>
      </c>
      <c r="M153" s="297" t="s">
        <v>269</v>
      </c>
      <c r="N153" s="294" t="s">
        <v>1899</v>
      </c>
      <c r="O153" s="292">
        <v>843836.3</v>
      </c>
      <c r="P153" s="292">
        <f t="shared" si="4"/>
        <v>738.91094570928203</v>
      </c>
      <c r="Q153" s="292">
        <v>3248.1514886164623</v>
      </c>
    </row>
    <row r="154" spans="1:17" ht="35.25" x14ac:dyDescent="0.5">
      <c r="B154" s="295">
        <v>62</v>
      </c>
      <c r="C154" s="296" t="s">
        <v>1888</v>
      </c>
      <c r="D154" s="290" t="s">
        <v>366</v>
      </c>
      <c r="E154" s="290"/>
      <c r="F154" s="291" t="s">
        <v>330</v>
      </c>
      <c r="G154" s="290">
        <v>2</v>
      </c>
      <c r="H154" s="290">
        <v>2</v>
      </c>
      <c r="I154" s="292">
        <v>485</v>
      </c>
      <c r="J154" s="292">
        <v>329.7</v>
      </c>
      <c r="K154" s="292">
        <v>329.7</v>
      </c>
      <c r="L154" s="293">
        <v>21</v>
      </c>
      <c r="M154" s="297" t="s">
        <v>269</v>
      </c>
      <c r="N154" s="294" t="s">
        <v>806</v>
      </c>
      <c r="O154" s="292">
        <v>92522.930000000008</v>
      </c>
      <c r="P154" s="292">
        <f t="shared" si="4"/>
        <v>190.76892783505156</v>
      </c>
      <c r="Q154" s="292">
        <v>5702.6237113402058</v>
      </c>
    </row>
    <row r="155" spans="1:17" ht="35.25" x14ac:dyDescent="0.5">
      <c r="B155" s="295">
        <v>63</v>
      </c>
      <c r="C155" s="296" t="s">
        <v>1889</v>
      </c>
      <c r="D155" s="290" t="s">
        <v>306</v>
      </c>
      <c r="E155" s="290"/>
      <c r="F155" s="291" t="s">
        <v>267</v>
      </c>
      <c r="G155" s="290">
        <v>2</v>
      </c>
      <c r="H155" s="290">
        <v>2</v>
      </c>
      <c r="I155" s="292">
        <v>610.9</v>
      </c>
      <c r="J155" s="292">
        <v>567.20000000000005</v>
      </c>
      <c r="K155" s="292">
        <v>567.20000000000005</v>
      </c>
      <c r="L155" s="293">
        <v>26</v>
      </c>
      <c r="M155" s="297" t="s">
        <v>269</v>
      </c>
      <c r="N155" s="294" t="s">
        <v>1898</v>
      </c>
      <c r="O155" s="292">
        <v>22182.22</v>
      </c>
      <c r="P155" s="292">
        <f t="shared" si="4"/>
        <v>36.310721885742353</v>
      </c>
      <c r="Q155" s="292">
        <v>5656.5537731216236</v>
      </c>
    </row>
    <row r="156" spans="1:17" ht="35.25" x14ac:dyDescent="0.5">
      <c r="B156" s="289" t="s">
        <v>1404</v>
      </c>
      <c r="C156" s="296"/>
      <c r="D156" s="290" t="s">
        <v>751</v>
      </c>
      <c r="E156" s="290" t="s">
        <v>751</v>
      </c>
      <c r="F156" s="291" t="s">
        <v>751</v>
      </c>
      <c r="G156" s="290" t="s">
        <v>751</v>
      </c>
      <c r="H156" s="290" t="s">
        <v>751</v>
      </c>
      <c r="I156" s="292">
        <f>SUM(I157:I171)</f>
        <v>47621.47</v>
      </c>
      <c r="J156" s="292">
        <f>SUM(J157:J171)</f>
        <v>44795.68</v>
      </c>
      <c r="K156" s="292">
        <f>SUM(K157:K171)</f>
        <v>40469.659999999996</v>
      </c>
      <c r="L156" s="293">
        <f>SUM(L157:L171)</f>
        <v>2263</v>
      </c>
      <c r="M156" s="290" t="s">
        <v>890</v>
      </c>
      <c r="N156" s="294" t="s">
        <v>890</v>
      </c>
      <c r="O156" s="292">
        <v>5257534.7999999989</v>
      </c>
      <c r="P156" s="292">
        <f t="shared" si="4"/>
        <v>110.40261461899431</v>
      </c>
      <c r="Q156" s="292">
        <f>MAX(Q157:Q171)</f>
        <v>6899.7434211921372</v>
      </c>
    </row>
    <row r="157" spans="1:17" ht="35.25" x14ac:dyDescent="0.5">
      <c r="A157" s="6">
        <v>1</v>
      </c>
      <c r="B157" s="295">
        <f>B155+1</f>
        <v>64</v>
      </c>
      <c r="C157" s="296" t="s">
        <v>1451</v>
      </c>
      <c r="D157" s="290">
        <v>1968</v>
      </c>
      <c r="E157" s="290"/>
      <c r="F157" s="291" t="s">
        <v>267</v>
      </c>
      <c r="G157" s="290">
        <v>6</v>
      </c>
      <c r="H157" s="290">
        <v>8</v>
      </c>
      <c r="I157" s="292">
        <v>6064</v>
      </c>
      <c r="J157" s="292">
        <v>5971</v>
      </c>
      <c r="K157" s="292">
        <v>5128.3999999999996</v>
      </c>
      <c r="L157" s="293">
        <v>268</v>
      </c>
      <c r="M157" s="290" t="s">
        <v>341</v>
      </c>
      <c r="N157" s="294" t="s">
        <v>1512</v>
      </c>
      <c r="O157" s="292">
        <v>1768733.14</v>
      </c>
      <c r="P157" s="292">
        <f t="shared" si="4"/>
        <v>291.67762862796832</v>
      </c>
      <c r="Q157" s="292">
        <v>2097.8129106200527</v>
      </c>
    </row>
    <row r="158" spans="1:17" ht="35.25" x14ac:dyDescent="0.5">
      <c r="A158" s="6">
        <v>1</v>
      </c>
      <c r="B158" s="295">
        <f t="shared" ref="B158:B171" si="5">B157+1</f>
        <v>65</v>
      </c>
      <c r="C158" s="296" t="s">
        <v>1452</v>
      </c>
      <c r="D158" s="290">
        <v>1983</v>
      </c>
      <c r="E158" s="290"/>
      <c r="F158" s="291" t="s">
        <v>267</v>
      </c>
      <c r="G158" s="290">
        <v>5</v>
      </c>
      <c r="H158" s="290">
        <v>6</v>
      </c>
      <c r="I158" s="292">
        <v>4247.2</v>
      </c>
      <c r="J158" s="292">
        <v>3821.7</v>
      </c>
      <c r="K158" s="292">
        <v>3620.8</v>
      </c>
      <c r="L158" s="293">
        <v>176</v>
      </c>
      <c r="M158" s="290" t="s">
        <v>269</v>
      </c>
      <c r="N158" s="294" t="s">
        <v>1513</v>
      </c>
      <c r="O158" s="292">
        <v>224063.98</v>
      </c>
      <c r="P158" s="292">
        <f t="shared" si="4"/>
        <v>52.755693162554159</v>
      </c>
      <c r="Q158" s="292">
        <v>1739.0844556413638</v>
      </c>
    </row>
    <row r="159" spans="1:17" ht="35.25" x14ac:dyDescent="0.5">
      <c r="A159" s="6">
        <v>1</v>
      </c>
      <c r="B159" s="295">
        <f t="shared" si="5"/>
        <v>66</v>
      </c>
      <c r="C159" s="296" t="s">
        <v>1453</v>
      </c>
      <c r="D159" s="290">
        <v>1973</v>
      </c>
      <c r="E159" s="290"/>
      <c r="F159" s="291" t="s">
        <v>267</v>
      </c>
      <c r="G159" s="290">
        <v>5</v>
      </c>
      <c r="H159" s="290">
        <v>8</v>
      </c>
      <c r="I159" s="292">
        <v>6143</v>
      </c>
      <c r="J159" s="292">
        <v>6075.43</v>
      </c>
      <c r="K159" s="292">
        <v>5422.03</v>
      </c>
      <c r="L159" s="293">
        <v>275</v>
      </c>
      <c r="M159" s="290" t="s">
        <v>269</v>
      </c>
      <c r="N159" s="294" t="s">
        <v>1514</v>
      </c>
      <c r="O159" s="292">
        <v>31696.09</v>
      </c>
      <c r="P159" s="292">
        <f t="shared" si="4"/>
        <v>5.1597086114276411</v>
      </c>
      <c r="Q159" s="292">
        <v>1954.5346736122415</v>
      </c>
    </row>
    <row r="160" spans="1:17" ht="35.25" x14ac:dyDescent="0.5">
      <c r="A160" s="6">
        <v>1</v>
      </c>
      <c r="B160" s="295">
        <f t="shared" si="5"/>
        <v>67</v>
      </c>
      <c r="C160" s="296" t="s">
        <v>1454</v>
      </c>
      <c r="D160" s="290">
        <v>1961</v>
      </c>
      <c r="E160" s="290"/>
      <c r="F160" s="291" t="s">
        <v>267</v>
      </c>
      <c r="G160" s="290">
        <v>4</v>
      </c>
      <c r="H160" s="290">
        <v>3</v>
      </c>
      <c r="I160" s="292">
        <v>2176</v>
      </c>
      <c r="J160" s="292">
        <v>2029.3</v>
      </c>
      <c r="K160" s="292">
        <v>1988.8</v>
      </c>
      <c r="L160" s="293">
        <v>89</v>
      </c>
      <c r="M160" s="290" t="s">
        <v>269</v>
      </c>
      <c r="N160" s="294" t="s">
        <v>1338</v>
      </c>
      <c r="O160" s="292">
        <v>97154.82</v>
      </c>
      <c r="P160" s="292">
        <f t="shared" si="4"/>
        <v>44.648354779411768</v>
      </c>
      <c r="Q160" s="292">
        <v>2201.133823529412</v>
      </c>
    </row>
    <row r="161" spans="1:17" ht="35.25" x14ac:dyDescent="0.5">
      <c r="A161" s="6">
        <v>1</v>
      </c>
      <c r="B161" s="295">
        <f t="shared" si="5"/>
        <v>68</v>
      </c>
      <c r="C161" s="296" t="s">
        <v>1455</v>
      </c>
      <c r="D161" s="290">
        <v>1961</v>
      </c>
      <c r="E161" s="290"/>
      <c r="F161" s="291" t="s">
        <v>267</v>
      </c>
      <c r="G161" s="290">
        <v>2</v>
      </c>
      <c r="H161" s="290">
        <v>2</v>
      </c>
      <c r="I161" s="292">
        <v>588.42999999999995</v>
      </c>
      <c r="J161" s="292">
        <v>546.92999999999995</v>
      </c>
      <c r="K161" s="292">
        <v>516.08000000000004</v>
      </c>
      <c r="L161" s="293">
        <v>30</v>
      </c>
      <c r="M161" s="290" t="s">
        <v>269</v>
      </c>
      <c r="N161" s="294" t="s">
        <v>987</v>
      </c>
      <c r="O161" s="292">
        <v>115006.25</v>
      </c>
      <c r="P161" s="292">
        <f t="shared" si="4"/>
        <v>195.4459323963768</v>
      </c>
      <c r="Q161" s="292">
        <v>5728.7843923661276</v>
      </c>
    </row>
    <row r="162" spans="1:17" ht="35.25" x14ac:dyDescent="0.5">
      <c r="A162" s="6">
        <v>1</v>
      </c>
      <c r="B162" s="295">
        <f t="shared" si="5"/>
        <v>69</v>
      </c>
      <c r="C162" s="296" t="s">
        <v>1456</v>
      </c>
      <c r="D162" s="290">
        <v>1963</v>
      </c>
      <c r="E162" s="290"/>
      <c r="F162" s="291" t="s">
        <v>267</v>
      </c>
      <c r="G162" s="290">
        <v>4</v>
      </c>
      <c r="H162" s="290">
        <v>4</v>
      </c>
      <c r="I162" s="292">
        <v>2368</v>
      </c>
      <c r="J162" s="292">
        <v>2347.9899999999998</v>
      </c>
      <c r="K162" s="292">
        <v>2199.56</v>
      </c>
      <c r="L162" s="293">
        <v>87</v>
      </c>
      <c r="M162" s="290" t="s">
        <v>269</v>
      </c>
      <c r="N162" s="294" t="s">
        <v>1515</v>
      </c>
      <c r="O162" s="292">
        <v>1485022.6</v>
      </c>
      <c r="P162" s="292">
        <f t="shared" si="4"/>
        <v>627.12103040540546</v>
      </c>
      <c r="Q162" s="292">
        <v>3402.2519425675673</v>
      </c>
    </row>
    <row r="163" spans="1:17" ht="35.25" x14ac:dyDescent="0.5">
      <c r="A163" s="6">
        <v>1</v>
      </c>
      <c r="B163" s="295">
        <f t="shared" si="5"/>
        <v>70</v>
      </c>
      <c r="C163" s="296" t="s">
        <v>1457</v>
      </c>
      <c r="D163" s="290">
        <v>1971</v>
      </c>
      <c r="E163" s="290"/>
      <c r="F163" s="291" t="s">
        <v>267</v>
      </c>
      <c r="G163" s="290">
        <v>4</v>
      </c>
      <c r="H163" s="290">
        <v>1</v>
      </c>
      <c r="I163" s="292">
        <v>1601</v>
      </c>
      <c r="J163" s="292">
        <v>1473.9</v>
      </c>
      <c r="K163" s="292">
        <v>1166.5999999999999</v>
      </c>
      <c r="L163" s="293">
        <v>103</v>
      </c>
      <c r="M163" s="290" t="s">
        <v>269</v>
      </c>
      <c r="N163" s="294" t="s">
        <v>987</v>
      </c>
      <c r="O163" s="292">
        <v>179270.28</v>
      </c>
      <c r="P163" s="292">
        <f t="shared" si="4"/>
        <v>111.97394128669582</v>
      </c>
      <c r="Q163" s="292">
        <v>2715.2677076826981</v>
      </c>
    </row>
    <row r="164" spans="1:17" ht="35.25" x14ac:dyDescent="0.5">
      <c r="A164" s="6">
        <v>1</v>
      </c>
      <c r="B164" s="295">
        <f t="shared" si="5"/>
        <v>71</v>
      </c>
      <c r="C164" s="296" t="s">
        <v>1458</v>
      </c>
      <c r="D164" s="290">
        <v>1963</v>
      </c>
      <c r="E164" s="290"/>
      <c r="F164" s="291" t="s">
        <v>267</v>
      </c>
      <c r="G164" s="290">
        <v>2</v>
      </c>
      <c r="H164" s="290">
        <v>2</v>
      </c>
      <c r="I164" s="292">
        <v>1027.9000000000001</v>
      </c>
      <c r="J164" s="292">
        <v>620.86</v>
      </c>
      <c r="K164" s="292">
        <v>620.86</v>
      </c>
      <c r="L164" s="293">
        <v>40</v>
      </c>
      <c r="M164" s="290" t="s">
        <v>269</v>
      </c>
      <c r="N164" s="294" t="s">
        <v>1516</v>
      </c>
      <c r="O164" s="292">
        <v>21660.55</v>
      </c>
      <c r="P164" s="292">
        <f t="shared" si="4"/>
        <v>21.072623796089111</v>
      </c>
      <c r="Q164" s="292">
        <v>3539.0644031520569</v>
      </c>
    </row>
    <row r="165" spans="1:17" ht="35.25" x14ac:dyDescent="0.5">
      <c r="A165" s="6">
        <v>1</v>
      </c>
      <c r="B165" s="295">
        <f t="shared" si="5"/>
        <v>72</v>
      </c>
      <c r="C165" s="296" t="s">
        <v>1459</v>
      </c>
      <c r="D165" s="290">
        <v>2003</v>
      </c>
      <c r="E165" s="290"/>
      <c r="F165" s="291" t="s">
        <v>267</v>
      </c>
      <c r="G165" s="290">
        <v>5</v>
      </c>
      <c r="H165" s="290">
        <v>8</v>
      </c>
      <c r="I165" s="292">
        <v>6514</v>
      </c>
      <c r="J165" s="292">
        <v>5845.8</v>
      </c>
      <c r="K165" s="292">
        <v>5845.8</v>
      </c>
      <c r="L165" s="293">
        <v>360</v>
      </c>
      <c r="M165" s="290" t="s">
        <v>269</v>
      </c>
      <c r="N165" s="294" t="s">
        <v>1517</v>
      </c>
      <c r="O165" s="292">
        <v>825558.04</v>
      </c>
      <c r="P165" s="292">
        <f t="shared" si="4"/>
        <v>126.73595947190667</v>
      </c>
      <c r="Q165" s="292">
        <v>1547.5018882407121</v>
      </c>
    </row>
    <row r="166" spans="1:17" ht="35.25" x14ac:dyDescent="0.5">
      <c r="A166" s="6">
        <v>1</v>
      </c>
      <c r="B166" s="295">
        <f t="shared" si="5"/>
        <v>73</v>
      </c>
      <c r="C166" s="296" t="s">
        <v>1460</v>
      </c>
      <c r="D166" s="290">
        <v>1960</v>
      </c>
      <c r="E166" s="290"/>
      <c r="F166" s="291" t="s">
        <v>267</v>
      </c>
      <c r="G166" s="290">
        <v>2</v>
      </c>
      <c r="H166" s="290">
        <v>2</v>
      </c>
      <c r="I166" s="292">
        <v>585.54999999999995</v>
      </c>
      <c r="J166" s="292">
        <v>545.35</v>
      </c>
      <c r="K166" s="292">
        <v>433.53000000000003</v>
      </c>
      <c r="L166" s="293">
        <v>34</v>
      </c>
      <c r="M166" s="290" t="s">
        <v>269</v>
      </c>
      <c r="N166" s="294" t="s">
        <v>1516</v>
      </c>
      <c r="O166" s="292">
        <v>58127.710000000006</v>
      </c>
      <c r="P166" s="292">
        <f t="shared" si="4"/>
        <v>99.270275809068423</v>
      </c>
      <c r="Q166" s="292">
        <v>5001.2210742037405</v>
      </c>
    </row>
    <row r="167" spans="1:17" ht="35.25" x14ac:dyDescent="0.5">
      <c r="A167" s="6">
        <v>1</v>
      </c>
      <c r="B167" s="295">
        <f t="shared" si="5"/>
        <v>74</v>
      </c>
      <c r="C167" s="296" t="s">
        <v>1159</v>
      </c>
      <c r="D167" s="290">
        <v>1989</v>
      </c>
      <c r="E167" s="290"/>
      <c r="F167" s="291" t="s">
        <v>267</v>
      </c>
      <c r="G167" s="290">
        <v>9</v>
      </c>
      <c r="H167" s="290">
        <v>1</v>
      </c>
      <c r="I167" s="292">
        <v>3494</v>
      </c>
      <c r="J167" s="292">
        <v>3277.11</v>
      </c>
      <c r="K167" s="292">
        <v>3141.61</v>
      </c>
      <c r="L167" s="293">
        <v>159</v>
      </c>
      <c r="M167" s="290" t="s">
        <v>269</v>
      </c>
      <c r="N167" s="294" t="s">
        <v>1518</v>
      </c>
      <c r="O167" s="292">
        <v>174209.85</v>
      </c>
      <c r="P167" s="292">
        <f t="shared" si="4"/>
        <v>49.859716657126505</v>
      </c>
      <c r="Q167" s="292">
        <v>889.23216370921568</v>
      </c>
    </row>
    <row r="168" spans="1:17" ht="35.25" x14ac:dyDescent="0.5">
      <c r="A168" s="6">
        <v>1</v>
      </c>
      <c r="B168" s="295">
        <f t="shared" si="5"/>
        <v>75</v>
      </c>
      <c r="C168" s="296" t="s">
        <v>1461</v>
      </c>
      <c r="D168" s="290">
        <v>1987</v>
      </c>
      <c r="E168" s="290"/>
      <c r="F168" s="291" t="s">
        <v>311</v>
      </c>
      <c r="G168" s="290">
        <v>5</v>
      </c>
      <c r="H168" s="290">
        <v>6</v>
      </c>
      <c r="I168" s="292">
        <v>4362</v>
      </c>
      <c r="J168" s="292">
        <v>3933.6</v>
      </c>
      <c r="K168" s="292">
        <v>3462.6</v>
      </c>
      <c r="L168" s="293">
        <v>234</v>
      </c>
      <c r="M168" s="294" t="s">
        <v>269</v>
      </c>
      <c r="N168" s="297" t="s">
        <v>321</v>
      </c>
      <c r="O168" s="292">
        <v>101365.01</v>
      </c>
      <c r="P168" s="292">
        <f t="shared" si="4"/>
        <v>23.238195781751489</v>
      </c>
      <c r="Q168" s="292">
        <v>1591.8651765245299</v>
      </c>
    </row>
    <row r="169" spans="1:17" ht="35.25" x14ac:dyDescent="0.5">
      <c r="A169" s="6">
        <v>1</v>
      </c>
      <c r="B169" s="295">
        <f t="shared" si="5"/>
        <v>76</v>
      </c>
      <c r="C169" s="296" t="s">
        <v>1498</v>
      </c>
      <c r="D169" s="290">
        <v>1966</v>
      </c>
      <c r="E169" s="290"/>
      <c r="F169" s="291" t="s">
        <v>267</v>
      </c>
      <c r="G169" s="290">
        <v>5</v>
      </c>
      <c r="H169" s="290">
        <v>4</v>
      </c>
      <c r="I169" s="292">
        <v>3416</v>
      </c>
      <c r="J169" s="292">
        <v>3392</v>
      </c>
      <c r="K169" s="292">
        <v>2976.63</v>
      </c>
      <c r="L169" s="293">
        <v>150</v>
      </c>
      <c r="M169" s="294" t="s">
        <v>269</v>
      </c>
      <c r="N169" s="297" t="s">
        <v>1516</v>
      </c>
      <c r="O169" s="292">
        <v>70328.740000000005</v>
      </c>
      <c r="P169" s="292">
        <f t="shared" si="4"/>
        <v>20.588038641686182</v>
      </c>
      <c r="Q169" s="292">
        <v>712.1</v>
      </c>
    </row>
    <row r="170" spans="1:17" ht="35.25" x14ac:dyDescent="0.5">
      <c r="B170" s="295">
        <f t="shared" si="5"/>
        <v>77</v>
      </c>
      <c r="C170" s="296" t="s">
        <v>1890</v>
      </c>
      <c r="D170" s="290">
        <v>1972</v>
      </c>
      <c r="E170" s="290"/>
      <c r="F170" s="291" t="s">
        <v>267</v>
      </c>
      <c r="G170" s="290">
        <v>5</v>
      </c>
      <c r="H170" s="290">
        <v>6</v>
      </c>
      <c r="I170" s="292">
        <v>4562.8</v>
      </c>
      <c r="J170" s="292">
        <v>4499.5</v>
      </c>
      <c r="K170" s="292">
        <v>3634.1</v>
      </c>
      <c r="L170" s="293">
        <v>237</v>
      </c>
      <c r="M170" s="297" t="s">
        <v>269</v>
      </c>
      <c r="N170" s="294" t="s">
        <v>325</v>
      </c>
      <c r="O170" s="292">
        <v>46834.77</v>
      </c>
      <c r="P170" s="292">
        <f t="shared" si="4"/>
        <v>10.264480143771367</v>
      </c>
      <c r="Q170" s="292">
        <v>2083.7533312878054</v>
      </c>
    </row>
    <row r="171" spans="1:17" ht="35.25" x14ac:dyDescent="0.5">
      <c r="B171" s="295">
        <f t="shared" si="5"/>
        <v>78</v>
      </c>
      <c r="C171" s="296" t="s">
        <v>1891</v>
      </c>
      <c r="D171" s="290">
        <v>1963</v>
      </c>
      <c r="E171" s="290"/>
      <c r="F171" s="291" t="s">
        <v>267</v>
      </c>
      <c r="G171" s="290">
        <v>2</v>
      </c>
      <c r="H171" s="290">
        <v>1</v>
      </c>
      <c r="I171" s="292">
        <v>471.59</v>
      </c>
      <c r="J171" s="292">
        <v>415.21</v>
      </c>
      <c r="K171" s="292">
        <v>312.26</v>
      </c>
      <c r="L171" s="293">
        <v>21</v>
      </c>
      <c r="M171" s="297" t="s">
        <v>269</v>
      </c>
      <c r="N171" s="294" t="s">
        <v>1900</v>
      </c>
      <c r="O171" s="292">
        <v>58502.97</v>
      </c>
      <c r="P171" s="292">
        <f t="shared" si="4"/>
        <v>124.05472974405734</v>
      </c>
      <c r="Q171" s="292">
        <v>6899.7434211921372</v>
      </c>
    </row>
    <row r="172" spans="1:17" ht="35.25" x14ac:dyDescent="0.5">
      <c r="B172" s="289" t="s">
        <v>1405</v>
      </c>
      <c r="C172" s="296"/>
      <c r="D172" s="290" t="s">
        <v>751</v>
      </c>
      <c r="E172" s="290" t="s">
        <v>751</v>
      </c>
      <c r="F172" s="291" t="s">
        <v>751</v>
      </c>
      <c r="G172" s="290" t="s">
        <v>751</v>
      </c>
      <c r="H172" s="290" t="s">
        <v>751</v>
      </c>
      <c r="I172" s="292">
        <f>SUM(I173:I178)</f>
        <v>45795.1</v>
      </c>
      <c r="J172" s="292">
        <f>SUM(J173:J178)</f>
        <v>40691.799999999996</v>
      </c>
      <c r="K172" s="292">
        <f>SUM(K173:K178)</f>
        <v>37862.1</v>
      </c>
      <c r="L172" s="293">
        <f>SUM(L173:L178)</f>
        <v>2257</v>
      </c>
      <c r="M172" s="290" t="s">
        <v>890</v>
      </c>
      <c r="N172" s="294" t="s">
        <v>890</v>
      </c>
      <c r="O172" s="292">
        <v>1550578.68</v>
      </c>
      <c r="P172" s="292">
        <f t="shared" si="4"/>
        <v>33.859052169336891</v>
      </c>
      <c r="Q172" s="292">
        <f>MAX(Q173:Q178)</f>
        <v>875.92932069326514</v>
      </c>
    </row>
    <row r="173" spans="1:17" ht="35.25" x14ac:dyDescent="0.5">
      <c r="A173" s="6">
        <v>1</v>
      </c>
      <c r="B173" s="295">
        <f>B171+1</f>
        <v>79</v>
      </c>
      <c r="C173" s="296" t="s">
        <v>1462</v>
      </c>
      <c r="D173" s="290">
        <v>1978</v>
      </c>
      <c r="E173" s="290"/>
      <c r="F173" s="291" t="s">
        <v>311</v>
      </c>
      <c r="G173" s="290">
        <v>9</v>
      </c>
      <c r="H173" s="290">
        <v>4</v>
      </c>
      <c r="I173" s="292">
        <v>8707</v>
      </c>
      <c r="J173" s="292">
        <v>7693.6</v>
      </c>
      <c r="K173" s="292">
        <v>7347.1</v>
      </c>
      <c r="L173" s="293">
        <v>357</v>
      </c>
      <c r="M173" s="290" t="s">
        <v>269</v>
      </c>
      <c r="N173" s="294" t="s">
        <v>319</v>
      </c>
      <c r="O173" s="292">
        <v>382556.25999999995</v>
      </c>
      <c r="P173" s="292">
        <f t="shared" si="4"/>
        <v>43.936632594464221</v>
      </c>
      <c r="Q173" s="292">
        <v>831.25755036177782</v>
      </c>
    </row>
    <row r="174" spans="1:17" ht="35.25" x14ac:dyDescent="0.5">
      <c r="A174" s="6">
        <v>1</v>
      </c>
      <c r="B174" s="295">
        <f>B173+1</f>
        <v>80</v>
      </c>
      <c r="C174" s="296" t="s">
        <v>1463</v>
      </c>
      <c r="D174" s="290">
        <v>1981</v>
      </c>
      <c r="E174" s="290"/>
      <c r="F174" s="291" t="s">
        <v>311</v>
      </c>
      <c r="G174" s="290">
        <v>9</v>
      </c>
      <c r="H174" s="290">
        <v>4</v>
      </c>
      <c r="I174" s="292">
        <v>8838.4</v>
      </c>
      <c r="J174" s="292">
        <v>7825</v>
      </c>
      <c r="K174" s="292">
        <v>7353.9</v>
      </c>
      <c r="L174" s="293">
        <v>387</v>
      </c>
      <c r="M174" s="290" t="s">
        <v>269</v>
      </c>
      <c r="N174" s="294" t="s">
        <v>319</v>
      </c>
      <c r="O174" s="292">
        <v>381284.05</v>
      </c>
      <c r="P174" s="292">
        <f t="shared" si="4"/>
        <v>43.139487916364956</v>
      </c>
      <c r="Q174" s="292">
        <v>841.91120078294728</v>
      </c>
    </row>
    <row r="175" spans="1:17" ht="35.25" x14ac:dyDescent="0.5">
      <c r="A175" s="6">
        <v>1</v>
      </c>
      <c r="B175" s="295">
        <f>B174+1</f>
        <v>81</v>
      </c>
      <c r="C175" s="296" t="s">
        <v>382</v>
      </c>
      <c r="D175" s="290">
        <v>1982</v>
      </c>
      <c r="E175" s="290"/>
      <c r="F175" s="291" t="s">
        <v>311</v>
      </c>
      <c r="G175" s="290">
        <v>9</v>
      </c>
      <c r="H175" s="290">
        <v>4</v>
      </c>
      <c r="I175" s="292">
        <v>8597</v>
      </c>
      <c r="J175" s="292">
        <v>7716.1</v>
      </c>
      <c r="K175" s="292">
        <v>7190.6</v>
      </c>
      <c r="L175" s="293">
        <v>399</v>
      </c>
      <c r="M175" s="290" t="s">
        <v>269</v>
      </c>
      <c r="N175" s="294" t="s">
        <v>319</v>
      </c>
      <c r="O175" s="292">
        <v>292385.17000000004</v>
      </c>
      <c r="P175" s="292">
        <f t="shared" si="4"/>
        <v>34.010139583575672</v>
      </c>
      <c r="Q175" s="292">
        <v>875.92932069326514</v>
      </c>
    </row>
    <row r="176" spans="1:17" ht="35.25" x14ac:dyDescent="0.5">
      <c r="A176" s="6">
        <v>1</v>
      </c>
      <c r="B176" s="295">
        <f>B175+1</f>
        <v>82</v>
      </c>
      <c r="C176" s="296" t="s">
        <v>1464</v>
      </c>
      <c r="D176" s="290">
        <v>1983</v>
      </c>
      <c r="E176" s="290"/>
      <c r="F176" s="291" t="s">
        <v>311</v>
      </c>
      <c r="G176" s="290">
        <v>9</v>
      </c>
      <c r="H176" s="290">
        <v>4</v>
      </c>
      <c r="I176" s="292">
        <v>8601.7999999999993</v>
      </c>
      <c r="J176" s="292">
        <v>7730</v>
      </c>
      <c r="K176" s="292">
        <v>7318.9</v>
      </c>
      <c r="L176" s="293">
        <v>404</v>
      </c>
      <c r="M176" s="290" t="s">
        <v>269</v>
      </c>
      <c r="N176" s="294" t="s">
        <v>319</v>
      </c>
      <c r="O176" s="292">
        <v>292385.17000000004</v>
      </c>
      <c r="P176" s="292">
        <f t="shared" si="4"/>
        <v>33.991161152316963</v>
      </c>
      <c r="Q176" s="292">
        <v>874.71522937059694</v>
      </c>
    </row>
    <row r="177" spans="1:17" ht="35.25" x14ac:dyDescent="0.5">
      <c r="A177" s="6">
        <v>1</v>
      </c>
      <c r="B177" s="295">
        <f>B176+1</f>
        <v>83</v>
      </c>
      <c r="C177" s="296" t="s">
        <v>1465</v>
      </c>
      <c r="D177" s="290">
        <v>1987</v>
      </c>
      <c r="E177" s="290"/>
      <c r="F177" s="291" t="s">
        <v>267</v>
      </c>
      <c r="G177" s="290">
        <v>12</v>
      </c>
      <c r="H177" s="290">
        <v>1</v>
      </c>
      <c r="I177" s="292">
        <v>4535.8</v>
      </c>
      <c r="J177" s="292">
        <v>3907.5</v>
      </c>
      <c r="K177" s="292">
        <v>3078</v>
      </c>
      <c r="L177" s="293">
        <v>448</v>
      </c>
      <c r="M177" s="290" t="s">
        <v>269</v>
      </c>
      <c r="N177" s="294" t="s">
        <v>319</v>
      </c>
      <c r="O177" s="292">
        <v>193920.28</v>
      </c>
      <c r="P177" s="292">
        <f t="shared" si="4"/>
        <v>42.753269544512541</v>
      </c>
      <c r="Q177" s="292">
        <v>710.57385819480578</v>
      </c>
    </row>
    <row r="178" spans="1:17" ht="35.25" x14ac:dyDescent="0.5">
      <c r="A178" s="6">
        <v>1</v>
      </c>
      <c r="B178" s="295">
        <f>B177+1</f>
        <v>84</v>
      </c>
      <c r="C178" s="296" t="s">
        <v>2286</v>
      </c>
      <c r="D178" s="290">
        <v>1984</v>
      </c>
      <c r="E178" s="290"/>
      <c r="F178" s="291" t="s">
        <v>311</v>
      </c>
      <c r="G178" s="290">
        <v>9</v>
      </c>
      <c r="H178" s="290">
        <v>3</v>
      </c>
      <c r="I178" s="292">
        <v>6515.1</v>
      </c>
      <c r="J178" s="292">
        <v>5819.6</v>
      </c>
      <c r="K178" s="292">
        <v>5573.6</v>
      </c>
      <c r="L178" s="293">
        <v>262</v>
      </c>
      <c r="M178" s="290" t="s">
        <v>269</v>
      </c>
      <c r="N178" s="294" t="s">
        <v>319</v>
      </c>
      <c r="O178" s="292">
        <v>8047.75</v>
      </c>
      <c r="P178" s="292">
        <f t="shared" si="4"/>
        <v>1.2352458135715492</v>
      </c>
      <c r="Q178" s="292">
        <v>747.89162253841073</v>
      </c>
    </row>
    <row r="179" spans="1:17" ht="35.25" x14ac:dyDescent="0.5">
      <c r="B179" s="289" t="s">
        <v>884</v>
      </c>
      <c r="C179" s="296"/>
      <c r="D179" s="290" t="s">
        <v>751</v>
      </c>
      <c r="E179" s="290" t="s">
        <v>751</v>
      </c>
      <c r="F179" s="291" t="s">
        <v>751</v>
      </c>
      <c r="G179" s="290" t="s">
        <v>751</v>
      </c>
      <c r="H179" s="290" t="s">
        <v>751</v>
      </c>
      <c r="I179" s="292">
        <f>SUM(I180:I181)</f>
        <v>6959.2</v>
      </c>
      <c r="J179" s="292">
        <f>SUM(J180:J181)</f>
        <v>6276.4</v>
      </c>
      <c r="K179" s="292">
        <f>SUM(K180:K181)</f>
        <v>6276.4</v>
      </c>
      <c r="L179" s="293">
        <f>SUM(L180:L181)</f>
        <v>259</v>
      </c>
      <c r="M179" s="290" t="s">
        <v>890</v>
      </c>
      <c r="N179" s="294" t="s">
        <v>890</v>
      </c>
      <c r="O179" s="292">
        <v>3231773.15</v>
      </c>
      <c r="P179" s="292">
        <f t="shared" si="4"/>
        <v>464.38860070123002</v>
      </c>
      <c r="Q179" s="292">
        <f>MAX(Q180:Q181)</f>
        <v>1523.2502448720904</v>
      </c>
    </row>
    <row r="180" spans="1:17" ht="35.25" x14ac:dyDescent="0.5">
      <c r="A180" s="6">
        <v>1</v>
      </c>
      <c r="B180" s="295">
        <f>B178+1</f>
        <v>85</v>
      </c>
      <c r="C180" s="296" t="s">
        <v>1466</v>
      </c>
      <c r="D180" s="290">
        <v>1988</v>
      </c>
      <c r="E180" s="290"/>
      <c r="F180" s="291" t="s">
        <v>311</v>
      </c>
      <c r="G180" s="290">
        <v>5</v>
      </c>
      <c r="H180" s="290">
        <v>4</v>
      </c>
      <c r="I180" s="292">
        <v>3471.2</v>
      </c>
      <c r="J180" s="292">
        <v>3130.3</v>
      </c>
      <c r="K180" s="292">
        <v>3130.3</v>
      </c>
      <c r="L180" s="293">
        <v>113</v>
      </c>
      <c r="M180" s="290" t="s">
        <v>266</v>
      </c>
      <c r="N180" s="294" t="s">
        <v>268</v>
      </c>
      <c r="O180" s="292">
        <v>1617633.46</v>
      </c>
      <c r="P180" s="292">
        <f t="shared" si="4"/>
        <v>466.01563148190831</v>
      </c>
      <c r="Q180" s="292">
        <v>1523.2502448720904</v>
      </c>
    </row>
    <row r="181" spans="1:17" ht="35.25" x14ac:dyDescent="0.5">
      <c r="A181" s="6">
        <v>1</v>
      </c>
      <c r="B181" s="295">
        <f>B180+1</f>
        <v>86</v>
      </c>
      <c r="C181" s="296" t="s">
        <v>1467</v>
      </c>
      <c r="D181" s="290">
        <v>1989</v>
      </c>
      <c r="E181" s="290"/>
      <c r="F181" s="291" t="s">
        <v>267</v>
      </c>
      <c r="G181" s="290">
        <v>5</v>
      </c>
      <c r="H181" s="290">
        <v>4</v>
      </c>
      <c r="I181" s="292">
        <v>3488</v>
      </c>
      <c r="J181" s="292">
        <v>3146.1</v>
      </c>
      <c r="K181" s="292">
        <v>3146.1</v>
      </c>
      <c r="L181" s="293">
        <v>146</v>
      </c>
      <c r="M181" s="290" t="s">
        <v>266</v>
      </c>
      <c r="N181" s="294" t="s">
        <v>268</v>
      </c>
      <c r="O181" s="292">
        <v>1614139.69</v>
      </c>
      <c r="P181" s="292">
        <f t="shared" si="4"/>
        <v>462.7694065366972</v>
      </c>
      <c r="Q181" s="292">
        <v>1515.9134891055046</v>
      </c>
    </row>
    <row r="182" spans="1:17" ht="35.25" x14ac:dyDescent="0.5">
      <c r="B182" s="289" t="s">
        <v>1406</v>
      </c>
      <c r="C182" s="296"/>
      <c r="D182" s="290" t="s">
        <v>751</v>
      </c>
      <c r="E182" s="290" t="s">
        <v>751</v>
      </c>
      <c r="F182" s="291" t="s">
        <v>751</v>
      </c>
      <c r="G182" s="290" t="s">
        <v>751</v>
      </c>
      <c r="H182" s="290" t="s">
        <v>751</v>
      </c>
      <c r="I182" s="292">
        <f>I183+I184</f>
        <v>1317.6</v>
      </c>
      <c r="J182" s="292">
        <f>J183+J184</f>
        <v>1189.5999999999999</v>
      </c>
      <c r="K182" s="292">
        <f>K183+K184</f>
        <v>1093.8</v>
      </c>
      <c r="L182" s="293">
        <f>L183+L184</f>
        <v>50</v>
      </c>
      <c r="M182" s="290" t="s">
        <v>890</v>
      </c>
      <c r="N182" s="294" t="s">
        <v>890</v>
      </c>
      <c r="O182" s="292">
        <v>35323.410000000003</v>
      </c>
      <c r="P182" s="292">
        <f t="shared" si="4"/>
        <v>26.80890255009108</v>
      </c>
      <c r="Q182" s="292">
        <f>MAX(Q183:Q184)</f>
        <v>5845.4119469026546</v>
      </c>
    </row>
    <row r="183" spans="1:17" ht="35.25" x14ac:dyDescent="0.5">
      <c r="A183" s="6">
        <v>1</v>
      </c>
      <c r="B183" s="295">
        <f>B181+1</f>
        <v>87</v>
      </c>
      <c r="C183" s="296" t="s">
        <v>1468</v>
      </c>
      <c r="D183" s="290">
        <v>1985</v>
      </c>
      <c r="E183" s="290"/>
      <c r="F183" s="291" t="s">
        <v>311</v>
      </c>
      <c r="G183" s="290">
        <v>2</v>
      </c>
      <c r="H183" s="290">
        <v>2</v>
      </c>
      <c r="I183" s="292">
        <v>978.6</v>
      </c>
      <c r="J183" s="292">
        <v>880.3</v>
      </c>
      <c r="K183" s="292">
        <v>821.4</v>
      </c>
      <c r="L183" s="293">
        <v>30</v>
      </c>
      <c r="M183" s="290" t="s">
        <v>266</v>
      </c>
      <c r="N183" s="294" t="s">
        <v>268</v>
      </c>
      <c r="O183" s="292">
        <v>11164.380000000001</v>
      </c>
      <c r="P183" s="292">
        <f t="shared" si="4"/>
        <v>11.408522378908646</v>
      </c>
      <c r="Q183" s="292">
        <v>3136.1448191293684</v>
      </c>
    </row>
    <row r="184" spans="1:17" ht="35.25" x14ac:dyDescent="0.5">
      <c r="B184" s="295">
        <f>B183+1</f>
        <v>88</v>
      </c>
      <c r="C184" s="296" t="s">
        <v>1892</v>
      </c>
      <c r="D184" s="290" t="s">
        <v>350</v>
      </c>
      <c r="E184" s="290"/>
      <c r="F184" s="291" t="s">
        <v>267</v>
      </c>
      <c r="G184" s="290">
        <v>2</v>
      </c>
      <c r="H184" s="290">
        <v>1</v>
      </c>
      <c r="I184" s="292">
        <v>339</v>
      </c>
      <c r="J184" s="292">
        <v>309.3</v>
      </c>
      <c r="K184" s="292">
        <v>272.39999999999998</v>
      </c>
      <c r="L184" s="293">
        <v>20</v>
      </c>
      <c r="M184" s="297" t="s">
        <v>269</v>
      </c>
      <c r="N184" s="294" t="s">
        <v>1901</v>
      </c>
      <c r="O184" s="292">
        <v>24159.03</v>
      </c>
      <c r="P184" s="292">
        <f t="shared" si="4"/>
        <v>71.265575221238933</v>
      </c>
      <c r="Q184" s="292">
        <v>5845.4119469026546</v>
      </c>
    </row>
    <row r="185" spans="1:17" ht="35.25" x14ac:dyDescent="0.5">
      <c r="B185" s="289" t="s">
        <v>860</v>
      </c>
      <c r="C185" s="296"/>
      <c r="D185" s="290" t="s">
        <v>751</v>
      </c>
      <c r="E185" s="290" t="s">
        <v>751</v>
      </c>
      <c r="F185" s="291" t="s">
        <v>751</v>
      </c>
      <c r="G185" s="290" t="s">
        <v>751</v>
      </c>
      <c r="H185" s="290" t="s">
        <v>751</v>
      </c>
      <c r="I185" s="292">
        <f>I186</f>
        <v>3121</v>
      </c>
      <c r="J185" s="292">
        <f>J186</f>
        <v>1791</v>
      </c>
      <c r="K185" s="292">
        <f>K186</f>
        <v>1791</v>
      </c>
      <c r="L185" s="293">
        <f>L186</f>
        <v>171</v>
      </c>
      <c r="M185" s="290" t="s">
        <v>890</v>
      </c>
      <c r="N185" s="294" t="s">
        <v>890</v>
      </c>
      <c r="O185" s="292">
        <v>778244.79</v>
      </c>
      <c r="P185" s="292">
        <f t="shared" si="4"/>
        <v>249.35751041332907</v>
      </c>
      <c r="Q185" s="292">
        <f>Q186</f>
        <v>2027.7918135213072</v>
      </c>
    </row>
    <row r="186" spans="1:17" ht="35.25" x14ac:dyDescent="0.5">
      <c r="A186" s="6">
        <v>1</v>
      </c>
      <c r="B186" s="295">
        <f>B184+1</f>
        <v>89</v>
      </c>
      <c r="C186" s="296" t="s">
        <v>1469</v>
      </c>
      <c r="D186" s="290">
        <v>1986</v>
      </c>
      <c r="E186" s="290"/>
      <c r="F186" s="291" t="s">
        <v>311</v>
      </c>
      <c r="G186" s="290">
        <v>5</v>
      </c>
      <c r="H186" s="290">
        <v>4</v>
      </c>
      <c r="I186" s="292">
        <v>3121</v>
      </c>
      <c r="J186" s="292">
        <v>1791</v>
      </c>
      <c r="K186" s="292">
        <v>1791</v>
      </c>
      <c r="L186" s="293">
        <v>171</v>
      </c>
      <c r="M186" s="290" t="s">
        <v>341</v>
      </c>
      <c r="N186" s="294" t="s">
        <v>1519</v>
      </c>
      <c r="O186" s="292">
        <v>778244.79</v>
      </c>
      <c r="P186" s="292">
        <f t="shared" si="4"/>
        <v>249.35751041332907</v>
      </c>
      <c r="Q186" s="292">
        <v>2027.7918135213072</v>
      </c>
    </row>
    <row r="187" spans="1:17" ht="35.25" x14ac:dyDescent="0.5">
      <c r="B187" s="289" t="s">
        <v>846</v>
      </c>
      <c r="C187" s="296"/>
      <c r="D187" s="290" t="s">
        <v>751</v>
      </c>
      <c r="E187" s="290" t="s">
        <v>751</v>
      </c>
      <c r="F187" s="291" t="s">
        <v>751</v>
      </c>
      <c r="G187" s="290" t="s">
        <v>751</v>
      </c>
      <c r="H187" s="290" t="s">
        <v>751</v>
      </c>
      <c r="I187" s="292">
        <f>SUM(I188:I192)</f>
        <v>9754.2199999999993</v>
      </c>
      <c r="J187" s="292">
        <f>SUM(J188:J192)</f>
        <v>8433.5399999999991</v>
      </c>
      <c r="K187" s="292">
        <f>SUM(K188:K192)</f>
        <v>8193.64</v>
      </c>
      <c r="L187" s="293">
        <f>SUM(L188:L192)</f>
        <v>354</v>
      </c>
      <c r="M187" s="290" t="s">
        <v>890</v>
      </c>
      <c r="N187" s="294" t="s">
        <v>890</v>
      </c>
      <c r="O187" s="292">
        <v>1856585.2200000002</v>
      </c>
      <c r="P187" s="292">
        <f t="shared" si="4"/>
        <v>190.33661533162061</v>
      </c>
      <c r="Q187" s="292">
        <f>MAX(Q188:Q192)</f>
        <v>5900.2889152693278</v>
      </c>
    </row>
    <row r="188" spans="1:17" ht="35.25" x14ac:dyDescent="0.5">
      <c r="A188" s="6">
        <v>1</v>
      </c>
      <c r="B188" s="295">
        <f>B186+1</f>
        <v>90</v>
      </c>
      <c r="C188" s="296" t="s">
        <v>1470</v>
      </c>
      <c r="D188" s="290">
        <v>1976</v>
      </c>
      <c r="E188" s="290"/>
      <c r="F188" s="291" t="s">
        <v>267</v>
      </c>
      <c r="G188" s="290">
        <v>5</v>
      </c>
      <c r="H188" s="290">
        <v>4</v>
      </c>
      <c r="I188" s="292">
        <v>3560.34</v>
      </c>
      <c r="J188" s="292">
        <v>3122.34</v>
      </c>
      <c r="K188" s="292">
        <v>3091.94</v>
      </c>
      <c r="L188" s="293">
        <v>145</v>
      </c>
      <c r="M188" s="290" t="s">
        <v>269</v>
      </c>
      <c r="N188" s="294" t="s">
        <v>1520</v>
      </c>
      <c r="O188" s="292">
        <v>672709.20000000007</v>
      </c>
      <c r="P188" s="292">
        <f t="shared" si="4"/>
        <v>188.94521309762553</v>
      </c>
      <c r="Q188" s="292">
        <v>1751.0621457501247</v>
      </c>
    </row>
    <row r="189" spans="1:17" ht="35.25" x14ac:dyDescent="0.5">
      <c r="A189" s="6">
        <v>1</v>
      </c>
      <c r="B189" s="295">
        <f>B188+1</f>
        <v>91</v>
      </c>
      <c r="C189" s="296" t="s">
        <v>1471</v>
      </c>
      <c r="D189" s="290">
        <v>1958</v>
      </c>
      <c r="E189" s="290"/>
      <c r="F189" s="291" t="s">
        <v>267</v>
      </c>
      <c r="G189" s="290">
        <v>2</v>
      </c>
      <c r="H189" s="290">
        <v>2</v>
      </c>
      <c r="I189" s="292">
        <v>673.9</v>
      </c>
      <c r="J189" s="292">
        <v>615.9</v>
      </c>
      <c r="K189" s="292">
        <v>562.29999999999995</v>
      </c>
      <c r="L189" s="293">
        <v>32</v>
      </c>
      <c r="M189" s="290" t="s">
        <v>266</v>
      </c>
      <c r="N189" s="294" t="s">
        <v>268</v>
      </c>
      <c r="O189" s="292">
        <v>5758.94</v>
      </c>
      <c r="P189" s="292">
        <f t="shared" si="4"/>
        <v>8.5456892714052533</v>
      </c>
      <c r="Q189" s="292">
        <v>5900.2889152693278</v>
      </c>
    </row>
    <row r="190" spans="1:17" ht="35.25" x14ac:dyDescent="0.5">
      <c r="A190" s="6">
        <v>1</v>
      </c>
      <c r="B190" s="295">
        <f>B189+1</f>
        <v>92</v>
      </c>
      <c r="C190" s="296" t="s">
        <v>1472</v>
      </c>
      <c r="D190" s="290">
        <v>1975</v>
      </c>
      <c r="E190" s="290"/>
      <c r="F190" s="291" t="s">
        <v>267</v>
      </c>
      <c r="G190" s="290">
        <v>2</v>
      </c>
      <c r="H190" s="290">
        <v>2</v>
      </c>
      <c r="I190" s="292">
        <v>768.5</v>
      </c>
      <c r="J190" s="292">
        <v>710</v>
      </c>
      <c r="K190" s="292">
        <v>655.20000000000005</v>
      </c>
      <c r="L190" s="293">
        <v>38</v>
      </c>
      <c r="M190" s="290" t="s">
        <v>266</v>
      </c>
      <c r="N190" s="294" t="s">
        <v>268</v>
      </c>
      <c r="O190" s="292">
        <v>233459.54</v>
      </c>
      <c r="P190" s="292">
        <f t="shared" si="4"/>
        <v>303.78599869876382</v>
      </c>
      <c r="Q190" s="292">
        <v>1525.5721014964215</v>
      </c>
    </row>
    <row r="191" spans="1:17" ht="35.25" x14ac:dyDescent="0.5">
      <c r="A191" s="6">
        <v>1</v>
      </c>
      <c r="B191" s="295">
        <f>B190+1</f>
        <v>93</v>
      </c>
      <c r="C191" s="296" t="s">
        <v>1499</v>
      </c>
      <c r="D191" s="290">
        <v>1984</v>
      </c>
      <c r="E191" s="290"/>
      <c r="F191" s="291" t="s">
        <v>311</v>
      </c>
      <c r="G191" s="290">
        <v>4</v>
      </c>
      <c r="H191" s="290">
        <v>2</v>
      </c>
      <c r="I191" s="292">
        <v>1287.08</v>
      </c>
      <c r="J191" s="292">
        <v>1127.9000000000001</v>
      </c>
      <c r="K191" s="292">
        <v>1026.8</v>
      </c>
      <c r="L191" s="293">
        <v>51</v>
      </c>
      <c r="M191" s="290" t="s">
        <v>266</v>
      </c>
      <c r="N191" s="294" t="s">
        <v>268</v>
      </c>
      <c r="O191" s="292">
        <v>57671.29</v>
      </c>
      <c r="P191" s="292">
        <f t="shared" si="4"/>
        <v>44.807851881778916</v>
      </c>
      <c r="Q191" s="292">
        <v>2568.5362215246919</v>
      </c>
    </row>
    <row r="192" spans="1:17" ht="35.25" x14ac:dyDescent="0.5">
      <c r="A192" s="6">
        <v>1</v>
      </c>
      <c r="B192" s="295">
        <f>B191+1</f>
        <v>94</v>
      </c>
      <c r="C192" s="296" t="s">
        <v>2283</v>
      </c>
      <c r="D192" s="290">
        <v>1971</v>
      </c>
      <c r="E192" s="290"/>
      <c r="F192" s="291" t="s">
        <v>267</v>
      </c>
      <c r="G192" s="290">
        <v>5</v>
      </c>
      <c r="H192" s="290">
        <v>4</v>
      </c>
      <c r="I192" s="292">
        <v>3464.4</v>
      </c>
      <c r="J192" s="292">
        <v>2857.4</v>
      </c>
      <c r="K192" s="292">
        <f>J192</f>
        <v>2857.4</v>
      </c>
      <c r="L192" s="293">
        <v>88</v>
      </c>
      <c r="M192" s="290" t="s">
        <v>266</v>
      </c>
      <c r="N192" s="294" t="s">
        <v>268</v>
      </c>
      <c r="O192" s="292">
        <v>886986.25</v>
      </c>
      <c r="P192" s="292">
        <f t="shared" si="4"/>
        <v>256.02882172959244</v>
      </c>
      <c r="Q192" s="292">
        <v>1839.1897788938923</v>
      </c>
    </row>
    <row r="193" spans="1:17" ht="35.25" x14ac:dyDescent="0.5">
      <c r="B193" s="289" t="s">
        <v>870</v>
      </c>
      <c r="C193" s="296"/>
      <c r="D193" s="290" t="s">
        <v>751</v>
      </c>
      <c r="E193" s="290" t="s">
        <v>751</v>
      </c>
      <c r="F193" s="291" t="s">
        <v>751</v>
      </c>
      <c r="G193" s="290" t="s">
        <v>751</v>
      </c>
      <c r="H193" s="290" t="s">
        <v>751</v>
      </c>
      <c r="I193" s="292">
        <f>I194</f>
        <v>5085.1000000000004</v>
      </c>
      <c r="J193" s="292">
        <f>J194</f>
        <v>4673.5</v>
      </c>
      <c r="K193" s="292">
        <f>K194</f>
        <v>4551.8</v>
      </c>
      <c r="L193" s="293">
        <f>L194</f>
        <v>199</v>
      </c>
      <c r="M193" s="290" t="s">
        <v>890</v>
      </c>
      <c r="N193" s="294" t="s">
        <v>890</v>
      </c>
      <c r="O193" s="292">
        <v>425208.96</v>
      </c>
      <c r="P193" s="292">
        <f t="shared" si="4"/>
        <v>83.618603370631845</v>
      </c>
      <c r="Q193" s="292">
        <f>Q194</f>
        <v>1565.1446579221645</v>
      </c>
    </row>
    <row r="194" spans="1:17" ht="35.25" x14ac:dyDescent="0.5">
      <c r="A194" s="6">
        <v>1</v>
      </c>
      <c r="B194" s="295">
        <f>B192+1</f>
        <v>95</v>
      </c>
      <c r="C194" s="296" t="s">
        <v>1473</v>
      </c>
      <c r="D194" s="290">
        <v>1982</v>
      </c>
      <c r="E194" s="290"/>
      <c r="F194" s="291" t="s">
        <v>311</v>
      </c>
      <c r="G194" s="290">
        <v>5</v>
      </c>
      <c r="H194" s="290">
        <v>6</v>
      </c>
      <c r="I194" s="292">
        <v>5085.1000000000004</v>
      </c>
      <c r="J194" s="292">
        <v>4673.5</v>
      </c>
      <c r="K194" s="292">
        <v>4551.8</v>
      </c>
      <c r="L194" s="293">
        <v>199</v>
      </c>
      <c r="M194" s="290" t="s">
        <v>341</v>
      </c>
      <c r="N194" s="294" t="s">
        <v>1521</v>
      </c>
      <c r="O194" s="292">
        <v>425208.96</v>
      </c>
      <c r="P194" s="292">
        <f t="shared" si="4"/>
        <v>83.618603370631845</v>
      </c>
      <c r="Q194" s="292">
        <v>1565.1446579221645</v>
      </c>
    </row>
    <row r="195" spans="1:17" ht="35.25" x14ac:dyDescent="0.5">
      <c r="B195" s="289" t="s">
        <v>831</v>
      </c>
      <c r="C195" s="296"/>
      <c r="D195" s="290" t="s">
        <v>751</v>
      </c>
      <c r="E195" s="290" t="s">
        <v>751</v>
      </c>
      <c r="F195" s="290" t="s">
        <v>751</v>
      </c>
      <c r="G195" s="290" t="s">
        <v>751</v>
      </c>
      <c r="H195" s="290" t="s">
        <v>751</v>
      </c>
      <c r="I195" s="292">
        <f>I196+I197</f>
        <v>4174.76</v>
      </c>
      <c r="J195" s="292">
        <f>J196+J197</f>
        <v>2760.79</v>
      </c>
      <c r="K195" s="292">
        <f>K196+K197</f>
        <v>1330.8600000000001</v>
      </c>
      <c r="L195" s="293">
        <f>L196+L197</f>
        <v>92</v>
      </c>
      <c r="M195" s="290" t="s">
        <v>890</v>
      </c>
      <c r="N195" s="294" t="s">
        <v>890</v>
      </c>
      <c r="O195" s="292">
        <v>243092.59999999998</v>
      </c>
      <c r="P195" s="292">
        <f t="shared" si="4"/>
        <v>58.229119757782478</v>
      </c>
      <c r="Q195" s="292">
        <f>MAX(Q196:Q197)</f>
        <v>5582.2817384674036</v>
      </c>
    </row>
    <row r="196" spans="1:17" ht="35.25" x14ac:dyDescent="0.5">
      <c r="A196" s="6">
        <v>1</v>
      </c>
      <c r="B196" s="295">
        <f>B194+1</f>
        <v>96</v>
      </c>
      <c r="C196" s="296" t="s">
        <v>1474</v>
      </c>
      <c r="D196" s="290">
        <v>1967</v>
      </c>
      <c r="E196" s="290"/>
      <c r="F196" s="291" t="s">
        <v>267</v>
      </c>
      <c r="G196" s="290">
        <v>4</v>
      </c>
      <c r="H196" s="290">
        <v>3</v>
      </c>
      <c r="I196" s="292">
        <v>3387.86</v>
      </c>
      <c r="J196" s="292">
        <v>2034.29</v>
      </c>
      <c r="K196" s="292">
        <v>1015.36</v>
      </c>
      <c r="L196" s="293">
        <v>59</v>
      </c>
      <c r="M196" s="290" t="s">
        <v>269</v>
      </c>
      <c r="N196" s="294" t="s">
        <v>1306</v>
      </c>
      <c r="O196" s="292">
        <v>218819.08</v>
      </c>
      <c r="P196" s="292">
        <f t="shared" si="4"/>
        <v>64.589174287013037</v>
      </c>
      <c r="Q196" s="292">
        <v>1401.8641443270972</v>
      </c>
    </row>
    <row r="197" spans="1:17" ht="35.25" x14ac:dyDescent="0.5">
      <c r="B197" s="295">
        <f>B196+1</f>
        <v>97</v>
      </c>
      <c r="C197" s="296" t="s">
        <v>1893</v>
      </c>
      <c r="D197" s="290" t="s">
        <v>353</v>
      </c>
      <c r="E197" s="290"/>
      <c r="F197" s="291" t="s">
        <v>267</v>
      </c>
      <c r="G197" s="290">
        <v>2</v>
      </c>
      <c r="H197" s="290">
        <v>2</v>
      </c>
      <c r="I197" s="292">
        <v>786.9</v>
      </c>
      <c r="J197" s="292">
        <v>726.5</v>
      </c>
      <c r="K197" s="292">
        <v>315.5</v>
      </c>
      <c r="L197" s="293">
        <v>33</v>
      </c>
      <c r="M197" s="297" t="s">
        <v>269</v>
      </c>
      <c r="N197" s="294" t="s">
        <v>1902</v>
      </c>
      <c r="O197" s="292">
        <v>24273.52</v>
      </c>
      <c r="P197" s="292">
        <f t="shared" si="4"/>
        <v>30.847019951709239</v>
      </c>
      <c r="Q197" s="292">
        <v>5582.2817384674036</v>
      </c>
    </row>
    <row r="198" spans="1:17" ht="35.25" x14ac:dyDescent="0.5">
      <c r="B198" s="289" t="s">
        <v>843</v>
      </c>
      <c r="C198" s="296"/>
      <c r="D198" s="290" t="s">
        <v>751</v>
      </c>
      <c r="E198" s="290" t="s">
        <v>751</v>
      </c>
      <c r="F198" s="291" t="s">
        <v>751</v>
      </c>
      <c r="G198" s="290" t="s">
        <v>751</v>
      </c>
      <c r="H198" s="290" t="s">
        <v>751</v>
      </c>
      <c r="I198" s="292">
        <f>SUM(I199:I200)</f>
        <v>15972.619999999999</v>
      </c>
      <c r="J198" s="292">
        <f>SUM(J199:J200)</f>
        <v>13085.72</v>
      </c>
      <c r="K198" s="292">
        <f>SUM(K199:K200)</f>
        <v>12402.84</v>
      </c>
      <c r="L198" s="293">
        <f>SUM(L199:L200)</f>
        <v>615</v>
      </c>
      <c r="M198" s="290" t="s">
        <v>890</v>
      </c>
      <c r="N198" s="294" t="s">
        <v>890</v>
      </c>
      <c r="O198" s="292">
        <v>1988549.43</v>
      </c>
      <c r="P198" s="292">
        <f t="shared" si="4"/>
        <v>124.49738552598134</v>
      </c>
      <c r="Q198" s="292">
        <f>MAX(Q199:Q200)</f>
        <v>2168.2382214519939</v>
      </c>
    </row>
    <row r="199" spans="1:17" ht="35.25" x14ac:dyDescent="0.5">
      <c r="A199" s="6">
        <v>1</v>
      </c>
      <c r="B199" s="295">
        <f>B197+1</f>
        <v>98</v>
      </c>
      <c r="C199" s="296" t="s">
        <v>1475</v>
      </c>
      <c r="D199" s="290">
        <v>1989</v>
      </c>
      <c r="E199" s="290"/>
      <c r="F199" s="291" t="s">
        <v>267</v>
      </c>
      <c r="G199" s="290">
        <v>5</v>
      </c>
      <c r="H199" s="290">
        <v>12</v>
      </c>
      <c r="I199" s="292">
        <v>10086.92</v>
      </c>
      <c r="J199" s="292">
        <v>8329.2199999999993</v>
      </c>
      <c r="K199" s="292">
        <v>7734.54</v>
      </c>
      <c r="L199" s="293">
        <v>405</v>
      </c>
      <c r="M199" s="290" t="s">
        <v>269</v>
      </c>
      <c r="N199" s="294" t="s">
        <v>1522</v>
      </c>
      <c r="O199" s="292">
        <v>83534.5</v>
      </c>
      <c r="P199" s="292">
        <f t="shared" si="4"/>
        <v>8.2814674846236507</v>
      </c>
      <c r="Q199" s="292">
        <v>1794.0026678113832</v>
      </c>
    </row>
    <row r="200" spans="1:17" ht="35.25" x14ac:dyDescent="0.5">
      <c r="A200" s="6">
        <v>1</v>
      </c>
      <c r="B200" s="295">
        <f>B199+1</f>
        <v>99</v>
      </c>
      <c r="C200" s="296" t="s">
        <v>1476</v>
      </c>
      <c r="D200" s="290">
        <v>1977</v>
      </c>
      <c r="E200" s="290"/>
      <c r="F200" s="291" t="s">
        <v>267</v>
      </c>
      <c r="G200" s="290">
        <v>5</v>
      </c>
      <c r="H200" s="290">
        <v>8</v>
      </c>
      <c r="I200" s="292">
        <v>5885.7</v>
      </c>
      <c r="J200" s="292">
        <v>4756.5</v>
      </c>
      <c r="K200" s="292">
        <v>4668.3</v>
      </c>
      <c r="L200" s="293">
        <v>210</v>
      </c>
      <c r="M200" s="290" t="s">
        <v>269</v>
      </c>
      <c r="N200" s="294" t="s">
        <v>1523</v>
      </c>
      <c r="O200" s="292">
        <v>1905014.93</v>
      </c>
      <c r="P200" s="292">
        <f t="shared" si="4"/>
        <v>323.66837079701651</v>
      </c>
      <c r="Q200" s="292">
        <v>2168.2382214519939</v>
      </c>
    </row>
    <row r="201" spans="1:17" ht="35.25" x14ac:dyDescent="0.5">
      <c r="B201" s="289" t="s">
        <v>883</v>
      </c>
      <c r="C201" s="296"/>
      <c r="D201" s="290" t="s">
        <v>751</v>
      </c>
      <c r="E201" s="290" t="s">
        <v>751</v>
      </c>
      <c r="F201" s="291" t="s">
        <v>751</v>
      </c>
      <c r="G201" s="290" t="s">
        <v>751</v>
      </c>
      <c r="H201" s="290" t="s">
        <v>751</v>
      </c>
      <c r="I201" s="292">
        <f>I202+I203+I204</f>
        <v>3408</v>
      </c>
      <c r="J201" s="292">
        <f>J202+J203+J204</f>
        <v>3083.5</v>
      </c>
      <c r="K201" s="292">
        <f>K202+K203+K204</f>
        <v>2494.5</v>
      </c>
      <c r="L201" s="293">
        <f>L202+L203+L204</f>
        <v>189</v>
      </c>
      <c r="M201" s="290" t="s">
        <v>890</v>
      </c>
      <c r="N201" s="294" t="s">
        <v>890</v>
      </c>
      <c r="O201" s="292">
        <v>655526.95000000007</v>
      </c>
      <c r="P201" s="292">
        <f t="shared" si="4"/>
        <v>192.34945715962442</v>
      </c>
      <c r="Q201" s="292">
        <f>MAX(Q202:Q204)</f>
        <v>5908.2027878787876</v>
      </c>
    </row>
    <row r="202" spans="1:17" ht="35.25" x14ac:dyDescent="0.5">
      <c r="A202" s="6">
        <v>1</v>
      </c>
      <c r="B202" s="295">
        <f>B200+1</f>
        <v>100</v>
      </c>
      <c r="C202" s="296" t="s">
        <v>1477</v>
      </c>
      <c r="D202" s="290">
        <v>1961</v>
      </c>
      <c r="E202" s="290"/>
      <c r="F202" s="291" t="s">
        <v>267</v>
      </c>
      <c r="G202" s="290">
        <v>2</v>
      </c>
      <c r="H202" s="290">
        <v>3</v>
      </c>
      <c r="I202" s="292">
        <v>825</v>
      </c>
      <c r="J202" s="292">
        <v>769.5</v>
      </c>
      <c r="K202" s="292">
        <v>628.1</v>
      </c>
      <c r="L202" s="293">
        <v>57</v>
      </c>
      <c r="M202" s="290" t="s">
        <v>269</v>
      </c>
      <c r="N202" s="294" t="s">
        <v>1524</v>
      </c>
      <c r="O202" s="292">
        <v>590350.84</v>
      </c>
      <c r="P202" s="292">
        <f t="shared" si="4"/>
        <v>715.57677575757577</v>
      </c>
      <c r="Q202" s="292">
        <v>5908.2027878787876</v>
      </c>
    </row>
    <row r="203" spans="1:17" ht="35.25" x14ac:dyDescent="0.5">
      <c r="A203" s="6">
        <v>1</v>
      </c>
      <c r="B203" s="295">
        <f>B202+1</f>
        <v>101</v>
      </c>
      <c r="C203" s="296" t="s">
        <v>1478</v>
      </c>
      <c r="D203" s="290">
        <v>1985</v>
      </c>
      <c r="E203" s="290"/>
      <c r="F203" s="291" t="s">
        <v>267</v>
      </c>
      <c r="G203" s="290">
        <v>4</v>
      </c>
      <c r="H203" s="290">
        <v>2</v>
      </c>
      <c r="I203" s="292">
        <v>1789.9</v>
      </c>
      <c r="J203" s="292">
        <v>1591.4</v>
      </c>
      <c r="K203" s="292">
        <v>1185</v>
      </c>
      <c r="L203" s="293">
        <v>91</v>
      </c>
      <c r="M203" s="290" t="s">
        <v>269</v>
      </c>
      <c r="N203" s="294" t="s">
        <v>1524</v>
      </c>
      <c r="O203" s="292">
        <v>30755.429999999997</v>
      </c>
      <c r="P203" s="292">
        <f t="shared" si="4"/>
        <v>17.182764400245819</v>
      </c>
      <c r="Q203" s="292">
        <v>2558.8687971395047</v>
      </c>
    </row>
    <row r="204" spans="1:17" ht="35.25" x14ac:dyDescent="0.5">
      <c r="B204" s="295">
        <f>B203+1</f>
        <v>102</v>
      </c>
      <c r="C204" s="296" t="s">
        <v>1894</v>
      </c>
      <c r="D204" s="290" t="s">
        <v>317</v>
      </c>
      <c r="E204" s="290"/>
      <c r="F204" s="291" t="s">
        <v>267</v>
      </c>
      <c r="G204" s="290">
        <v>2</v>
      </c>
      <c r="H204" s="290">
        <v>2</v>
      </c>
      <c r="I204" s="292">
        <v>793.1</v>
      </c>
      <c r="J204" s="292">
        <v>722.6</v>
      </c>
      <c r="K204" s="292">
        <v>681.4</v>
      </c>
      <c r="L204" s="293">
        <v>41</v>
      </c>
      <c r="M204" s="297" t="s">
        <v>269</v>
      </c>
      <c r="N204" s="294" t="s">
        <v>1903</v>
      </c>
      <c r="O204" s="292">
        <v>34420.68</v>
      </c>
      <c r="P204" s="292">
        <f t="shared" si="4"/>
        <v>43.400176522506619</v>
      </c>
      <c r="Q204" s="292">
        <v>4874.0055478502072</v>
      </c>
    </row>
    <row r="205" spans="1:17" ht="35.25" x14ac:dyDescent="0.5">
      <c r="B205" s="289" t="s">
        <v>857</v>
      </c>
      <c r="C205" s="296"/>
      <c r="D205" s="290" t="s">
        <v>751</v>
      </c>
      <c r="E205" s="290" t="s">
        <v>751</v>
      </c>
      <c r="F205" s="291" t="s">
        <v>751</v>
      </c>
      <c r="G205" s="290" t="s">
        <v>751</v>
      </c>
      <c r="H205" s="290" t="s">
        <v>751</v>
      </c>
      <c r="I205" s="292">
        <f>I206</f>
        <v>677.1</v>
      </c>
      <c r="J205" s="292">
        <f>J206</f>
        <v>618.1</v>
      </c>
      <c r="K205" s="292">
        <f>K206</f>
        <v>363.3</v>
      </c>
      <c r="L205" s="293">
        <f>L206</f>
        <v>37</v>
      </c>
      <c r="M205" s="290" t="s">
        <v>890</v>
      </c>
      <c r="N205" s="294" t="s">
        <v>890</v>
      </c>
      <c r="O205" s="292">
        <v>39585</v>
      </c>
      <c r="P205" s="292">
        <f t="shared" si="4"/>
        <v>58.462560921577314</v>
      </c>
      <c r="Q205" s="292">
        <f>Q206</f>
        <v>5228.4578348840641</v>
      </c>
    </row>
    <row r="206" spans="1:17" ht="35.25" x14ac:dyDescent="0.5">
      <c r="A206" s="6">
        <v>1</v>
      </c>
      <c r="B206" s="295">
        <f>B204+1</f>
        <v>103</v>
      </c>
      <c r="C206" s="296" t="s">
        <v>1479</v>
      </c>
      <c r="D206" s="290">
        <v>1991</v>
      </c>
      <c r="E206" s="290"/>
      <c r="F206" s="291" t="s">
        <v>311</v>
      </c>
      <c r="G206" s="290">
        <v>2</v>
      </c>
      <c r="H206" s="290">
        <v>2</v>
      </c>
      <c r="I206" s="292">
        <v>677.1</v>
      </c>
      <c r="J206" s="292">
        <v>618.1</v>
      </c>
      <c r="K206" s="292">
        <v>363.3</v>
      </c>
      <c r="L206" s="293">
        <v>37</v>
      </c>
      <c r="M206" s="290" t="s">
        <v>266</v>
      </c>
      <c r="N206" s="294" t="s">
        <v>268</v>
      </c>
      <c r="O206" s="292">
        <v>39585</v>
      </c>
      <c r="P206" s="292">
        <f t="shared" si="4"/>
        <v>58.462560921577314</v>
      </c>
      <c r="Q206" s="292">
        <v>5228.4578348840641</v>
      </c>
    </row>
    <row r="207" spans="1:17" ht="35.25" x14ac:dyDescent="0.5">
      <c r="B207" s="289" t="s">
        <v>825</v>
      </c>
      <c r="C207" s="296"/>
      <c r="D207" s="290" t="s">
        <v>751</v>
      </c>
      <c r="E207" s="290" t="s">
        <v>751</v>
      </c>
      <c r="F207" s="291" t="s">
        <v>751</v>
      </c>
      <c r="G207" s="290" t="s">
        <v>751</v>
      </c>
      <c r="H207" s="290" t="s">
        <v>751</v>
      </c>
      <c r="I207" s="292">
        <f>I208</f>
        <v>805.6</v>
      </c>
      <c r="J207" s="292">
        <f>J208</f>
        <v>744.2</v>
      </c>
      <c r="K207" s="292">
        <f>K208</f>
        <v>701.4</v>
      </c>
      <c r="L207" s="293">
        <f>L208</f>
        <v>44</v>
      </c>
      <c r="M207" s="290" t="s">
        <v>890</v>
      </c>
      <c r="N207" s="294" t="s">
        <v>890</v>
      </c>
      <c r="O207" s="292">
        <v>275468.56</v>
      </c>
      <c r="P207" s="292">
        <f t="shared" si="4"/>
        <v>341.94210526315788</v>
      </c>
      <c r="Q207" s="292">
        <f>Q208</f>
        <v>5719.2795431976165</v>
      </c>
    </row>
    <row r="208" spans="1:17" ht="35.25" x14ac:dyDescent="0.5">
      <c r="A208" s="6">
        <v>1</v>
      </c>
      <c r="B208" s="295">
        <f>B206+1</f>
        <v>104</v>
      </c>
      <c r="C208" s="296" t="s">
        <v>1480</v>
      </c>
      <c r="D208" s="290">
        <v>1969</v>
      </c>
      <c r="E208" s="290"/>
      <c r="F208" s="291" t="s">
        <v>267</v>
      </c>
      <c r="G208" s="290">
        <v>2</v>
      </c>
      <c r="H208" s="290">
        <v>2</v>
      </c>
      <c r="I208" s="292">
        <v>805.6</v>
      </c>
      <c r="J208" s="292">
        <v>744.2</v>
      </c>
      <c r="K208" s="292">
        <v>701.4</v>
      </c>
      <c r="L208" s="293">
        <v>44</v>
      </c>
      <c r="M208" s="290" t="s">
        <v>266</v>
      </c>
      <c r="N208" s="294" t="s">
        <v>268</v>
      </c>
      <c r="O208" s="292">
        <v>275468.56</v>
      </c>
      <c r="P208" s="292">
        <f t="shared" si="4"/>
        <v>341.94210526315788</v>
      </c>
      <c r="Q208" s="292">
        <v>5719.2795431976165</v>
      </c>
    </row>
    <row r="209" spans="1:17" ht="35.25" x14ac:dyDescent="0.5">
      <c r="B209" s="289" t="s">
        <v>867</v>
      </c>
      <c r="C209" s="296"/>
      <c r="D209" s="290" t="s">
        <v>751</v>
      </c>
      <c r="E209" s="290" t="s">
        <v>751</v>
      </c>
      <c r="F209" s="291" t="s">
        <v>751</v>
      </c>
      <c r="G209" s="290" t="s">
        <v>751</v>
      </c>
      <c r="H209" s="290" t="s">
        <v>751</v>
      </c>
      <c r="I209" s="292">
        <f>I210</f>
        <v>1423.3</v>
      </c>
      <c r="J209" s="292">
        <f>J210</f>
        <v>862.5</v>
      </c>
      <c r="K209" s="292">
        <f>K210</f>
        <v>862.5</v>
      </c>
      <c r="L209" s="293">
        <f>L210</f>
        <v>37</v>
      </c>
      <c r="M209" s="290" t="s">
        <v>890</v>
      </c>
      <c r="N209" s="294" t="s">
        <v>890</v>
      </c>
      <c r="O209" s="292">
        <v>50753.95</v>
      </c>
      <c r="P209" s="292">
        <f t="shared" si="4"/>
        <v>35.659347994098219</v>
      </c>
      <c r="Q209" s="292">
        <f>Q210</f>
        <v>3785.8326424506427</v>
      </c>
    </row>
    <row r="210" spans="1:17" ht="35.25" x14ac:dyDescent="0.5">
      <c r="B210" s="295">
        <f>B208+1</f>
        <v>105</v>
      </c>
      <c r="C210" s="296" t="s">
        <v>1895</v>
      </c>
      <c r="D210" s="290">
        <v>1980</v>
      </c>
      <c r="E210" s="290"/>
      <c r="F210" s="291" t="s">
        <v>267</v>
      </c>
      <c r="G210" s="290">
        <v>2</v>
      </c>
      <c r="H210" s="290">
        <v>3</v>
      </c>
      <c r="I210" s="292">
        <v>1423.3</v>
      </c>
      <c r="J210" s="292">
        <v>862.5</v>
      </c>
      <c r="K210" s="292">
        <v>862.5</v>
      </c>
      <c r="L210" s="293">
        <v>37</v>
      </c>
      <c r="M210" s="290" t="s">
        <v>266</v>
      </c>
      <c r="N210" s="294" t="s">
        <v>268</v>
      </c>
      <c r="O210" s="292">
        <v>50753.95</v>
      </c>
      <c r="P210" s="292">
        <f t="shared" si="4"/>
        <v>35.659347994098219</v>
      </c>
      <c r="Q210" s="292">
        <v>3785.8326424506427</v>
      </c>
    </row>
    <row r="211" spans="1:17" ht="35.25" x14ac:dyDescent="0.5">
      <c r="B211" s="289" t="s">
        <v>852</v>
      </c>
      <c r="C211" s="296"/>
      <c r="D211" s="290" t="s">
        <v>751</v>
      </c>
      <c r="E211" s="290" t="s">
        <v>751</v>
      </c>
      <c r="F211" s="291" t="s">
        <v>751</v>
      </c>
      <c r="G211" s="290" t="s">
        <v>751</v>
      </c>
      <c r="H211" s="290" t="s">
        <v>751</v>
      </c>
      <c r="I211" s="292">
        <f>SUM(I212:I215)</f>
        <v>13349.95</v>
      </c>
      <c r="J211" s="292">
        <f>SUM(J212:J215)</f>
        <v>8603.0499999999993</v>
      </c>
      <c r="K211" s="292">
        <f>SUM(K212:K215)</f>
        <v>6388.1299999999992</v>
      </c>
      <c r="L211" s="293">
        <f>SUM(L212:L215)</f>
        <v>640</v>
      </c>
      <c r="M211" s="290" t="s">
        <v>890</v>
      </c>
      <c r="N211" s="294" t="s">
        <v>890</v>
      </c>
      <c r="O211" s="292">
        <v>284716.06</v>
      </c>
      <c r="P211" s="292">
        <f t="shared" si="4"/>
        <v>21.327125569758685</v>
      </c>
      <c r="Q211" s="292">
        <f>MAX(Q213:Q215)</f>
        <v>8433.9099237006394</v>
      </c>
    </row>
    <row r="212" spans="1:17" ht="35.25" x14ac:dyDescent="0.5">
      <c r="A212" s="6">
        <v>1</v>
      </c>
      <c r="B212" s="295">
        <f>B210+1</f>
        <v>106</v>
      </c>
      <c r="C212" s="296" t="s">
        <v>1481</v>
      </c>
      <c r="D212" s="290">
        <v>1984</v>
      </c>
      <c r="E212" s="290"/>
      <c r="F212" s="291" t="s">
        <v>311</v>
      </c>
      <c r="G212" s="290">
        <v>5</v>
      </c>
      <c r="H212" s="290">
        <v>6</v>
      </c>
      <c r="I212" s="292">
        <v>6737.77</v>
      </c>
      <c r="J212" s="292">
        <v>4669.7</v>
      </c>
      <c r="K212" s="292">
        <v>4492.3999999999996</v>
      </c>
      <c r="L212" s="293">
        <v>246</v>
      </c>
      <c r="M212" s="290" t="s">
        <v>269</v>
      </c>
      <c r="N212" s="294" t="s">
        <v>1354</v>
      </c>
      <c r="O212" s="292">
        <v>82303.180000000008</v>
      </c>
      <c r="P212" s="292">
        <f t="shared" si="4"/>
        <v>12.215195828887007</v>
      </c>
      <c r="Q212" s="292">
        <v>1202.8741824075323</v>
      </c>
    </row>
    <row r="213" spans="1:17" ht="35.25" x14ac:dyDescent="0.5">
      <c r="A213" s="6">
        <v>1</v>
      </c>
      <c r="B213" s="295">
        <f>B212+1</f>
        <v>107</v>
      </c>
      <c r="C213" s="296" t="s">
        <v>1482</v>
      </c>
      <c r="D213" s="290">
        <v>1976</v>
      </c>
      <c r="E213" s="290"/>
      <c r="F213" s="291" t="s">
        <v>267</v>
      </c>
      <c r="G213" s="290">
        <v>2</v>
      </c>
      <c r="H213" s="290">
        <v>2</v>
      </c>
      <c r="I213" s="292">
        <v>590.55999999999995</v>
      </c>
      <c r="J213" s="292">
        <v>553.66</v>
      </c>
      <c r="K213" s="292">
        <v>414.9</v>
      </c>
      <c r="L213" s="293">
        <v>34</v>
      </c>
      <c r="M213" s="290" t="s">
        <v>269</v>
      </c>
      <c r="N213" s="294" t="s">
        <v>294</v>
      </c>
      <c r="O213" s="292">
        <v>10339.869999999999</v>
      </c>
      <c r="P213" s="292">
        <f t="shared" ref="P213:P238" si="6">O213/I213</f>
        <v>17.508585071796261</v>
      </c>
      <c r="Q213" s="292">
        <v>5889.9445441614744</v>
      </c>
    </row>
    <row r="214" spans="1:17" ht="35.25" x14ac:dyDescent="0.5">
      <c r="A214" s="6">
        <v>1</v>
      </c>
      <c r="B214" s="295">
        <f>B213+1</f>
        <v>108</v>
      </c>
      <c r="C214" s="296" t="s">
        <v>1483</v>
      </c>
      <c r="D214" s="290">
        <v>1975</v>
      </c>
      <c r="E214" s="290">
        <v>2010</v>
      </c>
      <c r="F214" s="291" t="s">
        <v>267</v>
      </c>
      <c r="G214" s="290">
        <v>5</v>
      </c>
      <c r="H214" s="290">
        <v>1</v>
      </c>
      <c r="I214" s="292">
        <v>5603.53</v>
      </c>
      <c r="J214" s="292">
        <v>3006.1</v>
      </c>
      <c r="K214" s="292">
        <v>1107.24</v>
      </c>
      <c r="L214" s="293">
        <v>341</v>
      </c>
      <c r="M214" s="290" t="s">
        <v>266</v>
      </c>
      <c r="N214" s="294" t="s">
        <v>268</v>
      </c>
      <c r="O214" s="292">
        <v>178357.44</v>
      </c>
      <c r="P214" s="292">
        <f t="shared" si="6"/>
        <v>31.829478917753633</v>
      </c>
      <c r="Q214" s="292">
        <v>3626.97</v>
      </c>
    </row>
    <row r="215" spans="1:17" ht="35.25" x14ac:dyDescent="0.5">
      <c r="A215" s="6">
        <v>1</v>
      </c>
      <c r="B215" s="295">
        <f>B214+1</f>
        <v>109</v>
      </c>
      <c r="C215" s="296" t="s">
        <v>2284</v>
      </c>
      <c r="D215" s="290">
        <v>1968</v>
      </c>
      <c r="E215" s="290"/>
      <c r="F215" s="291" t="s">
        <v>267</v>
      </c>
      <c r="G215" s="290">
        <v>2</v>
      </c>
      <c r="H215" s="290">
        <v>2</v>
      </c>
      <c r="I215" s="292">
        <v>418.09</v>
      </c>
      <c r="J215" s="292">
        <v>373.59</v>
      </c>
      <c r="K215" s="292">
        <v>373.59</v>
      </c>
      <c r="L215" s="293">
        <v>19</v>
      </c>
      <c r="M215" s="290" t="s">
        <v>269</v>
      </c>
      <c r="N215" s="294" t="s">
        <v>294</v>
      </c>
      <c r="O215" s="292">
        <v>13715.57</v>
      </c>
      <c r="P215" s="292">
        <f t="shared" si="6"/>
        <v>32.805305077854051</v>
      </c>
      <c r="Q215" s="292">
        <v>8433.9099237006394</v>
      </c>
    </row>
    <row r="216" spans="1:17" ht="35.25" x14ac:dyDescent="0.5">
      <c r="B216" s="289" t="s">
        <v>1288</v>
      </c>
      <c r="C216" s="296"/>
      <c r="D216" s="290" t="s">
        <v>751</v>
      </c>
      <c r="E216" s="290" t="s">
        <v>751</v>
      </c>
      <c r="F216" s="291" t="s">
        <v>751</v>
      </c>
      <c r="G216" s="290" t="s">
        <v>751</v>
      </c>
      <c r="H216" s="290" t="s">
        <v>751</v>
      </c>
      <c r="I216" s="292">
        <f>I217</f>
        <v>418.1</v>
      </c>
      <c r="J216" s="292">
        <f>J217</f>
        <v>377.6</v>
      </c>
      <c r="K216" s="292">
        <f>K217</f>
        <v>284.3</v>
      </c>
      <c r="L216" s="293">
        <f>L217</f>
        <v>12</v>
      </c>
      <c r="M216" s="290" t="s">
        <v>890</v>
      </c>
      <c r="N216" s="294" t="s">
        <v>890</v>
      </c>
      <c r="O216" s="292">
        <v>222759.59</v>
      </c>
      <c r="P216" s="292">
        <f t="shared" si="6"/>
        <v>532.79021765127959</v>
      </c>
      <c r="Q216" s="292">
        <f>Q217</f>
        <v>8684.7622602248266</v>
      </c>
    </row>
    <row r="217" spans="1:17" ht="35.25" x14ac:dyDescent="0.5">
      <c r="A217" s="6">
        <v>1</v>
      </c>
      <c r="B217" s="295">
        <f>B215+1</f>
        <v>110</v>
      </c>
      <c r="C217" s="296" t="s">
        <v>1484</v>
      </c>
      <c r="D217" s="290">
        <v>1987</v>
      </c>
      <c r="E217" s="290"/>
      <c r="F217" s="291" t="s">
        <v>267</v>
      </c>
      <c r="G217" s="290">
        <v>2</v>
      </c>
      <c r="H217" s="290">
        <v>2</v>
      </c>
      <c r="I217" s="292">
        <v>418.1</v>
      </c>
      <c r="J217" s="292">
        <v>377.6</v>
      </c>
      <c r="K217" s="292">
        <v>284.3</v>
      </c>
      <c r="L217" s="293">
        <v>12</v>
      </c>
      <c r="M217" s="290" t="s">
        <v>266</v>
      </c>
      <c r="N217" s="294" t="s">
        <v>268</v>
      </c>
      <c r="O217" s="292">
        <v>222759.59</v>
      </c>
      <c r="P217" s="292">
        <f t="shared" si="6"/>
        <v>532.79021765127959</v>
      </c>
      <c r="Q217" s="292">
        <v>8684.7622602248266</v>
      </c>
    </row>
    <row r="218" spans="1:17" ht="35.25" x14ac:dyDescent="0.5">
      <c r="B218" s="289" t="s">
        <v>848</v>
      </c>
      <c r="C218" s="296"/>
      <c r="D218" s="290" t="s">
        <v>751</v>
      </c>
      <c r="E218" s="290" t="s">
        <v>751</v>
      </c>
      <c r="F218" s="291" t="s">
        <v>751</v>
      </c>
      <c r="G218" s="290" t="s">
        <v>751</v>
      </c>
      <c r="H218" s="290" t="s">
        <v>751</v>
      </c>
      <c r="I218" s="292">
        <f>I219</f>
        <v>344.6</v>
      </c>
      <c r="J218" s="292">
        <f>J219</f>
        <v>312.2</v>
      </c>
      <c r="K218" s="292">
        <f>K219</f>
        <v>312.2</v>
      </c>
      <c r="L218" s="293">
        <f>L219</f>
        <v>15</v>
      </c>
      <c r="M218" s="290" t="s">
        <v>890</v>
      </c>
      <c r="N218" s="294" t="s">
        <v>890</v>
      </c>
      <c r="O218" s="292">
        <v>137654.99000000002</v>
      </c>
      <c r="P218" s="292">
        <f t="shared" si="6"/>
        <v>399.46311665699363</v>
      </c>
      <c r="Q218" s="292">
        <f>Q219</f>
        <v>8006.4231224608247</v>
      </c>
    </row>
    <row r="219" spans="1:17" ht="35.25" x14ac:dyDescent="0.5">
      <c r="A219" s="6">
        <v>1</v>
      </c>
      <c r="B219" s="295">
        <f>B217+1</f>
        <v>111</v>
      </c>
      <c r="C219" s="296" t="s">
        <v>1485</v>
      </c>
      <c r="D219" s="290">
        <v>1975</v>
      </c>
      <c r="E219" s="290"/>
      <c r="F219" s="291" t="s">
        <v>267</v>
      </c>
      <c r="G219" s="290">
        <v>2</v>
      </c>
      <c r="H219" s="290">
        <v>1</v>
      </c>
      <c r="I219" s="292">
        <v>344.6</v>
      </c>
      <c r="J219" s="292">
        <v>312.2</v>
      </c>
      <c r="K219" s="292">
        <v>312.2</v>
      </c>
      <c r="L219" s="293">
        <v>15</v>
      </c>
      <c r="M219" s="290" t="s">
        <v>266</v>
      </c>
      <c r="N219" s="294" t="s">
        <v>268</v>
      </c>
      <c r="O219" s="292">
        <v>137654.99000000002</v>
      </c>
      <c r="P219" s="292">
        <f t="shared" si="6"/>
        <v>399.46311665699363</v>
      </c>
      <c r="Q219" s="292">
        <v>8006.4231224608247</v>
      </c>
    </row>
    <row r="220" spans="1:17" ht="35.25" x14ac:dyDescent="0.5">
      <c r="B220" s="289" t="s">
        <v>836</v>
      </c>
      <c r="C220" s="296"/>
      <c r="D220" s="290" t="s">
        <v>751</v>
      </c>
      <c r="E220" s="290" t="s">
        <v>751</v>
      </c>
      <c r="F220" s="291" t="s">
        <v>751</v>
      </c>
      <c r="G220" s="290" t="s">
        <v>751</v>
      </c>
      <c r="H220" s="290" t="s">
        <v>751</v>
      </c>
      <c r="I220" s="292">
        <f>I221</f>
        <v>3508.9</v>
      </c>
      <c r="J220" s="292">
        <f>J221</f>
        <v>3167.7</v>
      </c>
      <c r="K220" s="292">
        <f>K221</f>
        <v>2665.2</v>
      </c>
      <c r="L220" s="293">
        <f>L221</f>
        <v>145</v>
      </c>
      <c r="M220" s="290" t="s">
        <v>890</v>
      </c>
      <c r="N220" s="294" t="s">
        <v>890</v>
      </c>
      <c r="O220" s="292">
        <v>894902.36</v>
      </c>
      <c r="P220" s="292">
        <f t="shared" si="6"/>
        <v>255.03786371797429</v>
      </c>
      <c r="Q220" s="292">
        <f>Q221</f>
        <v>741.85072244863056</v>
      </c>
    </row>
    <row r="221" spans="1:17" ht="35.25" x14ac:dyDescent="0.5">
      <c r="A221" s="6">
        <v>1</v>
      </c>
      <c r="B221" s="295">
        <f>B219+1</f>
        <v>112</v>
      </c>
      <c r="C221" s="296" t="s">
        <v>1486</v>
      </c>
      <c r="D221" s="290">
        <v>1987</v>
      </c>
      <c r="E221" s="290"/>
      <c r="F221" s="291" t="s">
        <v>311</v>
      </c>
      <c r="G221" s="290">
        <v>5</v>
      </c>
      <c r="H221" s="290">
        <v>4</v>
      </c>
      <c r="I221" s="292">
        <v>3508.9</v>
      </c>
      <c r="J221" s="292">
        <v>3167.7</v>
      </c>
      <c r="K221" s="292">
        <v>2665.2</v>
      </c>
      <c r="L221" s="293">
        <v>145</v>
      </c>
      <c r="M221" s="290" t="s">
        <v>266</v>
      </c>
      <c r="N221" s="294" t="s">
        <v>268</v>
      </c>
      <c r="O221" s="292">
        <v>894902.36</v>
      </c>
      <c r="P221" s="292">
        <f t="shared" si="6"/>
        <v>255.03786371797429</v>
      </c>
      <c r="Q221" s="292">
        <v>741.85072244863056</v>
      </c>
    </row>
    <row r="222" spans="1:17" ht="35.25" x14ac:dyDescent="0.5">
      <c r="B222" s="289" t="s">
        <v>841</v>
      </c>
      <c r="C222" s="296"/>
      <c r="D222" s="290" t="s">
        <v>751</v>
      </c>
      <c r="E222" s="290" t="s">
        <v>751</v>
      </c>
      <c r="F222" s="291" t="s">
        <v>751</v>
      </c>
      <c r="G222" s="290" t="s">
        <v>751</v>
      </c>
      <c r="H222" s="290" t="s">
        <v>751</v>
      </c>
      <c r="I222" s="292">
        <f>I223</f>
        <v>719.4</v>
      </c>
      <c r="J222" s="292">
        <f>J223</f>
        <v>531.6</v>
      </c>
      <c r="K222" s="292">
        <f>K223</f>
        <v>471.6</v>
      </c>
      <c r="L222" s="293">
        <f>L223</f>
        <v>30</v>
      </c>
      <c r="M222" s="290" t="s">
        <v>890</v>
      </c>
      <c r="N222" s="294" t="s">
        <v>890</v>
      </c>
      <c r="O222" s="292">
        <v>40586.949999999997</v>
      </c>
      <c r="P222" s="292">
        <f t="shared" si="6"/>
        <v>56.41777870447595</v>
      </c>
      <c r="Q222" s="292">
        <f>Q223</f>
        <v>5888.9528773978318</v>
      </c>
    </row>
    <row r="223" spans="1:17" ht="35.25" x14ac:dyDescent="0.5">
      <c r="A223" s="6">
        <v>1</v>
      </c>
      <c r="B223" s="295">
        <f>B221+1</f>
        <v>113</v>
      </c>
      <c r="C223" s="296" t="s">
        <v>1487</v>
      </c>
      <c r="D223" s="290">
        <v>1975</v>
      </c>
      <c r="E223" s="290"/>
      <c r="F223" s="291" t="s">
        <v>267</v>
      </c>
      <c r="G223" s="290">
        <v>2</v>
      </c>
      <c r="H223" s="290">
        <v>2</v>
      </c>
      <c r="I223" s="292">
        <v>719.4</v>
      </c>
      <c r="J223" s="292">
        <v>531.6</v>
      </c>
      <c r="K223" s="292">
        <v>471.6</v>
      </c>
      <c r="L223" s="293">
        <v>30</v>
      </c>
      <c r="M223" s="290" t="s">
        <v>266</v>
      </c>
      <c r="N223" s="294" t="s">
        <v>268</v>
      </c>
      <c r="O223" s="292">
        <v>40586.949999999997</v>
      </c>
      <c r="P223" s="292">
        <f t="shared" si="6"/>
        <v>56.41777870447595</v>
      </c>
      <c r="Q223" s="292">
        <v>5888.9528773978318</v>
      </c>
    </row>
    <row r="224" spans="1:17" ht="35.25" x14ac:dyDescent="0.5">
      <c r="B224" s="289" t="s">
        <v>856</v>
      </c>
      <c r="C224" s="296"/>
      <c r="D224" s="290" t="s">
        <v>751</v>
      </c>
      <c r="E224" s="290" t="s">
        <v>751</v>
      </c>
      <c r="F224" s="291" t="s">
        <v>751</v>
      </c>
      <c r="G224" s="290" t="s">
        <v>751</v>
      </c>
      <c r="H224" s="290" t="s">
        <v>751</v>
      </c>
      <c r="I224" s="292">
        <f>I225</f>
        <v>930</v>
      </c>
      <c r="J224" s="292">
        <f>J225</f>
        <v>857.4</v>
      </c>
      <c r="K224" s="292">
        <f>K225</f>
        <v>561.4</v>
      </c>
      <c r="L224" s="293">
        <f>L225</f>
        <v>45</v>
      </c>
      <c r="M224" s="290" t="s">
        <v>890</v>
      </c>
      <c r="N224" s="294" t="s">
        <v>890</v>
      </c>
      <c r="O224" s="292">
        <v>39622.869999999995</v>
      </c>
      <c r="P224" s="292">
        <f t="shared" si="6"/>
        <v>42.605236559139783</v>
      </c>
      <c r="Q224" s="292">
        <f>Q225</f>
        <v>5332.1154838709672</v>
      </c>
    </row>
    <row r="225" spans="1:17" ht="35.25" x14ac:dyDescent="0.5">
      <c r="A225" s="6">
        <v>1</v>
      </c>
      <c r="B225" s="295">
        <f>B223+1</f>
        <v>114</v>
      </c>
      <c r="C225" s="296" t="s">
        <v>1488</v>
      </c>
      <c r="D225" s="290">
        <v>1973</v>
      </c>
      <c r="E225" s="290"/>
      <c r="F225" s="291" t="s">
        <v>267</v>
      </c>
      <c r="G225" s="290">
        <v>2</v>
      </c>
      <c r="H225" s="290">
        <v>3</v>
      </c>
      <c r="I225" s="292">
        <v>930</v>
      </c>
      <c r="J225" s="292">
        <v>857.4</v>
      </c>
      <c r="K225" s="292">
        <v>561.4</v>
      </c>
      <c r="L225" s="293">
        <v>45</v>
      </c>
      <c r="M225" s="290" t="s">
        <v>269</v>
      </c>
      <c r="N225" s="294" t="s">
        <v>280</v>
      </c>
      <c r="O225" s="292">
        <v>39622.869999999995</v>
      </c>
      <c r="P225" s="292">
        <f t="shared" si="6"/>
        <v>42.605236559139783</v>
      </c>
      <c r="Q225" s="292">
        <v>5332.1154838709672</v>
      </c>
    </row>
    <row r="226" spans="1:17" ht="35.25" x14ac:dyDescent="0.5">
      <c r="B226" s="289" t="s">
        <v>834</v>
      </c>
      <c r="C226" s="296"/>
      <c r="D226" s="290" t="s">
        <v>751</v>
      </c>
      <c r="E226" s="290" t="s">
        <v>751</v>
      </c>
      <c r="F226" s="291" t="s">
        <v>751</v>
      </c>
      <c r="G226" s="290" t="s">
        <v>751</v>
      </c>
      <c r="H226" s="290" t="s">
        <v>751</v>
      </c>
      <c r="I226" s="292">
        <f>I227</f>
        <v>5432.4</v>
      </c>
      <c r="J226" s="292">
        <f>J227</f>
        <v>4626.3999999999996</v>
      </c>
      <c r="K226" s="292">
        <f>K227</f>
        <v>4626.3999999999996</v>
      </c>
      <c r="L226" s="293">
        <f>L227</f>
        <v>181</v>
      </c>
      <c r="M226" s="290" t="s">
        <v>890</v>
      </c>
      <c r="N226" s="294" t="s">
        <v>890</v>
      </c>
      <c r="O226" s="292">
        <v>1045972.2</v>
      </c>
      <c r="P226" s="292">
        <f t="shared" si="6"/>
        <v>192.54329578087035</v>
      </c>
      <c r="Q226" s="292">
        <f>Q227</f>
        <v>1421.9571276047418</v>
      </c>
    </row>
    <row r="227" spans="1:17" ht="35.25" x14ac:dyDescent="0.5">
      <c r="A227" s="6">
        <v>1</v>
      </c>
      <c r="B227" s="295">
        <f>B225+1</f>
        <v>115</v>
      </c>
      <c r="C227" s="296" t="s">
        <v>2282</v>
      </c>
      <c r="D227" s="290">
        <v>1977</v>
      </c>
      <c r="E227" s="290"/>
      <c r="F227" s="291" t="s">
        <v>311</v>
      </c>
      <c r="G227" s="290">
        <v>5</v>
      </c>
      <c r="H227" s="290">
        <v>6</v>
      </c>
      <c r="I227" s="292">
        <v>5432.4</v>
      </c>
      <c r="J227" s="292">
        <v>4626.3999999999996</v>
      </c>
      <c r="K227" s="292">
        <f>J227</f>
        <v>4626.3999999999996</v>
      </c>
      <c r="L227" s="293">
        <v>181</v>
      </c>
      <c r="M227" s="290" t="s">
        <v>269</v>
      </c>
      <c r="N227" s="294" t="s">
        <v>810</v>
      </c>
      <c r="O227" s="292">
        <v>1045972.2</v>
      </c>
      <c r="P227" s="292">
        <f t="shared" si="6"/>
        <v>192.54329578087035</v>
      </c>
      <c r="Q227" s="292">
        <v>1421.9571276047418</v>
      </c>
    </row>
    <row r="228" spans="1:17" ht="35.25" x14ac:dyDescent="0.5">
      <c r="B228" s="289" t="s">
        <v>839</v>
      </c>
      <c r="C228" s="296"/>
      <c r="D228" s="290" t="s">
        <v>751</v>
      </c>
      <c r="E228" s="290" t="s">
        <v>751</v>
      </c>
      <c r="F228" s="291" t="s">
        <v>751</v>
      </c>
      <c r="G228" s="290" t="s">
        <v>751</v>
      </c>
      <c r="H228" s="290" t="s">
        <v>751</v>
      </c>
      <c r="I228" s="292">
        <f>SUM(I229:I230)</f>
        <v>1000</v>
      </c>
      <c r="J228" s="292">
        <f>SUM(J229:J230)</f>
        <v>897</v>
      </c>
      <c r="K228" s="292">
        <f>SUM(K229:K230)</f>
        <v>578</v>
      </c>
      <c r="L228" s="293">
        <f>SUM(L229:L230)</f>
        <v>54</v>
      </c>
      <c r="M228" s="290" t="s">
        <v>890</v>
      </c>
      <c r="N228" s="294" t="s">
        <v>890</v>
      </c>
      <c r="O228" s="292">
        <v>98631.760000000009</v>
      </c>
      <c r="P228" s="292">
        <f t="shared" si="6"/>
        <v>98.631760000000014</v>
      </c>
      <c r="Q228" s="292">
        <f>MAX(Q229:Q230)</f>
        <v>6207.3446153846153</v>
      </c>
    </row>
    <row r="229" spans="1:17" ht="35.25" x14ac:dyDescent="0.5">
      <c r="A229" s="6">
        <v>1</v>
      </c>
      <c r="B229" s="295">
        <f>B227+1</f>
        <v>116</v>
      </c>
      <c r="C229" s="296" t="s">
        <v>1496</v>
      </c>
      <c r="D229" s="290">
        <v>1967</v>
      </c>
      <c r="E229" s="290"/>
      <c r="F229" s="291" t="s">
        <v>267</v>
      </c>
      <c r="G229" s="290">
        <v>2</v>
      </c>
      <c r="H229" s="290">
        <v>2</v>
      </c>
      <c r="I229" s="292">
        <v>610</v>
      </c>
      <c r="J229" s="292">
        <v>558</v>
      </c>
      <c r="K229" s="292">
        <v>380.7</v>
      </c>
      <c r="L229" s="293">
        <v>33</v>
      </c>
      <c r="M229" s="290" t="s">
        <v>266</v>
      </c>
      <c r="N229" s="294" t="s">
        <v>268</v>
      </c>
      <c r="O229" s="292">
        <v>78556.570000000007</v>
      </c>
      <c r="P229" s="292">
        <f t="shared" si="6"/>
        <v>128.78126229508197</v>
      </c>
      <c r="Q229" s="292">
        <v>6155.6440983606553</v>
      </c>
    </row>
    <row r="230" spans="1:17" ht="35.25" x14ac:dyDescent="0.5">
      <c r="A230" s="6">
        <v>1</v>
      </c>
      <c r="B230" s="295">
        <f>B229+1</f>
        <v>117</v>
      </c>
      <c r="C230" s="296" t="s">
        <v>1497</v>
      </c>
      <c r="D230" s="290">
        <v>1965</v>
      </c>
      <c r="E230" s="290"/>
      <c r="F230" s="291" t="s">
        <v>267</v>
      </c>
      <c r="G230" s="290">
        <v>2</v>
      </c>
      <c r="H230" s="290">
        <v>2</v>
      </c>
      <c r="I230" s="292">
        <v>390</v>
      </c>
      <c r="J230" s="292">
        <v>339</v>
      </c>
      <c r="K230" s="292">
        <v>197.3</v>
      </c>
      <c r="L230" s="293">
        <v>21</v>
      </c>
      <c r="M230" s="290" t="s">
        <v>266</v>
      </c>
      <c r="N230" s="294" t="s">
        <v>268</v>
      </c>
      <c r="O230" s="292">
        <v>20075.189999999999</v>
      </c>
      <c r="P230" s="292">
        <f t="shared" si="6"/>
        <v>51.474846153846151</v>
      </c>
      <c r="Q230" s="292">
        <v>6207.3446153846153</v>
      </c>
    </row>
    <row r="231" spans="1:17" ht="35.25" x14ac:dyDescent="0.5">
      <c r="B231" s="289" t="s">
        <v>1045</v>
      </c>
      <c r="C231" s="296"/>
      <c r="D231" s="290" t="s">
        <v>751</v>
      </c>
      <c r="E231" s="290" t="s">
        <v>751</v>
      </c>
      <c r="F231" s="291" t="s">
        <v>751</v>
      </c>
      <c r="G231" s="290" t="s">
        <v>751</v>
      </c>
      <c r="H231" s="290" t="s">
        <v>751</v>
      </c>
      <c r="I231" s="292">
        <f>I232</f>
        <v>1707.6</v>
      </c>
      <c r="J231" s="292">
        <f>J232</f>
        <v>1346.4</v>
      </c>
      <c r="K231" s="292">
        <f>K232</f>
        <v>1242.0999999999999</v>
      </c>
      <c r="L231" s="293">
        <f>L232</f>
        <v>83</v>
      </c>
      <c r="M231" s="290" t="s">
        <v>890</v>
      </c>
      <c r="N231" s="294" t="s">
        <v>890</v>
      </c>
      <c r="O231" s="292">
        <v>5309.7</v>
      </c>
      <c r="P231" s="292">
        <f t="shared" si="6"/>
        <v>3.1094518622628251</v>
      </c>
      <c r="Q231" s="292">
        <f>Q232</f>
        <v>1637.2147575544625</v>
      </c>
    </row>
    <row r="232" spans="1:17" ht="35.25" x14ac:dyDescent="0.5">
      <c r="A232" s="6">
        <v>1</v>
      </c>
      <c r="B232" s="295">
        <f>B230+1</f>
        <v>118</v>
      </c>
      <c r="C232" s="296" t="s">
        <v>1591</v>
      </c>
      <c r="D232" s="290">
        <v>1985</v>
      </c>
      <c r="E232" s="290"/>
      <c r="F232" s="291" t="s">
        <v>267</v>
      </c>
      <c r="G232" s="290">
        <v>5</v>
      </c>
      <c r="H232" s="290">
        <v>1</v>
      </c>
      <c r="I232" s="292">
        <v>1707.6</v>
      </c>
      <c r="J232" s="292">
        <v>1346.4</v>
      </c>
      <c r="K232" s="292">
        <v>1242.0999999999999</v>
      </c>
      <c r="L232" s="293">
        <v>83</v>
      </c>
      <c r="M232" s="290" t="s">
        <v>269</v>
      </c>
      <c r="N232" s="294" t="s">
        <v>1596</v>
      </c>
      <c r="O232" s="292">
        <v>5309.7</v>
      </c>
      <c r="P232" s="292">
        <f t="shared" si="6"/>
        <v>3.1094518622628251</v>
      </c>
      <c r="Q232" s="292">
        <v>1637.2147575544625</v>
      </c>
    </row>
    <row r="233" spans="1:17" ht="35.25" x14ac:dyDescent="0.5">
      <c r="B233" s="289" t="s">
        <v>882</v>
      </c>
      <c r="C233" s="296"/>
      <c r="D233" s="290" t="s">
        <v>751</v>
      </c>
      <c r="E233" s="290" t="s">
        <v>751</v>
      </c>
      <c r="F233" s="291" t="s">
        <v>751</v>
      </c>
      <c r="G233" s="290" t="s">
        <v>751</v>
      </c>
      <c r="H233" s="290" t="s">
        <v>751</v>
      </c>
      <c r="I233" s="292">
        <f>I234</f>
        <v>773.3</v>
      </c>
      <c r="J233" s="292">
        <f>J234</f>
        <v>709.7</v>
      </c>
      <c r="K233" s="292">
        <f>K234</f>
        <v>676.4</v>
      </c>
      <c r="L233" s="293">
        <f>L234</f>
        <v>25</v>
      </c>
      <c r="M233" s="290" t="s">
        <v>890</v>
      </c>
      <c r="N233" s="294" t="s">
        <v>890</v>
      </c>
      <c r="O233" s="292">
        <v>188216.53</v>
      </c>
      <c r="P233" s="292">
        <f t="shared" si="6"/>
        <v>243.39393508340879</v>
      </c>
      <c r="Q233" s="292">
        <f>Q234</f>
        <v>1566.5438445622656</v>
      </c>
    </row>
    <row r="234" spans="1:17" ht="35.25" x14ac:dyDescent="0.5">
      <c r="B234" s="295">
        <f>B232+1</f>
        <v>119</v>
      </c>
      <c r="C234" s="296" t="s">
        <v>1680</v>
      </c>
      <c r="D234" s="290">
        <v>1982</v>
      </c>
      <c r="E234" s="290"/>
      <c r="F234" s="291" t="s">
        <v>1318</v>
      </c>
      <c r="G234" s="290">
        <v>5</v>
      </c>
      <c r="H234" s="290">
        <v>1</v>
      </c>
      <c r="I234" s="292">
        <v>773.3</v>
      </c>
      <c r="J234" s="292">
        <v>709.7</v>
      </c>
      <c r="K234" s="292">
        <v>676.4</v>
      </c>
      <c r="L234" s="293">
        <v>25</v>
      </c>
      <c r="M234" s="290" t="s">
        <v>266</v>
      </c>
      <c r="N234" s="294" t="s">
        <v>268</v>
      </c>
      <c r="O234" s="292">
        <v>188216.53</v>
      </c>
      <c r="P234" s="292">
        <f t="shared" si="6"/>
        <v>243.39393508340879</v>
      </c>
      <c r="Q234" s="292">
        <v>1566.5438445622656</v>
      </c>
    </row>
    <row r="235" spans="1:17" ht="35.25" x14ac:dyDescent="0.5">
      <c r="B235" s="289" t="s">
        <v>853</v>
      </c>
      <c r="C235" s="296"/>
      <c r="D235" s="290" t="s">
        <v>751</v>
      </c>
      <c r="E235" s="290" t="s">
        <v>751</v>
      </c>
      <c r="F235" s="291" t="s">
        <v>751</v>
      </c>
      <c r="G235" s="290" t="s">
        <v>751</v>
      </c>
      <c r="H235" s="290" t="s">
        <v>751</v>
      </c>
      <c r="I235" s="292">
        <f>I236</f>
        <v>3094.98</v>
      </c>
      <c r="J235" s="292">
        <f t="shared" ref="J235:L237" si="7">J236</f>
        <v>2793.4</v>
      </c>
      <c r="K235" s="292">
        <f t="shared" si="7"/>
        <v>2250.5</v>
      </c>
      <c r="L235" s="293">
        <f t="shared" si="7"/>
        <v>157</v>
      </c>
      <c r="M235" s="290" t="s">
        <v>890</v>
      </c>
      <c r="N235" s="294" t="s">
        <v>890</v>
      </c>
      <c r="O235" s="292">
        <v>29122.38</v>
      </c>
      <c r="P235" s="292">
        <f t="shared" si="6"/>
        <v>9.4095535350793877</v>
      </c>
      <c r="Q235" s="292">
        <f>Q236</f>
        <v>3626.97</v>
      </c>
    </row>
    <row r="236" spans="1:17" ht="35.25" x14ac:dyDescent="0.5">
      <c r="B236" s="295">
        <f>B234+1</f>
        <v>120</v>
      </c>
      <c r="C236" s="296" t="s">
        <v>1896</v>
      </c>
      <c r="D236" s="290" t="s">
        <v>373</v>
      </c>
      <c r="E236" s="290"/>
      <c r="F236" s="291" t="s">
        <v>267</v>
      </c>
      <c r="G236" s="290">
        <v>5</v>
      </c>
      <c r="H236" s="290">
        <v>4</v>
      </c>
      <c r="I236" s="292">
        <v>3094.98</v>
      </c>
      <c r="J236" s="292">
        <v>2793.4</v>
      </c>
      <c r="K236" s="292">
        <v>2250.5</v>
      </c>
      <c r="L236" s="293">
        <v>157</v>
      </c>
      <c r="M236" s="290" t="s">
        <v>269</v>
      </c>
      <c r="N236" s="294" t="s">
        <v>1904</v>
      </c>
      <c r="O236" s="292">
        <v>29122.38</v>
      </c>
      <c r="P236" s="292">
        <f t="shared" si="6"/>
        <v>9.4095535350793877</v>
      </c>
      <c r="Q236" s="292">
        <v>3626.97</v>
      </c>
    </row>
    <row r="237" spans="1:17" ht="35.25" x14ac:dyDescent="0.5">
      <c r="B237" s="289" t="s">
        <v>853</v>
      </c>
      <c r="C237" s="296"/>
      <c r="D237" s="290" t="s">
        <v>751</v>
      </c>
      <c r="E237" s="290" t="s">
        <v>751</v>
      </c>
      <c r="F237" s="291" t="s">
        <v>751</v>
      </c>
      <c r="G237" s="290" t="s">
        <v>751</v>
      </c>
      <c r="H237" s="290" t="s">
        <v>751</v>
      </c>
      <c r="I237" s="292">
        <f>I238</f>
        <v>2034.7</v>
      </c>
      <c r="J237" s="292">
        <f t="shared" si="7"/>
        <v>1884.7</v>
      </c>
      <c r="K237" s="292">
        <f t="shared" si="7"/>
        <v>1600.6</v>
      </c>
      <c r="L237" s="293">
        <f t="shared" si="7"/>
        <v>104</v>
      </c>
      <c r="M237" s="290" t="s">
        <v>890</v>
      </c>
      <c r="N237" s="294" t="s">
        <v>890</v>
      </c>
      <c r="O237" s="292">
        <v>4917329.37</v>
      </c>
      <c r="P237" s="292">
        <f t="shared" si="6"/>
        <v>2416.7343441293556</v>
      </c>
      <c r="Q237" s="292">
        <f>Q238</f>
        <v>3262.3256499729691</v>
      </c>
    </row>
    <row r="238" spans="1:17" ht="35.25" x14ac:dyDescent="0.5">
      <c r="B238" s="295">
        <f>B236+1</f>
        <v>121</v>
      </c>
      <c r="C238" s="296" t="s">
        <v>2281</v>
      </c>
      <c r="D238" s="290">
        <v>1982</v>
      </c>
      <c r="E238" s="290"/>
      <c r="F238" s="291" t="s">
        <v>267</v>
      </c>
      <c r="G238" s="290">
        <v>3</v>
      </c>
      <c r="H238" s="290">
        <v>4</v>
      </c>
      <c r="I238" s="292">
        <v>2034.7</v>
      </c>
      <c r="J238" s="292">
        <v>1884.7</v>
      </c>
      <c r="K238" s="292">
        <v>1600.6</v>
      </c>
      <c r="L238" s="293">
        <v>104</v>
      </c>
      <c r="M238" s="290" t="s">
        <v>269</v>
      </c>
      <c r="N238" s="294" t="s">
        <v>289</v>
      </c>
      <c r="O238" s="292">
        <v>4917329.37</v>
      </c>
      <c r="P238" s="292">
        <f t="shared" si="6"/>
        <v>2416.7343441293556</v>
      </c>
      <c r="Q238" s="292">
        <v>3262.3256499729691</v>
      </c>
    </row>
  </sheetData>
  <autoFilter ref="A8:S238" xr:uid="{CA95A811-2202-4667-BA2C-2989DB96905A}"/>
  <mergeCells count="23">
    <mergeCell ref="B84:Q84"/>
    <mergeCell ref="Q4:Q6"/>
    <mergeCell ref="D5:D7"/>
    <mergeCell ref="E5:E7"/>
    <mergeCell ref="J5:J6"/>
    <mergeCell ref="K5:K6"/>
    <mergeCell ref="B9:Q9"/>
    <mergeCell ref="J4:K4"/>
    <mergeCell ref="L4:L6"/>
    <mergeCell ref="M4:M7"/>
    <mergeCell ref="N4:N7"/>
    <mergeCell ref="O4:O6"/>
    <mergeCell ref="P4:P6"/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</mergeCells>
  <pageMargins left="0" right="0" top="0" bottom="0" header="0" footer="0"/>
  <pageSetup paperSize="9" scale="1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71"/>
  <sheetViews>
    <sheetView zoomScale="60" zoomScaleNormal="60" workbookViewId="0">
      <selection activeCell="F39" sqref="F39:F71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38.85546875" customWidth="1"/>
    <col min="5" max="5" width="20.5703125" customWidth="1"/>
    <col min="6" max="6" width="25.28515625" customWidth="1"/>
  </cols>
  <sheetData>
    <row r="1" spans="1:6" ht="35.25" customHeight="1" x14ac:dyDescent="0.35">
      <c r="C1" s="45"/>
      <c r="D1" s="450" t="s">
        <v>1059</v>
      </c>
      <c r="E1" s="450"/>
      <c r="F1" s="450"/>
    </row>
    <row r="2" spans="1:6" ht="53.25" customHeight="1" x14ac:dyDescent="0.25">
      <c r="C2" s="452" t="s">
        <v>1050</v>
      </c>
      <c r="D2" s="452"/>
      <c r="E2" s="452"/>
      <c r="F2" s="452"/>
    </row>
    <row r="3" spans="1:6" ht="104.25" customHeight="1" x14ac:dyDescent="0.25">
      <c r="A3" s="453" t="s">
        <v>1060</v>
      </c>
      <c r="B3" s="453"/>
      <c r="C3" s="453"/>
      <c r="D3" s="453"/>
      <c r="E3" s="453"/>
      <c r="F3" s="453"/>
    </row>
    <row r="4" spans="1:6" x14ac:dyDescent="0.25">
      <c r="A4" s="454" t="s">
        <v>6</v>
      </c>
      <c r="B4" s="454" t="s">
        <v>743</v>
      </c>
      <c r="C4" s="451" t="s">
        <v>744</v>
      </c>
      <c r="D4" s="451" t="s">
        <v>1061</v>
      </c>
      <c r="E4" s="451" t="s">
        <v>746</v>
      </c>
      <c r="F4" s="451" t="s">
        <v>747</v>
      </c>
    </row>
    <row r="5" spans="1:6" ht="156.75" customHeight="1" x14ac:dyDescent="0.25">
      <c r="A5" s="455"/>
      <c r="B5" s="455"/>
      <c r="C5" s="456"/>
      <c r="D5" s="451"/>
      <c r="E5" s="451"/>
      <c r="F5" s="451"/>
    </row>
    <row r="6" spans="1:6" ht="23.25" x14ac:dyDescent="0.25">
      <c r="A6" s="455"/>
      <c r="B6" s="455"/>
      <c r="C6" s="46" t="s">
        <v>748</v>
      </c>
      <c r="D6" s="46" t="s">
        <v>263</v>
      </c>
      <c r="E6" s="46" t="s">
        <v>37</v>
      </c>
      <c r="F6" s="46" t="s">
        <v>36</v>
      </c>
    </row>
    <row r="7" spans="1:6" ht="23.25" x14ac:dyDescent="0.35">
      <c r="A7" s="47">
        <v>1</v>
      </c>
      <c r="B7" s="47">
        <v>2</v>
      </c>
      <c r="C7" s="47">
        <v>3</v>
      </c>
      <c r="D7" s="47">
        <v>4</v>
      </c>
      <c r="E7" s="48">
        <v>5</v>
      </c>
      <c r="F7" s="48">
        <v>6</v>
      </c>
    </row>
    <row r="8" spans="1:6" ht="74.25" customHeight="1" x14ac:dyDescent="0.25">
      <c r="A8" s="447" t="s">
        <v>1016</v>
      </c>
      <c r="B8" s="448"/>
      <c r="C8" s="448"/>
      <c r="D8" s="448"/>
      <c r="E8" s="448"/>
      <c r="F8" s="449"/>
    </row>
    <row r="9" spans="1:6" ht="23.25" x14ac:dyDescent="0.35">
      <c r="A9" s="47"/>
      <c r="B9" s="162" t="s">
        <v>1942</v>
      </c>
      <c r="C9" s="166">
        <f>C10+C29</f>
        <v>43052.780000000006</v>
      </c>
      <c r="D9" s="167">
        <f>D10+D29</f>
        <v>1783</v>
      </c>
      <c r="E9" s="164">
        <f>E10+E29</f>
        <v>45</v>
      </c>
      <c r="F9" s="166">
        <v>81940725.300000012</v>
      </c>
    </row>
    <row r="10" spans="1:6" ht="23.25" x14ac:dyDescent="0.35">
      <c r="A10" s="47"/>
      <c r="B10" s="161" t="s">
        <v>1662</v>
      </c>
      <c r="C10" s="166">
        <f>SUM(C11:C28)</f>
        <v>33695.280000000006</v>
      </c>
      <c r="D10" s="167">
        <f>SUM(D11:D28)</f>
        <v>1359</v>
      </c>
      <c r="E10" s="164">
        <f>SUM(E11:E28)</f>
        <v>33</v>
      </c>
      <c r="F10" s="166">
        <v>51357504.920000009</v>
      </c>
    </row>
    <row r="11" spans="1:6" ht="23.25" x14ac:dyDescent="0.35">
      <c r="A11" s="47">
        <v>1</v>
      </c>
      <c r="B11" s="52" t="s">
        <v>896</v>
      </c>
      <c r="C11" s="53">
        <v>792.7</v>
      </c>
      <c r="D11" s="51">
        <v>42</v>
      </c>
      <c r="E11" s="51">
        <v>1</v>
      </c>
      <c r="F11" s="54">
        <v>2123521.14</v>
      </c>
    </row>
    <row r="12" spans="1:6" ht="23.25" x14ac:dyDescent="0.35">
      <c r="A12" s="47">
        <v>2</v>
      </c>
      <c r="B12" s="52" t="s">
        <v>1358</v>
      </c>
      <c r="C12" s="53">
        <v>12811.8</v>
      </c>
      <c r="D12" s="51">
        <v>434</v>
      </c>
      <c r="E12" s="51">
        <v>8</v>
      </c>
      <c r="F12" s="54">
        <v>14141903.43</v>
      </c>
    </row>
    <row r="13" spans="1:6" ht="23.25" x14ac:dyDescent="0.35">
      <c r="A13" s="47">
        <v>3</v>
      </c>
      <c r="B13" s="52" t="s">
        <v>900</v>
      </c>
      <c r="C13" s="53">
        <v>882.3</v>
      </c>
      <c r="D13" s="51">
        <v>29</v>
      </c>
      <c r="E13" s="51">
        <v>1</v>
      </c>
      <c r="F13" s="54">
        <v>2046844.64</v>
      </c>
    </row>
    <row r="14" spans="1:6" ht="23.25" x14ac:dyDescent="0.35">
      <c r="A14" s="47">
        <v>4</v>
      </c>
      <c r="B14" s="52" t="s">
        <v>905</v>
      </c>
      <c r="C14" s="53">
        <v>1813.2</v>
      </c>
      <c r="D14" s="51">
        <v>156</v>
      </c>
      <c r="E14" s="51">
        <v>1</v>
      </c>
      <c r="F14" s="54">
        <v>5153989.53</v>
      </c>
    </row>
    <row r="15" spans="1:6" ht="23.25" x14ac:dyDescent="0.35">
      <c r="A15" s="47">
        <v>5</v>
      </c>
      <c r="B15" s="52" t="s">
        <v>906</v>
      </c>
      <c r="C15" s="53">
        <v>366.5</v>
      </c>
      <c r="D15" s="51">
        <v>13</v>
      </c>
      <c r="E15" s="51">
        <v>1</v>
      </c>
      <c r="F15" s="54">
        <v>48440.03</v>
      </c>
    </row>
    <row r="16" spans="1:6" ht="23.25" x14ac:dyDescent="0.35">
      <c r="A16" s="47">
        <v>6</v>
      </c>
      <c r="B16" s="52" t="s">
        <v>1359</v>
      </c>
      <c r="C16" s="53">
        <v>872.2</v>
      </c>
      <c r="D16" s="51">
        <v>38</v>
      </c>
      <c r="E16" s="51">
        <v>2</v>
      </c>
      <c r="F16" s="54">
        <v>31767</v>
      </c>
    </row>
    <row r="17" spans="1:6" ht="23.25" x14ac:dyDescent="0.35">
      <c r="A17" s="47">
        <v>7</v>
      </c>
      <c r="B17" s="52" t="s">
        <v>915</v>
      </c>
      <c r="C17" s="53">
        <v>881.98</v>
      </c>
      <c r="D17" s="51">
        <v>48</v>
      </c>
      <c r="E17" s="51">
        <v>2</v>
      </c>
      <c r="F17" s="54">
        <v>3557815.66</v>
      </c>
    </row>
    <row r="18" spans="1:6" ht="23.25" x14ac:dyDescent="0.35">
      <c r="A18" s="47">
        <v>8</v>
      </c>
      <c r="B18" s="52" t="s">
        <v>948</v>
      </c>
      <c r="C18" s="53">
        <v>2093.1</v>
      </c>
      <c r="D18" s="51">
        <v>110</v>
      </c>
      <c r="E18" s="51">
        <v>3</v>
      </c>
      <c r="F18" s="54">
        <v>223917.22</v>
      </c>
    </row>
    <row r="19" spans="1:6" ht="23.25" x14ac:dyDescent="0.35">
      <c r="A19" s="47">
        <v>9</v>
      </c>
      <c r="B19" s="52" t="s">
        <v>920</v>
      </c>
      <c r="C19" s="53">
        <v>755.8</v>
      </c>
      <c r="D19" s="51">
        <v>20</v>
      </c>
      <c r="E19" s="51">
        <v>1</v>
      </c>
      <c r="F19" s="54">
        <v>3265341.36</v>
      </c>
    </row>
    <row r="20" spans="1:6" ht="23.25" x14ac:dyDescent="0.35">
      <c r="A20" s="47">
        <v>10</v>
      </c>
      <c r="B20" s="52" t="s">
        <v>923</v>
      </c>
      <c r="C20" s="53">
        <v>1840.2</v>
      </c>
      <c r="D20" s="51">
        <v>77</v>
      </c>
      <c r="E20" s="51">
        <v>1</v>
      </c>
      <c r="F20" s="54">
        <v>97672.62</v>
      </c>
    </row>
    <row r="21" spans="1:6" ht="23.25" x14ac:dyDescent="0.35">
      <c r="A21" s="47">
        <v>11</v>
      </c>
      <c r="B21" s="52" t="s">
        <v>1360</v>
      </c>
      <c r="C21" s="53">
        <v>1621.7</v>
      </c>
      <c r="D21" s="51">
        <v>58</v>
      </c>
      <c r="E21" s="51">
        <v>3</v>
      </c>
      <c r="F21" s="54">
        <v>7637123.5900000008</v>
      </c>
    </row>
    <row r="22" spans="1:6" ht="23.25" x14ac:dyDescent="0.35">
      <c r="A22" s="47">
        <v>12</v>
      </c>
      <c r="B22" s="52" t="s">
        <v>1361</v>
      </c>
      <c r="C22" s="53">
        <v>1598.9</v>
      </c>
      <c r="D22" s="51">
        <v>38</v>
      </c>
      <c r="E22" s="51">
        <v>1</v>
      </c>
      <c r="F22" s="54">
        <v>2434994.4500000002</v>
      </c>
    </row>
    <row r="23" spans="1:6" ht="23.25" x14ac:dyDescent="0.35">
      <c r="A23" s="47">
        <v>13</v>
      </c>
      <c r="B23" s="52" t="s">
        <v>936</v>
      </c>
      <c r="C23" s="53">
        <v>465</v>
      </c>
      <c r="D23" s="51">
        <v>26</v>
      </c>
      <c r="E23" s="51">
        <v>1</v>
      </c>
      <c r="F23" s="54">
        <v>89459.11</v>
      </c>
    </row>
    <row r="24" spans="1:6" ht="23.25" x14ac:dyDescent="0.35">
      <c r="A24" s="47">
        <v>14</v>
      </c>
      <c r="B24" s="52" t="s">
        <v>963</v>
      </c>
      <c r="C24" s="53">
        <v>861.5</v>
      </c>
      <c r="D24" s="51">
        <v>31</v>
      </c>
      <c r="E24" s="51">
        <v>1</v>
      </c>
      <c r="F24" s="54">
        <v>3168456.39</v>
      </c>
    </row>
    <row r="25" spans="1:6" ht="23.25" x14ac:dyDescent="0.35">
      <c r="A25" s="47">
        <v>15</v>
      </c>
      <c r="B25" s="52" t="s">
        <v>943</v>
      </c>
      <c r="C25" s="53">
        <v>2249.1999999999998</v>
      </c>
      <c r="D25" s="51">
        <v>104</v>
      </c>
      <c r="E25" s="51">
        <v>3</v>
      </c>
      <c r="F25" s="54">
        <v>4966030.97</v>
      </c>
    </row>
    <row r="26" spans="1:6" ht="23.25" x14ac:dyDescent="0.35">
      <c r="A26" s="47">
        <v>16</v>
      </c>
      <c r="B26" s="52" t="s">
        <v>942</v>
      </c>
      <c r="C26" s="53">
        <v>940.4</v>
      </c>
      <c r="D26" s="51">
        <v>26</v>
      </c>
      <c r="E26" s="51">
        <v>1</v>
      </c>
      <c r="F26" s="54">
        <v>1661171.06</v>
      </c>
    </row>
    <row r="27" spans="1:6" ht="23.25" x14ac:dyDescent="0.35">
      <c r="A27" s="47">
        <v>17</v>
      </c>
      <c r="B27" s="52" t="s">
        <v>917</v>
      </c>
      <c r="C27" s="53">
        <v>1743.7</v>
      </c>
      <c r="D27" s="51">
        <v>65</v>
      </c>
      <c r="E27" s="51">
        <v>1</v>
      </c>
      <c r="F27" s="54">
        <v>105794.97</v>
      </c>
    </row>
    <row r="28" spans="1:6" ht="23.25" x14ac:dyDescent="0.35">
      <c r="A28" s="47">
        <v>18</v>
      </c>
      <c r="B28" s="52" t="s">
        <v>912</v>
      </c>
      <c r="C28" s="53">
        <v>1105.0999999999999</v>
      </c>
      <c r="D28" s="51">
        <v>44</v>
      </c>
      <c r="E28" s="51">
        <v>1</v>
      </c>
      <c r="F28" s="54">
        <v>603261.75</v>
      </c>
    </row>
    <row r="29" spans="1:6" ht="23.25" x14ac:dyDescent="0.35">
      <c r="A29" s="47"/>
      <c r="B29" s="161" t="s">
        <v>1940</v>
      </c>
      <c r="C29" s="163">
        <f>SUM(C30:C37)</f>
        <v>9357.5</v>
      </c>
      <c r="D29" s="164">
        <f>SUM(D30:D37)</f>
        <v>424</v>
      </c>
      <c r="E29" s="164">
        <f>SUM(E30:E37)</f>
        <v>12</v>
      </c>
      <c r="F29" s="165">
        <v>30583220.379999999</v>
      </c>
    </row>
    <row r="30" spans="1:6" ht="23.25" x14ac:dyDescent="0.35">
      <c r="A30" s="47">
        <v>1</v>
      </c>
      <c r="B30" s="52" t="s">
        <v>1358</v>
      </c>
      <c r="C30" s="50">
        <v>1180.5999999999999</v>
      </c>
      <c r="D30" s="78">
        <v>60</v>
      </c>
      <c r="E30" s="51">
        <v>3</v>
      </c>
      <c r="F30" s="50">
        <v>5103149.49</v>
      </c>
    </row>
    <row r="31" spans="1:6" ht="23.25" x14ac:dyDescent="0.35">
      <c r="A31" s="47">
        <v>2</v>
      </c>
      <c r="B31" s="52" t="s">
        <v>906</v>
      </c>
      <c r="C31" s="53">
        <v>366.5</v>
      </c>
      <c r="D31" s="51">
        <v>25</v>
      </c>
      <c r="E31" s="51">
        <v>1</v>
      </c>
      <c r="F31" s="54">
        <v>1450562.89</v>
      </c>
    </row>
    <row r="32" spans="1:6" ht="23.25" x14ac:dyDescent="0.35">
      <c r="A32" s="47">
        <v>3</v>
      </c>
      <c r="B32" s="52" t="s">
        <v>1359</v>
      </c>
      <c r="C32" s="53">
        <v>410.7</v>
      </c>
      <c r="D32" s="51">
        <v>25</v>
      </c>
      <c r="E32" s="51">
        <v>1</v>
      </c>
      <c r="F32" s="54">
        <v>2607490.21</v>
      </c>
    </row>
    <row r="33" spans="1:6" ht="23.25" x14ac:dyDescent="0.35">
      <c r="A33" s="47">
        <v>4</v>
      </c>
      <c r="B33" s="52" t="s">
        <v>948</v>
      </c>
      <c r="C33" s="53">
        <v>2093.1</v>
      </c>
      <c r="D33" s="51">
        <v>110</v>
      </c>
      <c r="E33" s="51">
        <v>3</v>
      </c>
      <c r="F33" s="54">
        <v>6106153.4399999995</v>
      </c>
    </row>
    <row r="34" spans="1:6" ht="23.25" x14ac:dyDescent="0.35">
      <c r="A34" s="47">
        <v>5</v>
      </c>
      <c r="B34" s="52" t="s">
        <v>923</v>
      </c>
      <c r="C34" s="53">
        <v>1840.2</v>
      </c>
      <c r="D34" s="51">
        <v>77</v>
      </c>
      <c r="E34" s="51">
        <v>1</v>
      </c>
      <c r="F34" s="54">
        <v>5538174.9500000002</v>
      </c>
    </row>
    <row r="35" spans="1:6" ht="23.25" x14ac:dyDescent="0.35">
      <c r="A35" s="47">
        <v>6</v>
      </c>
      <c r="B35" s="52" t="s">
        <v>1703</v>
      </c>
      <c r="C35" s="53">
        <v>1257.7</v>
      </c>
      <c r="D35" s="51">
        <v>36</v>
      </c>
      <c r="E35" s="51">
        <v>1</v>
      </c>
      <c r="F35" s="54">
        <v>3672464.4</v>
      </c>
    </row>
    <row r="36" spans="1:6" ht="23.25" x14ac:dyDescent="0.35">
      <c r="A36" s="47">
        <v>7</v>
      </c>
      <c r="B36" s="52" t="s">
        <v>936</v>
      </c>
      <c r="C36" s="53">
        <v>465</v>
      </c>
      <c r="D36" s="51">
        <v>26</v>
      </c>
      <c r="E36" s="51">
        <v>1</v>
      </c>
      <c r="F36" s="54">
        <v>2476600</v>
      </c>
    </row>
    <row r="37" spans="1:6" ht="23.25" x14ac:dyDescent="0.35">
      <c r="A37" s="47">
        <v>8</v>
      </c>
      <c r="B37" s="52" t="s">
        <v>917</v>
      </c>
      <c r="C37" s="53">
        <v>1743.7</v>
      </c>
      <c r="D37" s="51">
        <v>65</v>
      </c>
      <c r="E37" s="51">
        <v>1</v>
      </c>
      <c r="F37" s="54">
        <v>3628625</v>
      </c>
    </row>
    <row r="38" spans="1:6" ht="72" customHeight="1" x14ac:dyDescent="0.25">
      <c r="A38" s="447" t="s">
        <v>1403</v>
      </c>
      <c r="B38" s="448"/>
      <c r="C38" s="448"/>
      <c r="D38" s="448"/>
      <c r="E38" s="448"/>
      <c r="F38" s="449"/>
    </row>
    <row r="39" spans="1:6" ht="23.25" x14ac:dyDescent="0.35">
      <c r="A39" s="47"/>
      <c r="B39" s="49" t="s">
        <v>1062</v>
      </c>
      <c r="C39" s="50">
        <f>SUM(C40:C71)</f>
        <v>301139.77999999997</v>
      </c>
      <c r="D39" s="78">
        <f>SUM(D40:D71)</f>
        <v>12523</v>
      </c>
      <c r="E39" s="81">
        <f>SUM(E40:E71)</f>
        <v>121</v>
      </c>
      <c r="F39" s="50">
        <v>43945688.250000022</v>
      </c>
    </row>
    <row r="40" spans="1:6" ht="23.25" x14ac:dyDescent="0.35">
      <c r="A40" s="47">
        <v>1</v>
      </c>
      <c r="B40" s="52" t="s">
        <v>896</v>
      </c>
      <c r="C40" s="53">
        <v>13682.619999999999</v>
      </c>
      <c r="D40" s="78">
        <v>744</v>
      </c>
      <c r="E40" s="81">
        <v>6</v>
      </c>
      <c r="F40" s="54">
        <v>3100133.77</v>
      </c>
    </row>
    <row r="41" spans="1:6" ht="23.25" x14ac:dyDescent="0.35">
      <c r="A41" s="47">
        <v>2</v>
      </c>
      <c r="B41" s="52" t="s">
        <v>897</v>
      </c>
      <c r="C41" s="53">
        <v>4101.7</v>
      </c>
      <c r="D41" s="78">
        <v>111</v>
      </c>
      <c r="E41" s="81">
        <v>1</v>
      </c>
      <c r="F41" s="54">
        <v>418959.01</v>
      </c>
    </row>
    <row r="42" spans="1:6" ht="23.25" x14ac:dyDescent="0.35">
      <c r="A42" s="47">
        <v>3</v>
      </c>
      <c r="B42" s="52" t="s">
        <v>900</v>
      </c>
      <c r="C42" s="53">
        <v>2327.5</v>
      </c>
      <c r="D42" s="78">
        <v>106</v>
      </c>
      <c r="E42" s="81">
        <v>3</v>
      </c>
      <c r="F42" s="54">
        <v>34418.18</v>
      </c>
    </row>
    <row r="43" spans="1:6" ht="23.25" x14ac:dyDescent="0.35">
      <c r="A43" s="47">
        <v>4</v>
      </c>
      <c r="B43" s="52" t="s">
        <v>1358</v>
      </c>
      <c r="C43" s="53">
        <v>28928.739999999998</v>
      </c>
      <c r="D43" s="78">
        <v>1177</v>
      </c>
      <c r="E43" s="81">
        <v>16</v>
      </c>
      <c r="F43" s="54">
        <v>1921865.3299999994</v>
      </c>
    </row>
    <row r="44" spans="1:6" ht="23.25" x14ac:dyDescent="0.35">
      <c r="A44" s="47">
        <v>5</v>
      </c>
      <c r="B44" s="52" t="s">
        <v>905</v>
      </c>
      <c r="C44" s="53">
        <v>14909.5</v>
      </c>
      <c r="D44" s="78">
        <v>477</v>
      </c>
      <c r="E44" s="81">
        <v>7</v>
      </c>
      <c r="F44" s="54">
        <v>2680155.8899999997</v>
      </c>
    </row>
    <row r="45" spans="1:6" ht="23.25" x14ac:dyDescent="0.35">
      <c r="A45" s="47">
        <v>6</v>
      </c>
      <c r="B45" s="52" t="s">
        <v>904</v>
      </c>
      <c r="C45" s="53">
        <v>3874.7000000000003</v>
      </c>
      <c r="D45" s="78">
        <v>141</v>
      </c>
      <c r="E45" s="81">
        <v>4</v>
      </c>
      <c r="F45" s="54">
        <v>3091318.25</v>
      </c>
    </row>
    <row r="46" spans="1:6" ht="23.25" x14ac:dyDescent="0.35">
      <c r="A46" s="47">
        <v>7</v>
      </c>
      <c r="B46" s="52" t="s">
        <v>948</v>
      </c>
      <c r="C46" s="53">
        <v>53886.020000000004</v>
      </c>
      <c r="D46" s="78">
        <v>1709</v>
      </c>
      <c r="E46" s="81">
        <v>26</v>
      </c>
      <c r="F46" s="54">
        <v>8824746.5700000003</v>
      </c>
    </row>
    <row r="47" spans="1:6" ht="23.25" x14ac:dyDescent="0.35">
      <c r="A47" s="47">
        <v>8</v>
      </c>
      <c r="B47" s="52" t="s">
        <v>1564</v>
      </c>
      <c r="C47" s="53">
        <v>47621.47</v>
      </c>
      <c r="D47" s="78">
        <v>2263</v>
      </c>
      <c r="E47" s="81">
        <v>15</v>
      </c>
      <c r="F47" s="54">
        <v>5257534.7999999989</v>
      </c>
    </row>
    <row r="48" spans="1:6" ht="23.25" x14ac:dyDescent="0.35">
      <c r="A48" s="47">
        <v>9</v>
      </c>
      <c r="B48" s="52" t="s">
        <v>1565</v>
      </c>
      <c r="C48" s="53">
        <v>45795.1</v>
      </c>
      <c r="D48" s="78">
        <v>2257</v>
      </c>
      <c r="E48" s="81">
        <v>6</v>
      </c>
      <c r="F48" s="54">
        <v>1550578.68</v>
      </c>
    </row>
    <row r="49" spans="1:6" ht="23.25" x14ac:dyDescent="0.35">
      <c r="A49" s="47">
        <v>10</v>
      </c>
      <c r="B49" s="52" t="s">
        <v>903</v>
      </c>
      <c r="C49" s="53">
        <v>6959.2</v>
      </c>
      <c r="D49" s="78">
        <v>259</v>
      </c>
      <c r="E49" s="81">
        <v>2</v>
      </c>
      <c r="F49" s="54">
        <v>3231773.15</v>
      </c>
    </row>
    <row r="50" spans="1:6" ht="23.25" x14ac:dyDescent="0.35">
      <c r="A50" s="47">
        <v>11</v>
      </c>
      <c r="B50" s="52" t="s">
        <v>1566</v>
      </c>
      <c r="C50" s="53">
        <v>1317.6</v>
      </c>
      <c r="D50" s="78">
        <v>50</v>
      </c>
      <c r="E50" s="81">
        <v>2</v>
      </c>
      <c r="F50" s="54">
        <v>35323.410000000003</v>
      </c>
    </row>
    <row r="51" spans="1:6" ht="23.25" x14ac:dyDescent="0.35">
      <c r="A51" s="47">
        <v>12</v>
      </c>
      <c r="B51" s="52" t="s">
        <v>964</v>
      </c>
      <c r="C51" s="53">
        <v>3121</v>
      </c>
      <c r="D51" s="78">
        <v>171</v>
      </c>
      <c r="E51" s="81">
        <v>1</v>
      </c>
      <c r="F51" s="54">
        <v>778244.79</v>
      </c>
    </row>
    <row r="52" spans="1:6" ht="23.25" x14ac:dyDescent="0.35">
      <c r="A52" s="47">
        <v>13</v>
      </c>
      <c r="B52" s="52" t="s">
        <v>931</v>
      </c>
      <c r="C52" s="53">
        <v>9754.2199999999993</v>
      </c>
      <c r="D52" s="78">
        <v>354</v>
      </c>
      <c r="E52" s="81">
        <v>5</v>
      </c>
      <c r="F52" s="54">
        <v>1856585.2200000002</v>
      </c>
    </row>
    <row r="53" spans="1:6" ht="23.25" x14ac:dyDescent="0.35">
      <c r="A53" s="47">
        <v>14</v>
      </c>
      <c r="B53" s="52" t="s">
        <v>912</v>
      </c>
      <c r="C53" s="53">
        <v>5085.1000000000004</v>
      </c>
      <c r="D53" s="78">
        <v>199</v>
      </c>
      <c r="E53" s="81">
        <v>1</v>
      </c>
      <c r="F53" s="54">
        <v>425208.96</v>
      </c>
    </row>
    <row r="54" spans="1:6" ht="23.25" x14ac:dyDescent="0.35">
      <c r="A54" s="47">
        <v>15</v>
      </c>
      <c r="B54" s="52" t="s">
        <v>915</v>
      </c>
      <c r="C54" s="53">
        <v>4174.76</v>
      </c>
      <c r="D54" s="78">
        <v>92</v>
      </c>
      <c r="E54" s="81">
        <v>2</v>
      </c>
      <c r="F54" s="54">
        <v>243092.59999999998</v>
      </c>
    </row>
    <row r="55" spans="1:6" ht="23.25" x14ac:dyDescent="0.35">
      <c r="A55" s="47">
        <v>16</v>
      </c>
      <c r="B55" s="52" t="s">
        <v>927</v>
      </c>
      <c r="C55" s="53">
        <v>15972.619999999999</v>
      </c>
      <c r="D55" s="78">
        <v>615</v>
      </c>
      <c r="E55" s="81">
        <v>2</v>
      </c>
      <c r="F55" s="54">
        <v>1988549.43</v>
      </c>
    </row>
    <row r="56" spans="1:6" ht="23.25" x14ac:dyDescent="0.35">
      <c r="A56" s="47">
        <v>17</v>
      </c>
      <c r="B56" s="52" t="s">
        <v>930</v>
      </c>
      <c r="C56" s="53">
        <v>3408</v>
      </c>
      <c r="D56" s="78">
        <v>189</v>
      </c>
      <c r="E56" s="81">
        <v>3</v>
      </c>
      <c r="F56" s="54">
        <v>655526.95000000007</v>
      </c>
    </row>
    <row r="57" spans="1:6" ht="23.25" x14ac:dyDescent="0.35">
      <c r="A57" s="47">
        <v>18</v>
      </c>
      <c r="B57" s="52" t="s">
        <v>963</v>
      </c>
      <c r="C57" s="53">
        <v>677.1</v>
      </c>
      <c r="D57" s="78">
        <v>37</v>
      </c>
      <c r="E57" s="81">
        <v>1</v>
      </c>
      <c r="F57" s="54">
        <v>39585</v>
      </c>
    </row>
    <row r="58" spans="1:6" ht="23.25" x14ac:dyDescent="0.35">
      <c r="A58" s="47">
        <v>19</v>
      </c>
      <c r="B58" s="52" t="s">
        <v>907</v>
      </c>
      <c r="C58" s="53">
        <v>805.6</v>
      </c>
      <c r="D58" s="78">
        <v>44</v>
      </c>
      <c r="E58" s="81">
        <v>1</v>
      </c>
      <c r="F58" s="54">
        <v>275468.56</v>
      </c>
    </row>
    <row r="59" spans="1:6" ht="23.25" x14ac:dyDescent="0.35">
      <c r="A59" s="47">
        <v>20</v>
      </c>
      <c r="B59" s="52" t="s">
        <v>950</v>
      </c>
      <c r="C59" s="53">
        <v>1423.3</v>
      </c>
      <c r="D59" s="78">
        <v>37</v>
      </c>
      <c r="E59" s="81">
        <v>1</v>
      </c>
      <c r="F59" s="54">
        <v>50753.95</v>
      </c>
    </row>
    <row r="60" spans="1:6" ht="23.25" x14ac:dyDescent="0.35">
      <c r="A60" s="47">
        <v>21</v>
      </c>
      <c r="B60" s="52" t="s">
        <v>961</v>
      </c>
      <c r="C60" s="53">
        <v>13349.95</v>
      </c>
      <c r="D60" s="78">
        <v>640</v>
      </c>
      <c r="E60" s="81">
        <v>4</v>
      </c>
      <c r="F60" s="54">
        <v>284716.06</v>
      </c>
    </row>
    <row r="61" spans="1:6" ht="23.25" x14ac:dyDescent="0.35">
      <c r="A61" s="47">
        <v>22</v>
      </c>
      <c r="B61" s="52" t="s">
        <v>1363</v>
      </c>
      <c r="C61" s="53">
        <v>418.1</v>
      </c>
      <c r="D61" s="78">
        <v>12</v>
      </c>
      <c r="E61" s="81">
        <v>1</v>
      </c>
      <c r="F61" s="54">
        <v>222759.59</v>
      </c>
    </row>
    <row r="62" spans="1:6" ht="23.25" x14ac:dyDescent="0.35">
      <c r="A62" s="47">
        <v>23</v>
      </c>
      <c r="B62" s="52" t="s">
        <v>970</v>
      </c>
      <c r="C62" s="53">
        <v>344.6</v>
      </c>
      <c r="D62" s="78">
        <v>15</v>
      </c>
      <c r="E62" s="81">
        <v>1</v>
      </c>
      <c r="F62" s="54">
        <v>137654.99000000002</v>
      </c>
    </row>
    <row r="63" spans="1:6" ht="23.25" x14ac:dyDescent="0.35">
      <c r="A63" s="47">
        <v>24</v>
      </c>
      <c r="B63" s="52" t="s">
        <v>919</v>
      </c>
      <c r="C63" s="53">
        <v>3508.9</v>
      </c>
      <c r="D63" s="78">
        <v>145</v>
      </c>
      <c r="E63" s="81">
        <v>1</v>
      </c>
      <c r="F63" s="54">
        <v>894902.36</v>
      </c>
    </row>
    <row r="64" spans="1:6" ht="23.25" x14ac:dyDescent="0.35">
      <c r="A64" s="47">
        <v>25</v>
      </c>
      <c r="B64" s="52" t="s">
        <v>926</v>
      </c>
      <c r="C64" s="53">
        <v>719.4</v>
      </c>
      <c r="D64" s="78">
        <v>30</v>
      </c>
      <c r="E64" s="81">
        <v>1</v>
      </c>
      <c r="F64" s="54">
        <v>40586.949999999997</v>
      </c>
    </row>
    <row r="65" spans="1:6" ht="23.25" x14ac:dyDescent="0.35">
      <c r="A65" s="47">
        <v>26</v>
      </c>
      <c r="B65" s="52" t="s">
        <v>941</v>
      </c>
      <c r="C65" s="53">
        <v>930</v>
      </c>
      <c r="D65" s="78">
        <v>45</v>
      </c>
      <c r="E65" s="81">
        <v>1</v>
      </c>
      <c r="F65" s="54">
        <v>39622.869999999995</v>
      </c>
    </row>
    <row r="66" spans="1:6" ht="23.25" x14ac:dyDescent="0.35">
      <c r="A66" s="47">
        <v>27</v>
      </c>
      <c r="B66" s="52" t="s">
        <v>917</v>
      </c>
      <c r="C66" s="53">
        <v>5432.4</v>
      </c>
      <c r="D66" s="78">
        <v>181</v>
      </c>
      <c r="E66" s="81">
        <v>1</v>
      </c>
      <c r="F66" s="54">
        <v>1045972.2</v>
      </c>
    </row>
    <row r="67" spans="1:6" ht="23.25" x14ac:dyDescent="0.35">
      <c r="A67" s="47">
        <v>28</v>
      </c>
      <c r="B67" s="52" t="s">
        <v>921</v>
      </c>
      <c r="C67" s="53">
        <v>1000</v>
      </c>
      <c r="D67" s="78">
        <v>54</v>
      </c>
      <c r="E67" s="81">
        <v>2</v>
      </c>
      <c r="F67" s="54">
        <v>98631.760000000009</v>
      </c>
    </row>
    <row r="68" spans="1:6" ht="23.25" x14ac:dyDescent="0.35">
      <c r="A68" s="47">
        <v>29</v>
      </c>
      <c r="B68" s="52" t="s">
        <v>1359</v>
      </c>
      <c r="C68" s="53">
        <v>1707.6</v>
      </c>
      <c r="D68" s="78">
        <v>83</v>
      </c>
      <c r="E68" s="81">
        <v>1</v>
      </c>
      <c r="F68" s="54">
        <v>5309.7</v>
      </c>
    </row>
    <row r="69" spans="1:6" ht="23.25" x14ac:dyDescent="0.35">
      <c r="A69" s="47">
        <v>30</v>
      </c>
      <c r="B69" s="52" t="s">
        <v>934</v>
      </c>
      <c r="C69" s="53">
        <v>773.3</v>
      </c>
      <c r="D69" s="78">
        <v>25</v>
      </c>
      <c r="E69" s="81">
        <v>1</v>
      </c>
      <c r="F69" s="54">
        <v>188216.53</v>
      </c>
    </row>
    <row r="70" spans="1:6" ht="23.25" x14ac:dyDescent="0.35">
      <c r="A70" s="47">
        <v>31</v>
      </c>
      <c r="B70" s="52" t="s">
        <v>937</v>
      </c>
      <c r="C70" s="53">
        <v>3094.98</v>
      </c>
      <c r="D70" s="78">
        <v>157</v>
      </c>
      <c r="E70" s="81">
        <v>1</v>
      </c>
      <c r="F70" s="54">
        <v>29122.38</v>
      </c>
    </row>
    <row r="71" spans="1:6" ht="23.25" x14ac:dyDescent="0.35">
      <c r="A71" s="47">
        <v>32</v>
      </c>
      <c r="B71" s="52" t="s">
        <v>936</v>
      </c>
      <c r="C71" s="53">
        <v>2034.7</v>
      </c>
      <c r="D71" s="78">
        <v>104</v>
      </c>
      <c r="E71" s="81">
        <v>1</v>
      </c>
      <c r="F71" s="54">
        <v>4917329.37</v>
      </c>
    </row>
  </sheetData>
  <mergeCells count="11">
    <mergeCell ref="A38:F38"/>
    <mergeCell ref="D1:F1"/>
    <mergeCell ref="F4:F5"/>
    <mergeCell ref="A8:F8"/>
    <mergeCell ref="C2:F2"/>
    <mergeCell ref="A3:F3"/>
    <mergeCell ref="A4:A6"/>
    <mergeCell ref="B4:B6"/>
    <mergeCell ref="C4:C5"/>
    <mergeCell ref="D4:D5"/>
    <mergeCell ref="E4:E5"/>
  </mergeCells>
  <pageMargins left="0.39" right="0.32" top="0.75" bottom="0.38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Зачет!Область_печати</vt:lpstr>
      <vt:lpstr>Перечень!Область_печати</vt:lpstr>
      <vt:lpstr>Реестр!Область_печати</vt:lpstr>
      <vt:lpstr>'Рес обесп'!Область_печати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2021-04-01T12:21:21Z</cp:lastPrinted>
  <dcterms:created xsi:type="dcterms:W3CDTF">2019-03-21T15:19:46Z</dcterms:created>
  <dcterms:modified xsi:type="dcterms:W3CDTF">2021-04-01T16:04:14Z</dcterms:modified>
</cp:coreProperties>
</file>